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602" activeTab="0"/>
  </bookViews>
  <sheets>
    <sheet name="jednostki " sheetId="1" r:id="rId1"/>
    <sheet name="dzielnice" sheetId="2" r:id="rId2"/>
    <sheet name="GFOŚiGW" sheetId="3" r:id="rId3"/>
    <sheet name="FGZGiK" sheetId="4" r:id="rId4"/>
    <sheet name="harm doch" sheetId="5" r:id="rId5"/>
    <sheet name="harm wyd" sheetId="6" r:id="rId6"/>
    <sheet name="harm gf" sheetId="7" r:id="rId7"/>
    <sheet name="harm fgzgik" sheetId="8" r:id="rId8"/>
  </sheets>
  <definedNames>
    <definedName name="_11">#REF!</definedName>
    <definedName name="_17">#REF!</definedName>
    <definedName name="Nazwa_rozdziału">#REF!+#REF!+#REF!+#REF!+#REF!+#REF!+#REF!</definedName>
    <definedName name="NazwaSzkoły">#REF!,#REF!,#REF!,#REF!,#REF!,#REF!</definedName>
    <definedName name="_xlnm.Print_Area" localSheetId="0">'jednostki '!$A$1:$K$4227</definedName>
    <definedName name="SYMBOL">#REF!</definedName>
    <definedName name="_xlnm.Print_Titles" localSheetId="3">'FGZGiK'!$9:$9</definedName>
    <definedName name="_xlnm.Print_Titles" localSheetId="2">'GFOŚiGW'!$9:$9</definedName>
    <definedName name="_xlnm.Print_Titles" localSheetId="4">'harm doch'!$7:$9</definedName>
    <definedName name="_xlnm.Print_Titles" localSheetId="6">'harm gf'!$9:$9</definedName>
    <definedName name="_xlnm.Print_Titles" localSheetId="5">'harm wyd'!$7:$9</definedName>
    <definedName name="_xlnm.Print_Titles" localSheetId="0">'jednostki '!$7:$9</definedName>
  </definedNames>
  <calcPr fullCalcOnLoad="1"/>
</workbook>
</file>

<file path=xl/sharedStrings.xml><?xml version="1.0" encoding="utf-8"?>
<sst xmlns="http://schemas.openxmlformats.org/spreadsheetml/2006/main" count="5119" uniqueCount="1161">
  <si>
    <t>wykonanie odwodnienia skrzyżowania ulic Magnoliowej i Bazylianówka oraz odwodnienia skrzyżowania ulic Kunickiego i Mickiewicza</t>
  </si>
  <si>
    <t>Lubelskie Towarzystwo Gitarowe; ul. Okopowa 12/6, 20-022 Lublin</t>
  </si>
  <si>
    <t>Stowarzyszenie Twórców Ludowych; ul. Grodzka 14, 20-112 Lublin</t>
  </si>
  <si>
    <t>Związek Literatów Polskich; ul. Dolna Panny Marii 3, 20-010 Lublin</t>
  </si>
  <si>
    <t>Stowarzyszenie Społeczno-Kulturalne "Sławinek"; al. Warszawska 31,
20-803 Lublin</t>
  </si>
  <si>
    <t>Stowarzyszenie Kulturalno-Oświatowe "Węglin Północny"; ul. Ditty 8,
20-714 Lublin</t>
  </si>
  <si>
    <t>Towarzystwo Edukacji Kulturalnej; ul. Peowiaków 12, 20-007 Lublin</t>
  </si>
  <si>
    <t>Lubelskie Towarzystwo Fotograficzne, ul. Dolna Panny Marii 3,
20-010 Lublin</t>
  </si>
  <si>
    <t>Towarzystwo Muzyczne im. H. Wieniawskiego; ul. Rynek 17, 
20-111 Lublin</t>
  </si>
  <si>
    <t>Towarzystwo Przyjaciół Sztuk Pięknych; ul. Grodzka 34/36, 
20-112 Lublin</t>
  </si>
  <si>
    <t>Ogólnopolskie Stowarzyszenie Miłośników Hejnałów Miejskich;
ul. Noworybna 4/28, 20-112 Lublin</t>
  </si>
  <si>
    <t>Stowarzyszenie Wokalne "In Corpore"; ul. Lipińskiego 17/38,
20-849 Lublin</t>
  </si>
  <si>
    <t>Towarzystwo Instytutu Europy Środkowo-Wschodniej; ul. Niecała 5
20-080 Lublin</t>
  </si>
  <si>
    <t>Parafia Rzymsko-Katolicka p.w. św. Rodziny; ul. Jana Pawła II 11,
20-535 Lublin</t>
  </si>
  <si>
    <t>Stowarzyszenie Promocji Kultury na Rzecz Środowisk Lokalnych i Osób Niepełnosprawnych "Dziesiąta"; ul. Kunickiego 35, 20-417 Lublin</t>
  </si>
  <si>
    <t>Towarzystwo Nowa Kuźnia; ul. Samsonowicza 25, 20-485 Lublin</t>
  </si>
  <si>
    <t>Wschodnia Fundacja Kultury "Akcent"; ul. Grodzka 3, 20-112 Lublin</t>
  </si>
  <si>
    <t>Stowarzyszenie Literackie "Kresy"; ul. Peowiaków 12, 20-007 Lublin</t>
  </si>
  <si>
    <t>Miejski Klub Sportowy "Start"; al. Piłsudskiego 22, 20-011 Lublin</t>
  </si>
  <si>
    <t>Towarzystwo Sportowo-Turystyczne "Sokolik", ul. Łabędzia 2, 20-335 Lublin</t>
  </si>
  <si>
    <t>Akademicki Związek Sportowy Klub Uczelniany UMCS; 
ul. Langiewicza 22, 20-032 Lublin</t>
  </si>
  <si>
    <t>Budowlany Klub Sportowy; ul. Inżynierska 10, 20-484 Lublin</t>
  </si>
  <si>
    <t>Green Sport Club; ul. Kosmowskiej 3, 20-815 Lublin</t>
  </si>
  <si>
    <t>Integracyjne Centrum Sportu i Rehabilitacji "Start"; al. Piłsudskiego 22,
20-011 Lublin</t>
  </si>
  <si>
    <t>Klub Piłkarski "Wieniawa Lublin"; al. Piłsudskiego 22, 20-011 Lublin</t>
  </si>
  <si>
    <t>Klub Sportowy "Budowlani"; ul. Krasińskiego 11, 20-709 Lublin</t>
  </si>
  <si>
    <t>1.11 Wydział Gospodarki Komunalnej</t>
  </si>
  <si>
    <t>1.12 Biuro Transportu Zbiorowego</t>
  </si>
  <si>
    <t>1.13 Wydział Dróg i Mostów</t>
  </si>
  <si>
    <t>1.14 Wydział Ochrony Środowiska</t>
  </si>
  <si>
    <t>1.15 Wydział Organizacyjny</t>
  </si>
  <si>
    <t xml:space="preserve">wpłaty na rzecz Centralnego i Wojewódzkiego Funduszu Zasobem Geodezyjnym i Kartograficznym </t>
  </si>
  <si>
    <t>Przelewy redystrybucyjne</t>
  </si>
  <si>
    <t>zakup sprzętu specjalistycznego</t>
  </si>
  <si>
    <t>Wydatki na zakupy inwestycyjne funduszy celowych</t>
  </si>
  <si>
    <t>oświetlenie ulic</t>
  </si>
  <si>
    <t>budownictwo mieszkaniowe komunalne i socjalne</t>
  </si>
  <si>
    <t>budowa zakładu utylizacji odpadów komunalnych dla Lublina i gmin ościennych</t>
  </si>
  <si>
    <t>podatek od czynności cywilnoprawnych</t>
  </si>
  <si>
    <t>Podatek od czynności cywilnoprawnych</t>
  </si>
  <si>
    <t>odsetki, opłaty za upomnienia, opłata prolongacyjna</t>
  </si>
  <si>
    <t>podatek od spadków i darowizn</t>
  </si>
  <si>
    <t>wydatki na zadania realizowane przez centra kształcenia oraz ośrodki dokształcania</t>
  </si>
  <si>
    <t>Centra kształcenia ustawicznego i praktycznego oraz ośrodki dokształcania zawodowego</t>
  </si>
  <si>
    <t>remonty obiektów</t>
  </si>
  <si>
    <t>wydatki na zadania realizowane przez przedszkola</t>
  </si>
  <si>
    <t>świadczenia dla bezrobotnych za wykonywanie prac społecznie użytecznych</t>
  </si>
  <si>
    <t>remonty</t>
  </si>
  <si>
    <t>Dotacje celowe otrzymane z budżetu państwa na realizację inwestycji i zakupów inwestycyjnych własnych powiatu</t>
  </si>
  <si>
    <t>wynagrodzenie za inkaso podatków i opłat</t>
  </si>
  <si>
    <t>Fundacja Rozwoju Katolickiego Uniwersytetu Lubelskiego; Al. Racławickie 14, 20-950 Lublin</t>
  </si>
  <si>
    <t>w tym: remont obiektu ZPiT "Lublin" im. W. Kaniorowej</t>
  </si>
  <si>
    <t>środki z Europejskiego Funduszu Społecznego na realizację projektu "Od smutku do radości"</t>
  </si>
  <si>
    <t>Rewaloryzacja Starego Miasta</t>
  </si>
  <si>
    <t>dotacja celowa z budżetu państwa na zasiłki i pomoc w naturze oraz na składki na ubezpieczenia emerytalne i rentowe</t>
  </si>
  <si>
    <t>Placówki opiekuńczo-wychowawcze</t>
  </si>
  <si>
    <t>Nagrody o charakterze szczególnym niezaliczone do wynagrodzeń</t>
  </si>
  <si>
    <t>Stypendia dla uczniów</t>
  </si>
  <si>
    <t xml:space="preserve">Wynagrodzenia bezosobowe </t>
  </si>
  <si>
    <t>dotacja dla Teatru im. H. Ch. Andersena</t>
  </si>
  <si>
    <t>dotacja celowa z budżetu państwa na realizację zadań wynikających z programu wieloletniego "Program na rzecz społecznosci romskiej w Polsce"</t>
  </si>
  <si>
    <t>wydatki związane ze zwrotem podatku akcyzowego producentom rolnym</t>
  </si>
  <si>
    <t>zakup profilaktycznych świadczeń zdrowotnych</t>
  </si>
  <si>
    <t>Stowarzyszenie Trzeźwościowe "Rodzina", ul. Jana Pawła II 11, 
20-535 Lublin</t>
  </si>
  <si>
    <t>organizacja obozów szkoleniowych i imprez sportowo-rekreacyjnych w okresie ferii zimowych i wakacji letnich</t>
  </si>
  <si>
    <t>Dotacje celowe z budżetu na finansowanie lub dofinansowanie kosztów realizacji inwestycji i zakupów inwestycyjnych innych jednostek sektora finansów publicznych</t>
  </si>
  <si>
    <t xml:space="preserve">informatyzacja Miejskiej Biblioteki Publicznej w Lublinie i utworzenie PIAP-ów w filiach MBP - II etap </t>
  </si>
  <si>
    <t>zwiększanie dostępności pomocy terapeutycznej i rehabilitacyjnej dla osób uzależnionych od alkoholu</t>
  </si>
  <si>
    <t>porządkowanie targowisk, handlu ulicznego</t>
  </si>
  <si>
    <t>Stowarzyszenie Ochrony i Pomocy Rodzinie Alkoholowej "SOPRA"; ul. Sasankowa 4/8, 
20-537 Lublin</t>
  </si>
  <si>
    <t>Stowarzyszenie Pomocy Rodzinie Zagrożonej Patologią Społeczną "POSTIS"; 
Pl. Czechowicza 1, 20-303 Lublin</t>
  </si>
  <si>
    <t>Parafia Rzymsko-Katolicka p.w. św. Jana Chrzciciela i św. Jana Ewangelisty, 
ul. Królewska 10, 20-109 Lublin</t>
  </si>
  <si>
    <t>Instytut Akcji Katolickiej Archidiecezji Lubelskiej , ul. Prymasa Stefana Wyszyńskiego 2, 
20-950 Lublin; Oddział przy Parafii pw. św. Michała Archanioła przy ul. Fabrycznej 19</t>
  </si>
  <si>
    <t>Instytut Akcji Katolickiej Archidiecezji Lubelskiej , ul. Prymasa Stefana Wyszyńskiego 2, 
20-950 Lublin; Oddział przy Parafii św. Rodziny przy 
ul. Radości 13</t>
  </si>
  <si>
    <t>Instytut Akcji Katolickiej Archidiecezji Lubelskiej , ul. Prymasa Stefana Wyszyńskiego 2, 20-950 Lublin; Oddział przy Parafii pw. Św. Maksymiliana Kolbe przy ul. Droga Męczenników Majdanka 27</t>
  </si>
  <si>
    <t>Parafia Rzymsko-Katolicka pw. św Krzyża; ul. Pogodna 7, 20-337 Lublin</t>
  </si>
  <si>
    <t>Parafia Rzymsko-Katolicka pw. św. Stanisława Biskupa i Męczennika, 
ul. Zbożowa 75, 20-827 Lublin</t>
  </si>
  <si>
    <t>Katolicki Uniwersytet Lubelski Jana Pawła II; Al. Racławickie 14, 
20-950 Lublin</t>
  </si>
  <si>
    <t>Uczniowski Klub Sportowy "Skarpa", ul. Radości 13, 20-593 Lublin</t>
  </si>
  <si>
    <t>Stowarzyszenie Młodzieżowy Klub Sportowy "Viking Lublinianka", 
ul. Leszczyńskiego 19, 20-068 Lublin</t>
  </si>
  <si>
    <t>Klub Piłkarski "Wieniawa Lublin", al. Piłsudskiego 22, 20-011 Lublin</t>
  </si>
  <si>
    <t>Lubelski Klub Sportowy Taekwon-do, ul. Nowowiejskiego 1/1, 20-880 Lublin</t>
  </si>
  <si>
    <t>Uczniowski Klub Sportowy "Widok" SP Nr 51, ul. Bursztynowa 22, 20-576 Lublin</t>
  </si>
  <si>
    <t>Stowarzyszenie Kultury Fizycznej AZS Klub Środowiskowy, ul. Langiewicza 22, 
20-032 Lublin</t>
  </si>
  <si>
    <t>Parafia Rzymsko-Katolicka pw. Świętego Krzyża; ul. Pogodna 7, 
20-337 Lublin</t>
  </si>
  <si>
    <t>Stowarzyszenie Kultury Fizycznej AZS Klub Środowiskowy Oddział w Lublinie; 
ul. Langiewicza 22, 20-032 Lublin</t>
  </si>
  <si>
    <t>Związek Harcerstwa Polskiego, Komenda Hufca Lublin; ul. Lubartowska 39</t>
  </si>
  <si>
    <t>Ośrodek Leczenia Uzależnień Samodzielny Publiczny Zakład Opieki Zdrowotnej; 
ul. Karłowicza 1, 20-027 Lublin</t>
  </si>
  <si>
    <t>Charytatywne Stowarzyszenie Niesienia Pomocy Chorym "Misericordia"; 
ul. Abramowicka 2, 20-442 Lublin</t>
  </si>
  <si>
    <t>Parafia Rzymsko-Katolicka pw. Św. Krzyża, ul. Pogodna 7, 20-337 Lublin</t>
  </si>
  <si>
    <t>Instytut Akcji Katolickiej Archidiecezji Lubelskiej, ul. Prymasa Stefana Wyszyńskiego 2, 
20-950 Lublin; Oddział przy Parafii pw. św. Antoniego Padewskiego przy ul. Kasztanowej 1</t>
  </si>
  <si>
    <t>Parafia Rzymsko-Katolicka pw. św. Jana Chrzciciela i św. Jana Ewangelisty, 
ul. Królewska 10, 20-109 Lublin</t>
  </si>
  <si>
    <t>infrastruktura dla aktywizacji gospodarczej w dzielnicy Bursaki</t>
  </si>
  <si>
    <t>w tym: zakupy inwestycyjne - Lubelska Trasa Podziemna</t>
  </si>
  <si>
    <t>organizacja imprez sportowo - rekreacyjnych w osiedlach mieszkaniowych</t>
  </si>
  <si>
    <t>nagrody dla zawodników i kadry szkoleniowej</t>
  </si>
  <si>
    <t>pomoc finansowa dla gminy Lubartów na inwestycje</t>
  </si>
  <si>
    <t>Ochrona zabytków i opieka nad zabytkami</t>
  </si>
  <si>
    <t xml:space="preserve">Zakup usług remontowych </t>
  </si>
  <si>
    <t>środki z Europejskiego Funduszu Społecznego na realizację projektu "AWANS - integracja społeczna i zawodowa młodzieży z osiedla im. A. Grygowej"</t>
  </si>
  <si>
    <t>Pozostała działalność</t>
  </si>
  <si>
    <t>Dochody własne powiatu</t>
  </si>
  <si>
    <t>infrastruktura techniczna dla inwestorów budownictwa wielorodzinnego</t>
  </si>
  <si>
    <t>dotacja celowa z budżetu państwa na realizację bieżących zadań z zakresu administracji rządowej</t>
  </si>
  <si>
    <t>Dochody gminy - Dotacje celowe i inne środki na zadania realizowane na podstawie porozumień i umów</t>
  </si>
  <si>
    <t>Lecznictwo ambulatoryjne</t>
  </si>
  <si>
    <t>Ochrona zdrowia</t>
  </si>
  <si>
    <t>modernizacja i rozbudowa Portu Lotniczego Lublin w Świdniku</t>
  </si>
  <si>
    <t>Dochody</t>
  </si>
  <si>
    <t>Zmniejszenia</t>
  </si>
  <si>
    <t>zwrot nadpłaty podatku od nieruchomości za 2006 rok</t>
  </si>
  <si>
    <t>wpłata do budżetu z rachunku dochodów własnych "Egekucja adminstracyjna"</t>
  </si>
  <si>
    <t>Wpływy do budżetu nadwyżki dochodów własnych lub środków obrotowych</t>
  </si>
  <si>
    <t>niewykorzystane środki z tytułu wydatków niewygasających</t>
  </si>
  <si>
    <t>środki z Funduszu Rozwoju Kultury Fizycznej oraz PZU SA i PZU Życie SA na budowę boiska przy Gimnazjum nr 8 w ramach programu "BLISKO BOISKO"</t>
  </si>
  <si>
    <t>środki z Funduszu Zajęć Sportowo-Rekreacyjnych dla Uczniów na dofinansowanie zajęć sportowo-rekreacyjnych</t>
  </si>
  <si>
    <t>Dotacje otrzymane z funduszy celowych na realizację zadań bieżących jednostek sektora finansów publicznych</t>
  </si>
  <si>
    <t>Uzupełnienie subwencji ogólnej dla jednostek samorządu terytorialnego</t>
  </si>
  <si>
    <t>subwencja ogólna (przeznaczona na inwestycje drogowe)</t>
  </si>
  <si>
    <t>Środki na inwestycje rozpoczęte przed dniem 1 stycznia 1999 r.</t>
  </si>
  <si>
    <t>środki z Europejskiego Funduszu Społecznego i budżetu państwa na realizację projektu "Nasza szkoła. Opracowanie i wdrożenie programów rozwoju szkół Polski Wschodniej"</t>
  </si>
  <si>
    <t xml:space="preserve">porządkowanie infrastruktury wodociągowej i ciepłowniczej w osiedlach wielorodzinnych </t>
  </si>
  <si>
    <t>wydatki na zadania realizowane przez Miejski Zespół do Spraw Orzekania 
o Niepełnosprawności</t>
  </si>
  <si>
    <t>Zapaśnicze Towarzystwo Sportowe "Sokół"; ul. Dunikowskiego 90,
20-425 Lublin</t>
  </si>
  <si>
    <t>Przeciwdziałanie alkoholizmowi</t>
  </si>
  <si>
    <t>Domy pomocy społecznej</t>
  </si>
  <si>
    <t>Ośrodki wsparcia</t>
  </si>
  <si>
    <t>Żłobki</t>
  </si>
  <si>
    <t>0420</t>
  </si>
  <si>
    <t>Pomoc społeczna</t>
  </si>
  <si>
    <t>uproszczony plan urządzenia lasów</t>
  </si>
  <si>
    <t>badanie potoków pasażerskich komunikacji miejskiej</t>
  </si>
  <si>
    <t>budowa i rozbudowa trakcji trolejbusowej w Lublinie</t>
  </si>
  <si>
    <t>zintegrowany system miejskiego transportu publicznego</t>
  </si>
  <si>
    <t>budowa dworca autobusowego</t>
  </si>
  <si>
    <t>budowa trakcji trolejbusowej w ulicach Roztocze-Orkana-Armii Krajowej-Bohaterów Monte Cassino-Wileńska-Głęboka</t>
  </si>
  <si>
    <t>budowa "Zintegrowanego systemu zarządzania ruchem i komunikacją w Lublinie"</t>
  </si>
  <si>
    <t>kamienica przy ul. Rynek 8</t>
  </si>
  <si>
    <t>makieta kościoła - Plac po Farze</t>
  </si>
  <si>
    <t>ścieżka rowerowa wokół Zalewu Zemborzyckiego</t>
  </si>
  <si>
    <t>zagospodarowanie Górki Globus</t>
  </si>
  <si>
    <t>modernizacja bazy rekreacyjnej nad Zalewem Zemborzyckim</t>
  </si>
  <si>
    <t>wykonanie zasilania drugostronnego przepompowni przy ul. Niezapominajki</t>
  </si>
  <si>
    <t>przebudowa przepompowni Nr 1 i 2 u wlotu do Zalewu Zemborzyckiego</t>
  </si>
  <si>
    <t>modernizacja Stadionu Miejskiego przy Al. Zygmuntowskich 5 w Lublinie - etap II</t>
  </si>
  <si>
    <t>modernizacja hali sportowo-widowiskowej przy Al. Zygmuntowskich 4 - etap II</t>
  </si>
  <si>
    <t>modernizacja krytej pływalni przy Al. Zygmuntowskich 4</t>
  </si>
  <si>
    <t>Ośrodek Sportów Terenowych przy ul. Janowskiej - Cross Rowerowy</t>
  </si>
  <si>
    <t>wydatki na zadania realizowane przez gimnazja</t>
  </si>
  <si>
    <t>budowa zespołu urządzeń sportowych przy Gimnazjum nr 16 i Szkole Podstawowej nr 43</t>
  </si>
  <si>
    <t>mur oporowy oddzielający boisko II LO im. Zamoyskiego od posesji Starostwa Powiatowego przy ul. Spokojnej</t>
  </si>
  <si>
    <t>remonty szkół</t>
  </si>
  <si>
    <t>upowszechnianie kultury i sztuki</t>
  </si>
  <si>
    <t>w tym: remont obiektu Teatru im. H. Ch. Andersena</t>
  </si>
  <si>
    <t>w tym: remonty obiektów Dzielnicowego Domu Kultury "Bronowice"</t>
  </si>
  <si>
    <t>w tym: zakupy inwestycyjne - Dzielnicowy Dom Kultury "Bronowice"</t>
  </si>
  <si>
    <t>w tym: zakupy inwestycyjne - ZPiT "Lublin" im. W. Kaniorowej</t>
  </si>
  <si>
    <t>w tym: remont elewacji Bramy Grodzkiej</t>
  </si>
  <si>
    <t>w tym: inwestycje - Ośrodek "Brama Grodzka - Teatr NN"</t>
  </si>
  <si>
    <t>dotacja dla Ośrodka "Brama Grodzka - Teatr NN" na realizację projektu "Historie z fotogramów"</t>
  </si>
  <si>
    <t>Dotacja celowa z budżetu dla pozostałych jednostek zaliczanych do sektora finansów publicznych</t>
  </si>
  <si>
    <t>w tym: remonty pomieszczeń</t>
  </si>
  <si>
    <t>w tym: zakupy inwestycyjne - Biuro Wystaw Artystycznych</t>
  </si>
  <si>
    <t>w tym: zakupy inwestycyjne - Centrum Kultury</t>
  </si>
  <si>
    <t>w tym: inwestycje - Miejska Biblioteka Publiczna</t>
  </si>
  <si>
    <t>dotacja dla Miejskiej Biblioteki Publicznej im. H. Łopacińskiego</t>
  </si>
  <si>
    <t>dotacja dla Miejskiej Biblioteki Publicznej im. H. Łopacińskiego na realizację projektu "Informatyzacja Miejskiej Biblioteki Publicznej im. H. Łopacińskiego w Lublinie i utworzenie Publicznych Punktów Dostępu do Internetu w filiach MBP" - II etap</t>
  </si>
  <si>
    <t>remonty kanalizacji deszczowej</t>
  </si>
  <si>
    <t>odsetki od środków dotacji z budżetu miasta zgromadzonych na rachunkach bankowych</t>
  </si>
  <si>
    <t>pomoc finansowa z Gminy Świdnik na refundację wydatków poniesionych na budowę składowiska odpadów komunalnych w Rokitnie</t>
  </si>
  <si>
    <t>cmentarz komunalny</t>
  </si>
  <si>
    <t>dotacja celowa z budżetu państwa na modernizację ewidencji gruntów</t>
  </si>
  <si>
    <t>dotacja celowa z budżetu państwa na utrzymanie Powiatowego Inspektoratu Nadzoru Budowlanego</t>
  </si>
  <si>
    <t xml:space="preserve">opłaty za wydanie dziennika budowy </t>
  </si>
  <si>
    <t xml:space="preserve">odsetki od nieterminowych wpłat </t>
  </si>
  <si>
    <t>dotacja celowa z budżetu państwa na finansowanie zadań z zakresu obrony cywilnej</t>
  </si>
  <si>
    <t>Gospodarka odpadami</t>
  </si>
  <si>
    <t>1. Urząd Miasta</t>
  </si>
  <si>
    <t>Dotacje celowe otrzymane z budżetu państwa na inwestycje i zakupy inwestycyjne realizowane przez powiat na podstawie porozumień z organami administracji rządowej</t>
  </si>
  <si>
    <t>dotacja z Europejskiego Funduszu Społecznego i budżetu państwa na realizację projektu "Program stypendialny Miasta Lublin szansą ponadgimnazjalistów z terenów wiejskich"</t>
  </si>
  <si>
    <t>dotacja celowa z budżetu państwa na zakupy inwestycyjne w Powiatowym Inspektoracie Nadzoru Budowlanego</t>
  </si>
  <si>
    <t>dotacja celowa z budżetu państwa na inwestycje dla Komendy Miejskiej Państwowej Straży Pożarnej</t>
  </si>
  <si>
    <t>dotacja celowa z budżetu państwa na prowadzenie ośrodków wsparcia</t>
  </si>
  <si>
    <t xml:space="preserve">dotacja celowa z budżetu państwa na inwestycje w środowiskowych domach samopomocy </t>
  </si>
  <si>
    <t>dotacja celowa z budżetu państwa na utrzymanie zespołu ds. orzekania o niepełnosprawności</t>
  </si>
  <si>
    <t>wpłaty z tytułu uzyskania prawa własności w wyniku przekształcenia lub odpłatnego nabycia</t>
  </si>
  <si>
    <t xml:space="preserve">opłata za zezwolenie na wykonywanie przewozu osób w krajowym transporcie drogowym </t>
  </si>
  <si>
    <t>wpłaty społecznych komitetów i innych podmiotów na inwestycje</t>
  </si>
  <si>
    <t>opłata za czasowe wycofanie pojazdu z ruchu drogowego</t>
  </si>
  <si>
    <t>upowszechnianie turystyki i krajoznawstwa</t>
  </si>
  <si>
    <t xml:space="preserve">Różne jednostki obsługi gospodarki mieszkaniowej </t>
  </si>
  <si>
    <t>Cmentarze</t>
  </si>
  <si>
    <t>ul. Rapackiego</t>
  </si>
  <si>
    <t>przebudowa ul. Majdan Tatarski</t>
  </si>
  <si>
    <t>Szkoła Podstawowa nr 51 w os. Widok</t>
  </si>
  <si>
    <t xml:space="preserve">przeniesienie zdroju ulicznego ul. Włościańska /ul. Dzierżawna </t>
  </si>
  <si>
    <t>wiaty przystankowe</t>
  </si>
  <si>
    <t>Ogród Saski</t>
  </si>
  <si>
    <t>remonty urządzeń oświetlenia</t>
  </si>
  <si>
    <t>Zakup usług obejmujących tłumaczenia</t>
  </si>
  <si>
    <t>1.20  Biuro Obsługi Kancelaryjnej</t>
  </si>
  <si>
    <t>1.21  Wydział Organizacji Urzędu</t>
  </si>
  <si>
    <t>1.22  Wydział Remontów Budynków</t>
  </si>
  <si>
    <t>1.23  Wydział Spraw Społecznych</t>
  </si>
  <si>
    <t>1.24  Wydział Kultury</t>
  </si>
  <si>
    <t>1.25  Wydział Sportu i Turystyki</t>
  </si>
  <si>
    <t>1.26  Wydział Spraw Mieszkaniowych</t>
  </si>
  <si>
    <t>1.27  Wydział Zdrowia i Spraw Społecznych</t>
  </si>
  <si>
    <t>1.28 Wydział Strategii i Rozwoju</t>
  </si>
  <si>
    <t>1.29 Wydział Inwestycji</t>
  </si>
  <si>
    <t>1.30  Kancelaria Prezydenta Miasta</t>
  </si>
  <si>
    <t>1.31  Biuro Obsługi Inwestorów</t>
  </si>
  <si>
    <t>projekty w ramach programu Socrates - Comenius</t>
  </si>
  <si>
    <t>Towarzystwo Przyjaciół Dzieci Lubelski Oddział Regionalny, 
ul. Narutowicza 54, 20-016 Lublin</t>
  </si>
  <si>
    <t>Parafia Rzymsko-Katolicka p.w. św. Stanisława Biskupa i Męczennika, 
ul. Zbożowa 75, 20-827 Lublin</t>
  </si>
  <si>
    <t>Zgromadzenie Sióstr Urszulanek Serca Jezusa Konającego Dom Zakonny, ul. Sudecka 49-53, 20-827 Lublin</t>
  </si>
  <si>
    <t>Instytut Akcji Katolickiej Archidiecezji Lubelskiej , ul. Prymasa Stefana Wyszyńskiego 2, 20-950 Lublin; Oddział przy Parafii pw. św. Antoniego Padewskiego przy ul. Kasztanowej 1</t>
  </si>
  <si>
    <t>wspomaganie działalności instytucji, stowarzyszeń i osób fizycznych, służącej rozwiązywaniu problemów alkoholowych</t>
  </si>
  <si>
    <t>działalność Komisji Rozwiązywania Problemów Alkoholowych</t>
  </si>
  <si>
    <t>pozostałe zadania w zakresie upowszechniania kultury i sztuki</t>
  </si>
  <si>
    <t>przebudowa ul. Choiny na odcinku od ul. Związkowej do ul. Paderewskiego</t>
  </si>
  <si>
    <t>Składki na ubezpieczenie zdrowotne opłacane za osoby pobierające niektóre świadczenia z pomocy społecznej oraz niektóre świadczenia rodzinne</t>
  </si>
  <si>
    <t>Jednostki specjalistycznego poradnictwa, mieszkania chronione i ośrodki interwencji kryzysowej</t>
  </si>
  <si>
    <t xml:space="preserve">Teatry </t>
  </si>
  <si>
    <t>środki z Europejskiego Funduszu Społecznego na realizację projektu "Siłaczka"</t>
  </si>
  <si>
    <t>wypłata oprocentowania obligacji komunalnych</t>
  </si>
  <si>
    <t>rezerwa celowa na usuwanie skutków klęsk żywiołowych</t>
  </si>
  <si>
    <t>opłaty pobierane na podstawie ustawy o drogach publicznych</t>
  </si>
  <si>
    <t>wpływy z dzierżawy gablot reklamowych wiat przystankowych</t>
  </si>
  <si>
    <t>w tym: remont filii Miejskiej Biblioteki Publicznej im. H. Łopacińskiego</t>
  </si>
  <si>
    <t xml:space="preserve">kanalizacja sanitarna i deszczowa NF w kierunku os. Felin i w os. Felin </t>
  </si>
  <si>
    <t>dotacja celowa na prace konserwatorskie, restauratorskie i roboty budowlane zabytków</t>
  </si>
  <si>
    <t>remont budynku Teatru Starego</t>
  </si>
  <si>
    <t>Podatek od działalności gospodarczej osób fizycznych, opłacany w formie karty podatkowej</t>
  </si>
  <si>
    <t>odsetki od nieterminowych wpłat</t>
  </si>
  <si>
    <t>Odsetki od nieterminowych wpłat z tytułu podatków i opłat</t>
  </si>
  <si>
    <t>podatek od nieruchomości</t>
  </si>
  <si>
    <t>podatek rolny</t>
  </si>
  <si>
    <t>Podatek rolny</t>
  </si>
  <si>
    <t>podatek leśny</t>
  </si>
  <si>
    <t>Podatek leśny</t>
  </si>
  <si>
    <t>Wpłaty na Państwowy Fundusz Rehabilitacji Osób Niepełnosprawnych</t>
  </si>
  <si>
    <t>Dochody powiatu, z tego:</t>
  </si>
  <si>
    <t>schronisko dla zwierząt</t>
  </si>
  <si>
    <t xml:space="preserve">dotacja celowa z budżetu państwa na realizację bieżących zadań z zakresu administracji rządowej </t>
  </si>
  <si>
    <t>Stypendia różne</t>
  </si>
  <si>
    <t>Trybunał Koronny</t>
  </si>
  <si>
    <t>Szkoły podstawowe specjalne</t>
  </si>
  <si>
    <t>Przedszkola specjalne</t>
  </si>
  <si>
    <t>Zwrot dotacji wykorzystanych niezgodnie z przeznaczeniem lub pobranych w nadmiernej wysokości</t>
  </si>
  <si>
    <t>termomodernizacje obiektów</t>
  </si>
  <si>
    <t>przebudowa al. Kraśnickiej (odcinek od ul. Roztocze do granic miasta)</t>
  </si>
  <si>
    <t xml:space="preserve">odprowadzenie wód deszczowych z osiedli: Szerokie, Lipniak, Węglin Południowy i Północny, Sławin </t>
  </si>
  <si>
    <t xml:space="preserve">odwodnienie os. Sławin </t>
  </si>
  <si>
    <t xml:space="preserve">kanalizacja sanitarna w os. Węglin Południowy </t>
  </si>
  <si>
    <t xml:space="preserve">sieć wodociągowa w ul. Nałęczowskiej </t>
  </si>
  <si>
    <t>Związek Polskich Artystów Plastyków; ul. Grodzka 3, 20-012 Lublin</t>
  </si>
  <si>
    <t>Stowarzyszenie nz rzecz Sceny Plastycznej KUL; al. Racławickie 14,
20-950 Lublin</t>
  </si>
  <si>
    <t>Stowarzyszenie "W Stronę Sztuki"; ul. M. Curie-Skłodowskiej 5,
20-029 Lublin</t>
  </si>
  <si>
    <t>Fundacja Duszpasterstwa Biblijnego "Metanoia", al. Sikorskiego 1/29, 
20-814 Lublin</t>
  </si>
  <si>
    <t>w złotych</t>
  </si>
  <si>
    <t>Dział</t>
  </si>
  <si>
    <t>Zmiany</t>
  </si>
  <si>
    <t>Plan
po zmianach</t>
  </si>
  <si>
    <t>Wydatki jednostek pomocniczych miasta, w tym:</t>
  </si>
  <si>
    <t>Plan według uchwały 
nr 41/V/2007 
Rady Miasta Lublin 
z dnia 8.02.2007 r. 
z późn. zm.</t>
  </si>
  <si>
    <t>Wydział Organizacyjny</t>
  </si>
  <si>
    <t>remonty lokali jednostek pomocniczych miasta, z tego:</t>
  </si>
  <si>
    <t>Rada Dzielnicy Abramowice</t>
  </si>
  <si>
    <t>Rada Dzielnicy Ponikwoda</t>
  </si>
  <si>
    <t>Składki na ubezpieczenie zdrowotne opłacane za osoby pobierające niektóre świadczenia z pomocy społecznej oraz niektóre świadczenia społeczne</t>
  </si>
  <si>
    <t xml:space="preserve">Gospodarka mieszkaniowa </t>
  </si>
  <si>
    <t>środki z Europejskiego Funduszu Rozwoju Regionalnego na realizację projektu "Wprowadzenie Elektronicznego Systemu Obiegu Dokumentów 
i informatyzacja Biura Obsługi Mieszkańców"</t>
  </si>
  <si>
    <t>budowa boiska w ramach Programu BLISKO BOISKO</t>
  </si>
  <si>
    <t>koszty rozbiórek budynków</t>
  </si>
  <si>
    <t>udział w dochodach budżetu państwa z tytułu opłat za pobyt w środowiskowych domach samopomocy</t>
  </si>
  <si>
    <t>udział w dochodach budżetu państwa z tytułu opłat za usługi opiekuńcze</t>
  </si>
  <si>
    <t>Pozostałe zadania w zakresie polityki społecznej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</si>
  <si>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</si>
  <si>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fundacjom</t>
  </si>
  <si>
    <t>zakupy inwestycyjne</t>
  </si>
  <si>
    <t xml:space="preserve">odsetki od środków na rachunkach bankowych </t>
  </si>
  <si>
    <t>Pozostałe odsetki</t>
  </si>
  <si>
    <t>zwrot niesłusznie pobranych dodatków mieszkaniowych</t>
  </si>
  <si>
    <t>wydatki związane z utrzymaniem zasobów komunalnych, sprzedażą mienia komunalnego oraz szacunki nieruchomości</t>
  </si>
  <si>
    <t>wykup gruntów</t>
  </si>
  <si>
    <t>zadania w zakresie nadzoru nad lasami</t>
  </si>
  <si>
    <t>700</t>
  </si>
  <si>
    <t>gospodarka nieruchomościami</t>
  </si>
  <si>
    <t>Rodziny zastępcze</t>
  </si>
  <si>
    <t>Nadzór budowlany</t>
  </si>
  <si>
    <t>Komisje poborowe</t>
  </si>
  <si>
    <t>dodatki mieszkaniowe</t>
  </si>
  <si>
    <t>usługi komunikacyjne w zakresie transportu zbiorowego</t>
  </si>
  <si>
    <t>eksploatacja bieżąca i konserwacja kanalizacji deszczowej</t>
  </si>
  <si>
    <t xml:space="preserve">przebudowa al. Smorawińskiego od al. Solidarności do al. Kompozytorów Polskich (wraz z rondem) </t>
  </si>
  <si>
    <t xml:space="preserve">przebudowa ul. Mełgiewskiej od skrzyżowania z ul. Gospodarczą do końca odcinka dwujezdniowego </t>
  </si>
  <si>
    <t>drogi krajowe, wojewódzkie i powiatowe, z tego:</t>
  </si>
  <si>
    <t>przedłużenie ul. Mełgiewskiej wraz z budową wiaduktu nad linią kolejową oraz przebudowa ulicy w celu połączenia z węzłem drogowym obwodnicy "Mełgiew"</t>
  </si>
  <si>
    <t>Lubelski Lipiec '80 (trasa zielona) - I etap</t>
  </si>
  <si>
    <t>dotacje na utrzymanie dzieci umieszczonych w rodzinach zastępczych na terenie innych powiatów</t>
  </si>
  <si>
    <t>Świadczenia społeczne</t>
  </si>
  <si>
    <t>Opłaty na rzecz budżetów jednostek samorządu terytorialnego</t>
  </si>
  <si>
    <t>Dotacja celowa z budżetu na finansowanie lub dofinansowanie zadań zleconych do realizacji stowarzyszeniom</t>
  </si>
  <si>
    <t>Zakup usług zdrowotnych</t>
  </si>
  <si>
    <t>składowisko odpadów komunalnych w Rokitnie zad. 1</t>
  </si>
  <si>
    <t>przebudowa oczyszczalni ścieków w Rokitnie</t>
  </si>
  <si>
    <t>Odsetki od samorządowych papierów wartościowych</t>
  </si>
  <si>
    <t>Rezerwy na inwestycje i zakupy inwestycyjne</t>
  </si>
  <si>
    <t>Euroregiony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</si>
  <si>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</si>
  <si>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</si>
  <si>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</si>
  <si>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</si>
  <si>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</si>
  <si>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na zadania realizowane przez Miejski Urząd Pracy</t>
  </si>
  <si>
    <t>remont obiektu</t>
  </si>
  <si>
    <t>Szkoła Podstawowa nr 21</t>
  </si>
  <si>
    <t>budowa krytej pływalni przy SP nr 23</t>
  </si>
  <si>
    <t>wydatki na zadania realizowane przez szkoły podstawowe</t>
  </si>
  <si>
    <t>przedszkole przy ul. Wolskiej</t>
  </si>
  <si>
    <t>drogi gminne, z tego:</t>
  </si>
  <si>
    <t>wydatki na zadania realizowane przez szkoły podstawowe, z tego:</t>
  </si>
  <si>
    <t>wydatki na zadania realizowane przez przedszkola, z tego:</t>
  </si>
  <si>
    <t>wydatki na zadania realizowane przez licea ogólnokształcące, z tego:</t>
  </si>
  <si>
    <t>wydatki na zadania realizowane przez szkoły zawodowe</t>
  </si>
  <si>
    <t>wydatki na zadania realizowane przez szkoły zawodowe, z tego:</t>
  </si>
  <si>
    <t>Wydział Remontów Budynków</t>
  </si>
  <si>
    <t>Plan
na 2007 rok
po zmianach</t>
  </si>
  <si>
    <t xml:space="preserve">
Rozdz. 
§     </t>
  </si>
  <si>
    <t>(nazwa działu, rozdziału, źródła przychodów, zadania, paragrafu)</t>
  </si>
  <si>
    <t>Stan środków obrotowych na początek roku</t>
  </si>
  <si>
    <t>Przychody</t>
  </si>
  <si>
    <t>Suma bilansowa</t>
  </si>
  <si>
    <t xml:space="preserve">Wydatki </t>
  </si>
  <si>
    <t>1. Urząd Miasta Lublin</t>
  </si>
  <si>
    <t>Fundusz Ochrony Środowiska i Gospodarki Wodnej</t>
  </si>
  <si>
    <t>Stan środków obrotowych na koniec roku</t>
  </si>
  <si>
    <t xml:space="preserve">Plan przychodów i wydatków Gminnego Funduszu Ochrony </t>
  </si>
  <si>
    <t>Wydatki jednostek pomocniczych w 2007 roku</t>
  </si>
  <si>
    <t xml:space="preserve">Środowiska i Gospodarki Wodnej na 2007 rok </t>
  </si>
  <si>
    <t>dotacja na realizację projektu "SZANSA - Aktywizacja zawodowa młodzieży trudnej w Lublinie"</t>
  </si>
  <si>
    <t>projekt "Najlepsi pod słońcem. Serial telewizyjny promujący potencjał gospodarczy Lublina i polsko-ukraińskiego pogranicza"</t>
  </si>
  <si>
    <t>Euroregionalny Ośrodek Informacji i Współpracy Kulturalnej w Lublinie</t>
  </si>
  <si>
    <t>Specjalistyczna Poradnia dla Rodzin</t>
  </si>
  <si>
    <t>Zasądzone renty</t>
  </si>
  <si>
    <t>dotacja dla Ośrodka "Brama Grodzka - Teatr NN"</t>
  </si>
  <si>
    <t>sprzedaż mieszkań komunalnych</t>
  </si>
  <si>
    <t>dotacja celowa z budżetu państwa na składki na ubezpieczenie zdrowotne opłacane za osoby pobierające świadczenia z pomocy społecznej</t>
  </si>
  <si>
    <t>środki z Programu Sąsiedztwa Interreg IIIA/Tacis CBC i budżetu państwa na realizację projektu "Program wspierania udziału w imprezach targowych Lublin - Brześć - Łuck. Eurotrójkąt - Targi 2007"</t>
  </si>
  <si>
    <t>środki na realizację projektu "Kultura bez granic - Dni Debreczyna w Lublinie"</t>
  </si>
  <si>
    <t>1.16 Biuro Kadr</t>
  </si>
  <si>
    <t xml:space="preserve">Podróże służbowe krajowe </t>
  </si>
  <si>
    <t>1.1 Wydział Organizacyjny</t>
  </si>
  <si>
    <t>likwidacja niskiej emisji (Bursa Szkolna nr 1)</t>
  </si>
  <si>
    <t>Wydatki inwestycyjne funduszy celowych</t>
  </si>
  <si>
    <t>1.2 Wydział Remontów Budynków</t>
  </si>
  <si>
    <t>Plan przychodów i wydatków Funduszu Gospodarki Zasobem</t>
  </si>
  <si>
    <t xml:space="preserve">Geodezyjnym i Kartograficznym na 2007 rok </t>
  </si>
  <si>
    <t xml:space="preserve"> Przychody</t>
  </si>
  <si>
    <t>Urząd Miasta Lublin - Wydział Geodezji i Gospodarki Nieruchomościami</t>
  </si>
  <si>
    <t>Fundusz Gospodarki Zasobem Geodezyjnym i Kartograficznym</t>
  </si>
  <si>
    <t>sprzedaż map i wyrysów</t>
  </si>
  <si>
    <t>0830</t>
  </si>
  <si>
    <t>Wpływy z usług</t>
  </si>
  <si>
    <t>odsetki od środków na rachunku bankowym</t>
  </si>
  <si>
    <t>zakup materiałów i usług</t>
  </si>
  <si>
    <t>Wpływy z tytułu pomocy finansowej udzielanej między jednostkami samorządu terytorialnego na dofinansowanie własnych zadań inwestycyjnych i zakupów inwestycyjnych</t>
  </si>
  <si>
    <t xml:space="preserve">termomodernizacje obiektów </t>
  </si>
  <si>
    <t>roboty termomodernizacyjne i ogólnobudowlane DPS Betania</t>
  </si>
  <si>
    <t>składowisko odpadów komunalnych w Rokitnie</t>
  </si>
  <si>
    <t xml:space="preserve">Rozliczenia z tytułu poręczeń i gwarancji udzielonych przez Skarb Państwa lub jednostkę samorządu terytorialnego </t>
  </si>
  <si>
    <t>Wypłaty z tytułu gwarancji i poręczeń</t>
  </si>
  <si>
    <t>poręczenie kredytu zaciągniętego przez MPK Lublin Sp. z o.o.</t>
  </si>
  <si>
    <t xml:space="preserve">rezerwa celowa na podwyżki wynagrodzeń pracowników szkół i placówek oświatowo-wychowawczych, a także pracowników pedagogicznych placówek pomocy społecznej </t>
  </si>
  <si>
    <t>rezerwa celowa na uruchomienie od 1 września 2007 roku nowych segmentów w szkołach</t>
  </si>
  <si>
    <t>dotacja celowa z budżetu państwa na sfinansowanie dodatku do wynagrodzenia pracownika socjalnego</t>
  </si>
  <si>
    <t>dotacja celowa z budżetu państwa na realizację zadań z zakresu utrzymania grobów i cmentarzy wojennych</t>
  </si>
  <si>
    <t>Dotacje celowe otrzymnae z budżetu państwa na zadania bieżące realizowane przez gminę na podstawie porozumień z organami administracji rządowej</t>
  </si>
  <si>
    <t>dotacja celowa z budżetu państwa na wydatki związane ze zwrotem podatku akcyzowego producentom rolnym</t>
  </si>
  <si>
    <t>Dochody od osób prawnych, od osób fizycznych i od innych jednostek nieposiadających osobowości prawnej oraz wydatki związane z ich poborem</t>
  </si>
  <si>
    <t>Podatek dochodowy od osób fizycznych</t>
  </si>
  <si>
    <t>podatek dochodowy od osób prawnych</t>
  </si>
  <si>
    <t>Podatek dochodowy od osób prawnych</t>
  </si>
  <si>
    <t>Różne rozliczenia finansowe</t>
  </si>
  <si>
    <t>Dotacja przedmiotowa z budżetu dla gospodarstwa pomocniczego</t>
  </si>
  <si>
    <t xml:space="preserve">Dotacja przedmiotowa z budżetu dla gospodarstwa pomocniczego </t>
  </si>
  <si>
    <t>Urzędy naczelnych organów władzy państwowej, kontroli i ochrony prawa oraz sądownictwa</t>
  </si>
  <si>
    <t>Pomoc dla uchodźców</t>
  </si>
  <si>
    <t>Dz.</t>
  </si>
  <si>
    <t>Wydatki</t>
  </si>
  <si>
    <t>OGÓŁEM</t>
  </si>
  <si>
    <t>1.1  Wydział Architektury i Administracji Budowlanej</t>
  </si>
  <si>
    <t xml:space="preserve">Dotacja przedmiotowa z budżetu dla zakładu budżetowego </t>
  </si>
  <si>
    <t>odszkodowania</t>
  </si>
  <si>
    <t>modernizacje budynków</t>
  </si>
  <si>
    <t>Pomoc materialna dla uczniów</t>
  </si>
  <si>
    <t>Pozostałe zadania w zakresie kultury</t>
  </si>
  <si>
    <t>Centra kultury i sztuki</t>
  </si>
  <si>
    <t>Biblioteki</t>
  </si>
  <si>
    <t>dotacja dla gminy Głusk na obsługę biblioteczną mieszkańców Lublina</t>
  </si>
  <si>
    <t>Kultura i ochrona dziedzictwa narodowego</t>
  </si>
  <si>
    <t>Zadania w zakresie kultury fizycznej i sportu</t>
  </si>
  <si>
    <t>Dotacje celowe i inne środki na zadania własne</t>
  </si>
  <si>
    <t>dotacja na dzieci z innych powiatów umieszczone w rodzinach zastępczych na terenie miasta Lublin</t>
  </si>
  <si>
    <t>Dotacje celowe otrzymane z budżetu państwa na inwestycje i zakupy inwestycyjne z zakresu administracji rządowej oraz inne zadania zlecone ustawami realizowane przez powiat</t>
  </si>
  <si>
    <t>dotacja celowa z budżetu państwa na pomoc dla cudzoziemców posiadających status uchodźcy</t>
  </si>
  <si>
    <t>Wpłaty z tytułu odpłatnego nabycia prawa własności oraz prawa użytkowania wieczystego nieruchomości</t>
  </si>
  <si>
    <t>koszty przeprowadzek i przechowywania rzeczy osób eksmitowanych oraz zakwaterowania osób poszkodowanych w wypadkach losowych</t>
  </si>
  <si>
    <t>rezerwa budżetowa</t>
  </si>
  <si>
    <t>dotacja celowa z budżetu państwa na składki na ubezpieczenie zdrowotne za osoby bezrobotne bez prawa do zasiłku</t>
  </si>
  <si>
    <t xml:space="preserve">wpłaty z zysku jednoosobowych spółek </t>
  </si>
  <si>
    <t>opłata za wydanie karty wędkarskiej</t>
  </si>
  <si>
    <t>Treść</t>
  </si>
  <si>
    <t>Rozdz.</t>
  </si>
  <si>
    <t>dotacja celowa z budżetu państwa na dofinansowanie realizacji programu wieloletniego "Pomoc państwa w zakresie dożywiania"</t>
  </si>
  <si>
    <t>Rozwój przedsiębiorczości</t>
  </si>
  <si>
    <t>wydatki na zadania realizowane przez domy pomocy społecznej, z tego:</t>
  </si>
  <si>
    <t>rozbudowa DPS Betania</t>
  </si>
  <si>
    <t>w tym: zakupy inwestycyjne</t>
  </si>
  <si>
    <t>przebudowa ul. Głuskiej od mostu na rzece Czerniejówce do granic miasta</t>
  </si>
  <si>
    <t>przebudowa dróg wojewódzkich na terenie miasta Lublin</t>
  </si>
  <si>
    <t>Lecznictwo stomatologiczne</t>
  </si>
  <si>
    <t>zakup usług zdrowotnych w hospicjach</t>
  </si>
  <si>
    <t>udział w dochodach budżetu państwa z tytułu pobranych opłat za wydanie dowodów osobistych, opłat za udostępnianie danych ze zbiorów meldunkowych, zbioru PESEL i innych</t>
  </si>
  <si>
    <t>1.2  Wydział Architektury, 
Budownictwa i Urbanistyki</t>
  </si>
  <si>
    <t>dotacja celowa z budżetu państwa na sfinansowanie kosztów prowadzenia i aktualizacji rejestru wyborców</t>
  </si>
  <si>
    <t xml:space="preserve">dotacja celowa z budżetu państwa na usługi opiekuńcze </t>
  </si>
  <si>
    <t>Dotacje celowe z budżetu na finansowanie lub dofinansowanie prac remontowych i konserwatorskich obiektów zabytkowych przekazane jednostkom niezaliczanym do sektora finansów publicznych</t>
  </si>
  <si>
    <t>Wpłaty jednostek samorządu terytorialnego do budżetu państwa</t>
  </si>
  <si>
    <t>Turystyka</t>
  </si>
  <si>
    <t>Ośrodki informacji turystycznej</t>
  </si>
  <si>
    <t>Zadania w zakresie upowszechniania turystyki</t>
  </si>
  <si>
    <t>Gospodarka mieszkaniowa</t>
  </si>
  <si>
    <t>Zakłady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</si>
  <si>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</si>
  <si>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</si>
  <si>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</si>
  <si>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</si>
  <si>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</si>
  <si>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</si>
  <si>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</si>
  <si>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</si>
  <si>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Ochotnicze straże pożarne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</si>
  <si>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</si>
  <si>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</si>
  <si>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</si>
  <si>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</si>
  <si>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</si>
  <si>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</si>
  <si>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Gimnazja</t>
  </si>
  <si>
    <t>inwestycje</t>
  </si>
  <si>
    <t xml:space="preserve">Dochody od osób prawnych, od osób fizycznych i od innych jednostek nieposiadających osobowości prawnej oraz wydatki związane z ich poborem </t>
  </si>
  <si>
    <t xml:space="preserve">dotacja dla Zarządu Nieruchomości Komunalnych </t>
  </si>
  <si>
    <t>Dochody jednostek samorządu terytorialnego związane z realizacją zadań z zakresu administracji rządowej oraz innych zadań zleconych ustawami</t>
  </si>
  <si>
    <t>Subwencje</t>
  </si>
  <si>
    <t xml:space="preserve">Różne rozliczenia </t>
  </si>
  <si>
    <t>zakup nieruchomości</t>
  </si>
  <si>
    <t>środki z Europejskiego Funduszu Rozwoju Regionalnego na dofinansowanie inwestycji drogowych</t>
  </si>
  <si>
    <t>Zasiłki i pomoc w naturze oraz składki na ubezpieczenia emerytalne i rentowe</t>
  </si>
  <si>
    <t>Środki z Funduszu Pracy otrzymane przez powiat z przeznaczeniem na finansowanie kosztów wynagrodzenia i składek na ubezpieczenia społeczne pracowników powiatowego urzędu pracy</t>
  </si>
  <si>
    <t>Dochody własne gminy</t>
  </si>
  <si>
    <t>dotacja dla Zespołu Pieśni i Tańca "Lublin" im. W. Kaniorowej</t>
  </si>
  <si>
    <t>Zwiększenia</t>
  </si>
  <si>
    <t>1.2  Wydział Architektury, Budownictwa i Urbanistyki</t>
  </si>
  <si>
    <t>Instytut Akcji Katolickiej Archidiecezji Lubelskiej , ul. Prymasa Stefana Wyszyńskiego 2, 20-950 Lublin; Oddział przy Parafii pw. św. Urszuli Ledóchowskiej przy ul. Roztocze 1</t>
  </si>
  <si>
    <t>w tym: remont pomieszczeń</t>
  </si>
  <si>
    <t>Gminny Program Przeciwdziałania Narkomanii</t>
  </si>
  <si>
    <t>zwiększenie dostępności pomocy terapeutycznej i rehabilitacyjnej dla osób uzależnionych i osób zagrożonych uzależnieniem</t>
  </si>
  <si>
    <t>Stowarzyszenie "KONTAKT", ul. Skierki 12, 20-601 Lublin</t>
  </si>
  <si>
    <t>Gminny Program Profilaktyki i Rozwiązywania Problemów Alkoholowych</t>
  </si>
  <si>
    <t>Stowarzyszenie "STOP" Pomoc dla Osób w Sytuacji Kryzysowej i Ofiar Przemocy w Rodzinie, ul. Towarowa 19, 20-205 Lublin</t>
  </si>
  <si>
    <t>Fundacja "Szczęśliwe Dzieciństwo"; ul. Jezuicka 4/9, 20-113 Lublin</t>
  </si>
  <si>
    <t>Uczniowskie Towarzystwo Sportowe "Orlik"; ul. Rzeckiego 10, 
20-637 Lublin</t>
  </si>
  <si>
    <t>Uczniowskie Towarzystwo Sportowe "Spartakus"; ul. Mełgiewska 7/9,
20-952 Lublin</t>
  </si>
  <si>
    <t>Wpływy z podatku rolnego, podatku leśnego, podatku od czynności cywilnoprawnych, podatków i opłat lokalnych od osób prawnych 
i innych jednostek organizacyjnych</t>
  </si>
  <si>
    <t>Dotacje celowe i inne środki na zadania realizowane na podstawie porozumień 
i umów</t>
  </si>
  <si>
    <t xml:space="preserve">Dotacje celowe i inne środki na zadania realizowane na podstawie porozumień 
i umów </t>
  </si>
  <si>
    <t>Wpłaty gmin na rzecz izb rolniczych w wysokości 2% uzyskanych wpływów z podatku rolnego</t>
  </si>
  <si>
    <t>Dopłaty w spółkach prawa handlowego</t>
  </si>
  <si>
    <t>węzeł drogowy Poniatowskiego (wiadukt z połączeniem do ul. ks. Popiełuszki)</t>
  </si>
  <si>
    <t>Drogi wewnętrzne</t>
  </si>
  <si>
    <t>Uczniowski Klub Sportowy "Piątka", ul. Smyczkowa 3, 20-844 Lublin</t>
  </si>
  <si>
    <t>Stowarzyszenie Piłkarskie Nadzieje Motor Lublin, ul. Kuncewiczowej 10, 
20-439 Lublin</t>
  </si>
  <si>
    <t>Miejski Klub Sportowy "Start", al. Piłsudskiego 22, 20-011 Lublin</t>
  </si>
  <si>
    <t>Uczniowski Klub Sportowy "Ruch", ul. Podzamcze 9, 20-126 Lublin</t>
  </si>
  <si>
    <t>Klub Sportowy "Paco", ul. Zana 72, 20-601 Lublin</t>
  </si>
  <si>
    <t>Zapaśnicze Towarzystwo Sportowe "Sokół", ul. Dunikowskiego 90, 
20-425 Lublin</t>
  </si>
  <si>
    <t>Uczniowskie Towarzystwo Sportowe "Orlik", ul. Rzeckiego 10, 20-637 Lublin</t>
  </si>
  <si>
    <t>Zakładowy Klub Sportowy "Elpis"; ul. Zemborzycka 55, 20-455 Lublin</t>
  </si>
  <si>
    <t>Prace geodezyjne i kartograficzne (nieinwestycyjne)</t>
  </si>
  <si>
    <t>020</t>
  </si>
  <si>
    <t>Leśnictwo</t>
  </si>
  <si>
    <t>Pobór podatków, opłat i niepodatkowych należności budżetowych</t>
  </si>
  <si>
    <t>Szkoły zawodowe</t>
  </si>
  <si>
    <t>środki z Programu Sąsiedztwa Interreg IIIA/Tacis CBC i budżetu państwa na realizację projektu "Lublin i Łuck od kuchni. Bezgraniczny świat kulinariów polsko-ukraińskiego pogranicza"</t>
  </si>
  <si>
    <t>środki z Programu Inicjatywy Wspólnotowej EQUAL na realizację projektu "@lterEgo"</t>
  </si>
  <si>
    <t>Fundacja Integracyjna "Na Tatarach", ul. Gospodarcza 7, 20-213 Lublin</t>
  </si>
  <si>
    <t>Parafia Rzymsko-Katolicka p.w. Św. Krzyża, ul. Pogodna 7, 20-337 Lublin</t>
  </si>
  <si>
    <t>Stowarzyszenie Przyjaciół Dzieci i Młodzieży "Con Amore", ul. Róży Wiatrów 9, 20-468 Lublin</t>
  </si>
  <si>
    <t>szkolenia z zakresu udzielania pierwszej pomocy</t>
  </si>
  <si>
    <t>Wpływy z podatku rolnego, podatku leśnego, podatku od spadków i darowizn, podatku od czynności cywilnoprawnych oraz podatków i opłat lokalnych od osób fizycznych</t>
  </si>
  <si>
    <t>przebudowa skrzyżowania ulic: Kunickiego-Sierpińskiego-Abramowicka-Głuska z sygnalizacją świetlną, likwidacją pętli nawrotowej wraz z poszerzeniem ul. Sierpińskiego</t>
  </si>
  <si>
    <t>przebudowa ul. Droga Męczenników Majdanka i ul. Doświadczalnej, budowa pętli nawrotowej</t>
  </si>
  <si>
    <t>przebudowa al. Smorawińskiego od al. Kompozytorów Polskich do al. Spółdzielczości Pracy oraz al. Kompozytorów Polskich od al. Solidarności do al. Smorawińskiego</t>
  </si>
  <si>
    <t>budowa parkingu strategicznego wraz z parkingiem dla rowerów i urządzeniami wypożyczalni rowerów</t>
  </si>
  <si>
    <t xml:space="preserve">sygnalizacje świetlne </t>
  </si>
  <si>
    <t>budowa i modernizacja zatok, chodników, parkingów i kładek dla pieszych, wiat</t>
  </si>
  <si>
    <t xml:space="preserve">dokumentacja techniczna </t>
  </si>
  <si>
    <t>drogi gminne</t>
  </si>
  <si>
    <t>ul. Bursaki (od ul. Rapackiego do ul. Do Dysa)</t>
  </si>
  <si>
    <t>ul. Gnieźnieńska</t>
  </si>
  <si>
    <t>Wpływy z różnych opłat</t>
  </si>
  <si>
    <t xml:space="preserve">Dochody własne </t>
  </si>
  <si>
    <t xml:space="preserve">kolektor sanitarny N-II </t>
  </si>
  <si>
    <t>Dotacje otrzymane z funduszy celowych na finansowanie lub dofinansowanie kosztów realizacji inwestycji i zakupów inwestycyjnych jednostek sektora finansów publicznych</t>
  </si>
  <si>
    <t>wydatki na zadania realizowane przez placówki opiekuńczo-wychowawcze</t>
  </si>
  <si>
    <t>wydatki na zadania realizowane przez Miejski Zespół Żłobków</t>
  </si>
  <si>
    <t>remont obiektów żłobków</t>
  </si>
  <si>
    <t>Gminny Program Profilaktyki i Rozwiązywania Problemów Alkoholowych, z tego:</t>
  </si>
  <si>
    <t>wpływy z tytułu odpłatnego korzystania z mienia (najem, dzierżawa)</t>
  </si>
  <si>
    <t>stypendia dla młodzieży szkół artystycznych</t>
  </si>
  <si>
    <t>dotacja dla MOSiR "Bystrzyca"</t>
  </si>
  <si>
    <t>Wydatki na zadania ustawowo zlecone gminie</t>
  </si>
  <si>
    <t>02002</t>
  </si>
  <si>
    <t>Transport i łączność</t>
  </si>
  <si>
    <t>dofinansowanie utrzymania wodociągów wiejskich</t>
  </si>
  <si>
    <t>Kolejowy Klub Sportowy "Sygnał", ul. Zemborzycka 3, 20-450 Lublin</t>
  </si>
  <si>
    <t>Budowlany Klub Sportowy, ul. Inżynierska 10, 20-484 Lublin</t>
  </si>
  <si>
    <t>Klub Sportowy "Budowlani", ul. Krasińskiego 11, 20-709 Lublin</t>
  </si>
  <si>
    <t>Stowarzyszenie Lokalne KALINA Salezjańskiej Organizacji Sportowej, 
ul. Kalinowszczyzna 3, 20-129 Lublin</t>
  </si>
  <si>
    <t>Lubelski Klub Piłkarski "Motor", Al. Zygmuntowskie 5, 20-101 Lublin</t>
  </si>
  <si>
    <t>Towarzystwo Piłki Siatkowej, Al. Zygmuntowskie 5, 20-101 Lublin</t>
  </si>
  <si>
    <t>Uczniowski Osiedlowy Klub Sportowy "Sławin", ul. Zbożowa 75, 20-857 Lublin</t>
  </si>
  <si>
    <t>MKS Towarzystwo Piłki Ręcznej, Al. Zygmuntowskie 5, 20-101 Lublin</t>
  </si>
  <si>
    <t>Uczniowski Klub Sportowy "Roxa", ul. Rzeckiego 10, 20-637 Lublin</t>
  </si>
  <si>
    <t>Uczniowski Klub Sportowy "Dwójka", ul. Lwowska 11, 20-128 Lublin</t>
  </si>
  <si>
    <t>Towarzystwo "Nowa Kuźnia"; ul. Samsonowicza 25, 20-485 Lublin</t>
  </si>
  <si>
    <t>"Nadzieja" Charytatywne Stowarzyszenie Niesienia Pomocy Chorym Uzależnionym od Alkoholu; ul. Abramowicka 2f, 20-442 Lublin</t>
  </si>
  <si>
    <t>Charytatywne Stowarzyszenie Niesienia Pomocy Chorym "Misericordia"; ul. Abramowicka 2, 20-442 Lublin</t>
  </si>
  <si>
    <t>regulacja stanów geodezyjno-prawnych nieruchomości, opracowania geodezyjne</t>
  </si>
  <si>
    <t xml:space="preserve">opłaty z tytułu wydawania tablic rejestracyjnych, praw jazdy, czasowych pozwoleń i innych </t>
  </si>
  <si>
    <t>Wpływy z opłaty komunikacyjnej</t>
  </si>
  <si>
    <t>zwrot środków przez spółdzielnie mieszkaniowe za skredytowane mieszkania</t>
  </si>
  <si>
    <t>pokrycie straty bilansowej w MPK Lublin Sp. z o.o.</t>
  </si>
  <si>
    <t>Obrona cywilna</t>
  </si>
  <si>
    <t>Zespół Szkół nr 1</t>
  </si>
  <si>
    <t>Zespół Szkół nr 5</t>
  </si>
  <si>
    <t>inwestycje realizowane przy udziale mieszkańców i innych podmiotów</t>
  </si>
  <si>
    <t>dotacja dla Dzielnicowego Domu Kultury "Bronowice"</t>
  </si>
  <si>
    <t>dotacja dla Biura Wystaw Artystycznych</t>
  </si>
  <si>
    <t>dotacja dla Centrum Kultury</t>
  </si>
  <si>
    <t>wpłata do budżetu państwa</t>
  </si>
  <si>
    <t>dotacja celowa z budżetu państwa na realizację programów korekcyjno-edukacyjnych dla sprawców przemocy w rodzinie</t>
  </si>
  <si>
    <t>dotacja celowa z budżetu państwa na pomoc dla repatriantów</t>
  </si>
  <si>
    <t>w tym zakupy inwestycyjne</t>
  </si>
  <si>
    <t>Oddział Miejski PTTK; ul. Rynek 8, 20-111 Lublin</t>
  </si>
  <si>
    <t>projekt "TURYSTYKA BEZ GRANIC - Promocja ośrodków turystycznych Euroregionu Bug"</t>
  </si>
  <si>
    <t>projekt "Lublin Miasto Wiedzy"</t>
  </si>
  <si>
    <t>modernizacje szkół</t>
  </si>
  <si>
    <t>budowa i modernizacja boisk</t>
  </si>
  <si>
    <t>Składki na ubezpieczenie zdrowotne oraz świadczenia dla osób nieobjętych obowiązkiem ubezpieczenia zdrowotnego</t>
  </si>
  <si>
    <t>0760</t>
  </si>
  <si>
    <t>Wpływy z tytułu przekształcenia prawa użytkowania wieczystego przysługującego osobom fizycznym w prawo własności</t>
  </si>
  <si>
    <t>dotacja celowa z budżetu państwa na przeprowadzenie poboru do wojska</t>
  </si>
  <si>
    <t>Subwencje i dotacja rekompensująca</t>
  </si>
  <si>
    <t>dotacja dla Ośrodka Brama Grodzka - Teatr NN na realizację zadania w ramach "Programu na rzecz społeczności romskiej"</t>
  </si>
  <si>
    <t>wydatki na zadania realizowane przez specjalne ośrodki szkolno-wychowawcze</t>
  </si>
  <si>
    <t>termomodernizacja obiektu</t>
  </si>
  <si>
    <t>program "Edukacja - program pomocy w dostępie do nauki dzieci i młodzieży niepełnosprawnej"</t>
  </si>
  <si>
    <t>wydatki na zadania realizowane przez placówki wychowania pozaszkolnego</t>
  </si>
  <si>
    <t>wydatki na zadania realizowane przez internaty i bursy szkolne</t>
  </si>
  <si>
    <t>wydatki na zadania realizowane przez Szkolne Schronisko Młodzieżowe</t>
  </si>
  <si>
    <t>wydatki na zadania realizowane przez Młodzieżowy Ośrodek Socjoterapii</t>
  </si>
  <si>
    <t>dotacja celowa z budżetu państwa na sfinansowanie nauczania języka angielskiego w szkołach podstawowych</t>
  </si>
  <si>
    <t>dotacja celowa z budżetu państwa na dofinansowanie pomocy materialnej dla uczniów o charakterze socjalnym</t>
  </si>
  <si>
    <t>Ośrodki adopcyjno-opiekuńcze</t>
  </si>
  <si>
    <t>Wpływy z opłat za koncesje i licencje</t>
  </si>
  <si>
    <t xml:space="preserve">opłata za egzamin na wykonywanie transportu drogowego taksówką  </t>
  </si>
  <si>
    <t>opłata za wydanie karty parkingowej</t>
  </si>
  <si>
    <t>Stowarzyszenie "Nowe Życie", ul. Środkowa 13/65, 20-015 Lublin</t>
  </si>
  <si>
    <t>Fundacja "EW-MAR" Profilaktyka, Edukacja i Promocja Rozwoju, 
ul. Zakopiańska 5/9, 20-858 Lublin</t>
  </si>
  <si>
    <t>Towarzystwo  Gimnastyczne "SOKÓŁ", ul. Skośna 8/15, 20-411 Lublin</t>
  </si>
  <si>
    <t>Stowarzyszenie "SKAUT", ul. Głęboka 11, 20-101 Lublin</t>
  </si>
  <si>
    <t>wydatki na zadania realizowane przez przedszkola specjalne</t>
  </si>
  <si>
    <t>wydatki na zadania realizowane przez szkoły gimnazja</t>
  </si>
  <si>
    <t>remont przedszkola</t>
  </si>
  <si>
    <t>wydatki na zadania realizowane przez licea ogólnokształcące</t>
  </si>
  <si>
    <t>"AGAPE" Katolickie Stowarzyszenie Pomocy Osobom Uzależnionym, 
ul. Bernardyńska 5, 20-109 Lublin</t>
  </si>
  <si>
    <t>Radio eR; ul. Jana Pawła II 11, 20-535 Lublin</t>
  </si>
  <si>
    <t>przebudowa ulic: 3-go Maja i Radziwiłłowskiej wraz ze skrzyżowaniami</t>
  </si>
  <si>
    <t xml:space="preserve">przedłużenie ul. Krańcowej do ul. Kunickiego wraz z mostem na rzece Czerniejówce </t>
  </si>
  <si>
    <t xml:space="preserve">przebudowa ul. Krańcowej na odcinku od ul. Długiej do al. Witosa </t>
  </si>
  <si>
    <t xml:space="preserve">przebudowa ul. Jana Pawła II od ul. Nadbystrzyckiej (z rondem) do ul. Szafirowej </t>
  </si>
  <si>
    <t xml:space="preserve">przebudowa ul. Szeligowskiego od skrzyżowania z al. Smorawińskiego do ul. Związkowej </t>
  </si>
  <si>
    <t xml:space="preserve">poszerzenie ul. Choiny wraz z oświetleniem i odwodnieniem </t>
  </si>
  <si>
    <t xml:space="preserve">ul. Willowa </t>
  </si>
  <si>
    <t xml:space="preserve">przebudowa skrzyżowania ulic: Krężnicka - Cienista </t>
  </si>
  <si>
    <t>Podatek od spadków i darowizn</t>
  </si>
  <si>
    <t>podatek od posiadania psów</t>
  </si>
  <si>
    <t>Uczniowski Klub Sportowy "WIDOK" SP nr 51; ul. Bursztynowa 22,
20-576 Lublin</t>
  </si>
  <si>
    <t>Amatorski Klub Żużlowy; Al. Zygmuntowskie 5, 20-101 Lublin</t>
  </si>
  <si>
    <t>Stowarzyszenie Piłkarskie Nadzieje-Motor Lublin; ul. Kuncewiczowej 10, 20-439 Lublin</t>
  </si>
  <si>
    <t>Fundacja "Restaurare Basilicam"; ul. Złota 9, 20-112 Lublin</t>
  </si>
  <si>
    <t>Fundacja "Muzyka Kresów"; ul. Lubartowska 38/15, 20-094 Lublin</t>
  </si>
  <si>
    <t>Stowarzyszenie "Pro Musica Antiqua"; ul. Ułanów 1/39, 20-554 Lublin</t>
  </si>
  <si>
    <t>Stowarzyszenie Przyjaciół Tańca; ul. Peowiaków 12, 20-007 Lublin</t>
  </si>
  <si>
    <t>Stowarzyszenie Animatorów Ruchu Folkowego; ul. Araszkiewicza 11,
20-834 Lublin</t>
  </si>
  <si>
    <t>Stowarzyszenie Przyjaciół Muzeum Wsi Lubelskiej; al. Warszawska 96, 20-824 Lublin</t>
  </si>
  <si>
    <t>Stowarzyszenie Filmowe "Cine'Europa"; ul. Radziszewskiego 16,
20-031 Lublin</t>
  </si>
  <si>
    <t>Stowarzyszenie Pisarzy Polskich; ul. Złota 3, 20-112 Lublin</t>
  </si>
  <si>
    <t>Stowarzyszenie Zespół Tańca Ludowego "Mały Głusk"; Dom Parafii św. Jakuba Apostoła, ul. Głuska 145, 20-385 Lublin</t>
  </si>
  <si>
    <t>wydawnictwa kulturalne</t>
  </si>
  <si>
    <t>organizacja różnorodnych form upowszechniania kultury</t>
  </si>
  <si>
    <t xml:space="preserve">Dochody gminy, z tego: </t>
  </si>
  <si>
    <t>Dodatki mieszkaniowe</t>
  </si>
  <si>
    <t>Usługi opiekuńcze i specjalistyczne usługi opiekuńcze</t>
  </si>
  <si>
    <t>Powiatowe urzędy pracy</t>
  </si>
  <si>
    <t>Edukacyjna opieka wychowawcza</t>
  </si>
  <si>
    <t>Kolejowy Klub Sportowy "Sygnał"; ul. Zemborzycka 3, 20-450 Lublin</t>
  </si>
  <si>
    <t>wpłaty zwaloryzowanych odszkodowań przez byłych właścicieli w związku z przywróceniem prawa własności</t>
  </si>
  <si>
    <t>Pozostałe zadania w zakesie polityki społecznej</t>
  </si>
  <si>
    <t>dotacja celowa z budżetu państwa na wydatki związane z wypłatą świadczeń rodzinnych i zaliczki alimentacyjnej</t>
  </si>
  <si>
    <t>dotacja celowa z budżetu państwa na wypłaty zasiłków celowych dla rodzin poszkodowanych w wyniku zdarzeń losowych</t>
  </si>
  <si>
    <t>środki z Programu Sąsiedztwa Interreg IIIA/Tacis CBC na realizację projektu "
III Euroregionalne Spotkania Muzyczne &lt;&lt;Skrzypce i Ja&gt;&gt; Lublin 2006"</t>
  </si>
  <si>
    <t>rezerwa celowa na finansowanie projektów realizowanych z udziałem środków europejskich</t>
  </si>
  <si>
    <t>wpłata do budżetu nadwyżki dochodów własnych "Egzekucja administracyjna"</t>
  </si>
  <si>
    <t>środki z Europejskiego Funduszu Rozwoju Regionalnego na realizację projektu "Wprowadzenie Elektronicznego Systemu Obiegu Dokumentów i informatyzacja Biura Obsługi Mieszkańców"</t>
  </si>
  <si>
    <t>dotacja celowa z budżetu państwa na poprawę bezpieczeństwa ruchu drogowego na 
ul. Kunickiego</t>
  </si>
  <si>
    <t>przebudowa ul. Nadbystrzyckiej od ul. Jana Pawła II (bez ronda) do ul. Zana (łącznie ze skrzyżowaniem)</t>
  </si>
  <si>
    <t>Zespoły do spraw orzekania o niepełnosprawności</t>
  </si>
  <si>
    <t>0470</t>
  </si>
  <si>
    <t>0750</t>
  </si>
  <si>
    <t>0770</t>
  </si>
  <si>
    <t>sprzedaż składników majątkowych</t>
  </si>
  <si>
    <t>0730</t>
  </si>
  <si>
    <t>0430</t>
  </si>
  <si>
    <t>0590</t>
  </si>
  <si>
    <t>opłata za licencję na wykonywanie transportu drogowego taksówką</t>
  </si>
  <si>
    <t>Wydatki osobowe niezaliczone do wynagrodzeń</t>
  </si>
  <si>
    <t>MKS "Kalina Lublin"; ul. Kleeberga 12, 20-243 Lublin</t>
  </si>
  <si>
    <t>MKS Towarzystwo Piłki Ręcznej; Al. Zygmuntowskie 5, 20-101 Lublin</t>
  </si>
  <si>
    <t>Okręgowy Związek Taekwon-do; ul. Leszczyńskiego 19, 20-023 Lublin</t>
  </si>
  <si>
    <t>Stowarzyszenie Młodzieżowy Klub Sportowy "Viking Lublinianka";
ul. Leszczyńskiego 19, 20-023 Lublin</t>
  </si>
  <si>
    <t>Sportowy Klub Kick-Boxing PL; ul. Nadbystrzycka 44a, 20-501 Lublin</t>
  </si>
  <si>
    <t xml:space="preserve">Handel </t>
  </si>
  <si>
    <t>Wydatki na zadania własne</t>
  </si>
  <si>
    <t>Lokalny transport zbiorowy</t>
  </si>
  <si>
    <t>podatek od środków transportowych</t>
  </si>
  <si>
    <t>Podatek od środków transportowych</t>
  </si>
  <si>
    <t>na 2007 rok według jednostek organizacyjnych realizujących budżet</t>
  </si>
  <si>
    <t>1.3  Wydział Finansowy</t>
  </si>
  <si>
    <t>Instytut Akcji Katolickiej Archidiecezji Lubelskiej , ul. Prymasa Stefana Wyszyńskiego 2, 20-950 Lublin; Oddział przy Parafii pw. św. Józefa przy ul. Filaretów 7</t>
  </si>
  <si>
    <t>Polski Czerwony Krzyż, ul. Puchacza 6, 20-323 Lublin</t>
  </si>
  <si>
    <t>Miejska Biblioteka Publiczna im. H. Łopacińskiego, ul. Peowiaków 12, 
20-007 Lublin</t>
  </si>
  <si>
    <t>dotacja dla Centrum Kultury na realizację projektu "Jarmark Jagielloński - Promocja Wspólnego Dziedzictwa Wschodu i Zachodu"</t>
  </si>
  <si>
    <t>Rekompensaty utraconych dochodów w podatkach i opłatach lokalnych</t>
  </si>
  <si>
    <t xml:space="preserve">dotacja celowa z budżetu państwa na utrzymanie domów pomocy społecznej </t>
  </si>
  <si>
    <t xml:space="preserve">Dotacje celowe z budżetu państwa na zadania z zakresu administracji rządowej </t>
  </si>
  <si>
    <t>Plan według uchwały 
nr 41/V/2007 
Rady Miasta Lublin 
z dnia 8.02.2007 r.
z późn. zm.</t>
  </si>
  <si>
    <t>dotacja celowa z budżetu państwa na pomoc materialną dla uczniów pochodzących z rodzin byłych pracowników państwowych przedsiębiorstw gospodarki rolnej</t>
  </si>
  <si>
    <t>1.3 Wydział Finansowy</t>
  </si>
  <si>
    <t>Część oświatowa subwencji ogólnej dla jednostek samorządu terytorialnego</t>
  </si>
  <si>
    <t>subwencja oświatowa</t>
  </si>
  <si>
    <t>Subwencje ogólne z budżetu państwa</t>
  </si>
  <si>
    <t>dotacja celowa z budżetu państwa na prowadzenie środowiskowych domów samopomocy</t>
  </si>
  <si>
    <t>udział w dochodach budżetu państwa z tytułu wpływów z najmu i innych</t>
  </si>
  <si>
    <t>dotacja na dzieci z innych powiatów przebywające w placówkach opiekuńczo - wychowawczych na terenie miasta Lublin</t>
  </si>
  <si>
    <t>Dotacje celowe otrzymane z powiatu na zadania bieżące realizowane na podstawie porozumień między jednostkami samorządu terytorialnego</t>
  </si>
  <si>
    <t>ochotnicze straże pożarne</t>
  </si>
  <si>
    <t>remont OSP w Głusku</t>
  </si>
  <si>
    <t>Usuwanie skutków klęsk żywiołowych</t>
  </si>
  <si>
    <t>program "Bezpieczny Lublin"</t>
  </si>
  <si>
    <t>struktury alarmowania i ostrzegania</t>
  </si>
  <si>
    <t>odsetki od pożyczek i kredytów i inne</t>
  </si>
  <si>
    <t>Miejski Szkolny Związek Sportowy; Al. Zygmuntowskie 5, 20-101 Lublin</t>
  </si>
  <si>
    <t>specjalistyczne prace konserwatorskie w budynkach zabytkowych w obrębie Starego Miasta</t>
  </si>
  <si>
    <t>Specjalne ośrodki szkolno-wychowawcze</t>
  </si>
  <si>
    <t>dotacja celowa z budżetu państwa na zadanie "Osiąganie standardów w Domu Pomocy Społecznej im. W. Michelisowej"</t>
  </si>
  <si>
    <t>środki z Europejskiego Funduszu Społecznego na realizację projektu "Siłaczka - dalsza językowa wspinaczka"</t>
  </si>
  <si>
    <t>środki z Europejskiego Funduszu Społecznego na realizację projektu "Tylko dla orłów"</t>
  </si>
  <si>
    <t>Składki na ubezpieczenia społeczne</t>
  </si>
  <si>
    <t>Składki na Fundusz Pracy</t>
  </si>
  <si>
    <t>Podatek od nieruchomości</t>
  </si>
  <si>
    <t>Odpisy na zakładowy fundusz świadczeń socjalnych</t>
  </si>
  <si>
    <t>Wydatki na zakupy inwestycyjne jednostek budżetowych</t>
  </si>
  <si>
    <t>Podróże służbowe zagraniczne</t>
  </si>
  <si>
    <t>Lubelski Lipiec '80 (trasa zielona) - III etap</t>
  </si>
  <si>
    <t xml:space="preserve">rozbudowa miejskiego systemu transportu zbiorowego - korytarz ekologiczny </t>
  </si>
  <si>
    <t>przedłużenie ul. Jana Pawła II do al. Kraśnickiej z odwodnieniem i oświetleniem</t>
  </si>
  <si>
    <t>odsetki za nieterminowe regulowanie należności</t>
  </si>
  <si>
    <t>Wpłaty z zysku przedsiębiorstw i jednoosobowych spółek</t>
  </si>
  <si>
    <t>Wpłaty z zysku jednoosobowych spółek Skarbu Państwa lub spółek jednostek samorządu terytorialnego</t>
  </si>
  <si>
    <t xml:space="preserve">Dochody własne powiatu </t>
  </si>
  <si>
    <t>Zwalczanie narkomanii</t>
  </si>
  <si>
    <t>opracowania planistyczne, strategia rozwoju miasta i inne</t>
  </si>
  <si>
    <t xml:space="preserve">modernizacje budynków </t>
  </si>
  <si>
    <t>Dotacje celowe z budżetu na finansowanie lub dofinansowanie kosztów realizacji inwestycji i zakupów inwestycyjnych zakładów budżetowych</t>
  </si>
  <si>
    <t xml:space="preserve">remonty zasobów komunalnych </t>
  </si>
  <si>
    <t>Miejska Komisja Urbanistyczno-Architektoniczna</t>
  </si>
  <si>
    <t xml:space="preserve">cmentarze komunalne </t>
  </si>
  <si>
    <t>jednostki pomocnicze miasta</t>
  </si>
  <si>
    <t>remonty lokali jednostek pomocniczych miasta</t>
  </si>
  <si>
    <t xml:space="preserve">wydatki na zadania realizowane przez Urząd Miasta </t>
  </si>
  <si>
    <t>remonty obiektów użytkowanych przez Urząd Miasta</t>
  </si>
  <si>
    <t>środki z Europejskiego Funduszu Rozwoju Regionalnego na zadania inwestycyjne w zakresie transportu zbiorowego</t>
  </si>
  <si>
    <t>środki z Europejskiego Funduszu Społecznego na realizację projektu "Marketing Usług pośredniaka - MUP"</t>
  </si>
  <si>
    <t>środki z programu Wspólnoty Europejskiej Młodzież na realizację projektu "Moja przyszłość"</t>
  </si>
  <si>
    <t>Centra integracji społecznej</t>
  </si>
  <si>
    <t>dotacja dla Centrum Integracji Społecznej "Integro"</t>
  </si>
  <si>
    <t>Klub Motorowy "CROSS"; ul. Rusałka 15/8, 20-103 Lublin</t>
  </si>
  <si>
    <t>Klub Sportowy "PACO"; ul. T. Zana 72, 20-601 Lublin</t>
  </si>
  <si>
    <t>Klub Sportowy Lubelska Szkółka Piłkarska "Legion Lublin";
Al. Zygmuntowskie 5, 20-101 Lublin</t>
  </si>
  <si>
    <t>Klub Szachistów "Drakon" Lublin; ul. Kunickiego 35, 20-417 Lublin</t>
  </si>
  <si>
    <t>Lubelski Klub Sportowy Głuchych "Spartan"; al. Piłsudskiego 22,
20-011 Lublin</t>
  </si>
  <si>
    <t>Lubelski Klub Sportów Wodnych "Feniks"; ul. Wesoła 1 L, 20-103 Lublin</t>
  </si>
  <si>
    <t>Lubelski Klub Karate Kyokushin; ul. Głowackiego 35, 20-060 Lublin</t>
  </si>
  <si>
    <t>Lubelski Klub Karate Tradycyjnego; ul. Skłodowskiej 5, 20-029 Lublin</t>
  </si>
  <si>
    <t>Lubelski Klub Oyamas Karate Kyokushinkai; ul. Nowowiejskiego 6/13,
20-880 Lublin</t>
  </si>
  <si>
    <t>Lubelski Klub Sportowy Taekwon-do; ul. Nowowiejskiego 1/1,
20-880 Lublin</t>
  </si>
  <si>
    <t>Lubelski Związek Szachowy; al. Piłsudskiego 22, 20-011 Lublin</t>
  </si>
  <si>
    <t>Lubelskie Towarzystwo Kajakowe "Fala"; ul. Krężnicka 6, 20-518 Lublin</t>
  </si>
  <si>
    <t>Podatek od posiadania psów</t>
  </si>
  <si>
    <t>zakup świadczeń zdrowotnych</t>
  </si>
  <si>
    <t>opłata skarbowa</t>
  </si>
  <si>
    <t xml:space="preserve">Przedszkola </t>
  </si>
  <si>
    <t>Dotacje celowe otrzymane z budżetu państwa na zadania bieżące z zakresu administracji rządowej oraz inne zadania zlecone ustawami realizowane przez powiat</t>
  </si>
  <si>
    <t>dotacja celowa z budżetu państwa na finansowanie zadań bieżących z zakresu gospodarki nieruchomościami</t>
  </si>
  <si>
    <t>0690</t>
  </si>
  <si>
    <t>do zarządzenia nr 431/2007</t>
  </si>
  <si>
    <t xml:space="preserve">Urząd Miasta Lublin - Wydział Geodezji </t>
  </si>
  <si>
    <t>Urząd Miasta Lublin - Wydział Geodezji</t>
  </si>
  <si>
    <t>Lubelskie Towarzystwo Zachęty Sztuk Pięknych; ul. Krakowskie Przedmiescie 68, 20-076 Lublin</t>
  </si>
  <si>
    <t>Stowarzyszenie Centrum Wolontariatu; ul. Daszyńskiego 3a/18, 20-250 Lublin</t>
  </si>
  <si>
    <t>Wpłaty jednostek na fundusz celowy</t>
  </si>
  <si>
    <t>Katolicki Uniwersytet Lubelski Jana Pawła II; Al. Racławickie 14, 20-950 Lublin</t>
  </si>
  <si>
    <t xml:space="preserve">wydatki na zadania z zakresu administracji rządowej realizowane przez Urząd Miasta </t>
  </si>
  <si>
    <t>środki z Europejskiego Funduszu Rozwoju Regionalnego na realizację projektu "Integracja systemów teleinformatycznych w Urzędzie Miasta Lublin i jednostkach organizacyjnych"</t>
  </si>
  <si>
    <t>środki z Programu Sąsiedztwa Interreg IIIA/Tacis CBC i budżetu państwa na realizację projektu "TURYSTYKA BEZ GRANIC - promocja ośrodków turystycznych Euroregionu Bug"</t>
  </si>
  <si>
    <t>wpływy z dzierżawy gruntów</t>
  </si>
  <si>
    <t>Wynagrodzenia bezosobowe</t>
  </si>
  <si>
    <t>Środki na dofinansowanie własnych zadań bieżących gmin, powiatów, samorządów województw, pozyskane z innych źródeł</t>
  </si>
  <si>
    <t>dotacja celowa z budżetu państwa na utrzymanie Komendy Miejskiej Państwowej Straży Pożarnej</t>
  </si>
  <si>
    <t>01095</t>
  </si>
  <si>
    <t>Dotacja podmiotowa z budżetu dla samorządowej instytucji kultury</t>
  </si>
  <si>
    <t>budowa boisk</t>
  </si>
  <si>
    <t>Wydatki inwestycyjne jednostek budżetowych</t>
  </si>
  <si>
    <t>Różne wydatki na rzecz osób fizycznych</t>
  </si>
  <si>
    <t>Zakup materiałów i wyposażenia</t>
  </si>
  <si>
    <t>Podróże służbowe krajowe</t>
  </si>
  <si>
    <t>Różne opłaty i składki</t>
  </si>
  <si>
    <t>§</t>
  </si>
  <si>
    <t>Zakup energii</t>
  </si>
  <si>
    <t>Zakup usług remontowych</t>
  </si>
  <si>
    <t>Wynagrodzenia osobowe pracowników</t>
  </si>
  <si>
    <t>Dodatkowe wynagrodzenie roczne</t>
  </si>
  <si>
    <t>dotacja dla Lubelskiego Ośrodka Informacji Turystycznej</t>
  </si>
  <si>
    <t xml:space="preserve">Izby rolnicze </t>
  </si>
  <si>
    <t xml:space="preserve">organizacja obozów szkoleniowych w okresie ferii zimowych </t>
  </si>
  <si>
    <t>Instytut Akcji Katolickiej Archidiecezji Lubelskiej , ul. Prymasa Stefana Wyszyńskiego 2, 
20-950 Lublin; Oddział przy Parafii pw. Maksymiliana Kolbe przy ul. Droga Męczenników Majdanka 27</t>
  </si>
  <si>
    <t>Instytut Akcji Katolickiej Archidiecezji Lubelskiej , ul. Prymasa Stefana Wyszyńskiego 2, 
20-950 Lublin; Oddział przy Parafii pw. św. Urszuli Ledóchowskiej przy ul. Roztocze 1</t>
  </si>
  <si>
    <t>Zgromadzenie Sióstr Urszulanek Serca Jezusa Konającego Dom Zakonny, 
ul. Sudecka 49-53, 20-827 Lublin</t>
  </si>
  <si>
    <t>przedłużenie al. Solidarności do granic miasta, przebudowa istniejących odcinków: 
al. Solidarności, al. Tysiąclecia, ul. Grygowej, al. Witosa oraz przebudowa skrzyżowań z istniejącymi ulicami</t>
  </si>
  <si>
    <t>renowacja klasztoru powizytkowskiego na Centrum Działań Artystycznych w Lublinie</t>
  </si>
  <si>
    <t>wykonanie odwodnienia skrzyżowania ulic Magnoliowej i Bazylianówka oraz odwodnienie skrzyżowania ulic Kunickiego i Mickiewicza</t>
  </si>
  <si>
    <t>budowa krytej pływalni</t>
  </si>
  <si>
    <t>przebudowa ulic, budowa ciągów pieszo-jezdnych i przejść dla pieszych</t>
  </si>
  <si>
    <t xml:space="preserve">organizacja imprez sportowo-rekreacyjnych w okresie ferii zimowych </t>
  </si>
  <si>
    <t>organizacja imprez sportowo-rekreacyjnych w okresie wakacji letnich</t>
  </si>
  <si>
    <t>upowszechnianie kultury fizycznej</t>
  </si>
  <si>
    <t>zajęcia sportowo - rekreacyjne w szkołach</t>
  </si>
  <si>
    <t>wydatki związane z likwidacją Zespołu Opieki Zdrowotnej w Lublinie SP ZOZ</t>
  </si>
  <si>
    <t>Dotacje celowe przekazane gminie na zadania bieżące realizowane na podstawie prozumień między jednostkami samorządu terytorialnego</t>
  </si>
  <si>
    <t>Placówki opiekuńczo - wychowawcze</t>
  </si>
  <si>
    <t>wpływy z tytułu odpłatnego korzystania z mienia (dzierżawa, najem)</t>
  </si>
  <si>
    <t>sprzedaż działek</t>
  </si>
  <si>
    <t>1.5 Wydział Podatków i Egzekucji</t>
  </si>
  <si>
    <t>1.6 Wydział Geodezji i Gospodarki Nieruchomościami</t>
  </si>
  <si>
    <t xml:space="preserve">1.7 Wydział Geodezji </t>
  </si>
  <si>
    <t>1.8 Wydział Gospodarowania Mieniem</t>
  </si>
  <si>
    <t>Wydatki na pomoc finansową udzielaną między jednostkami samorządu terytorialnego na dofinansowanie własnych zadań inwestycyjnych i zakupów inwestycyjnych</t>
  </si>
  <si>
    <t>SKARBNIK MIASTA LUBLIN</t>
  </si>
  <si>
    <t xml:space="preserve">      mgr Irena Szumlak</t>
  </si>
  <si>
    <t>PREZYDENT MIASTA LUBLIN</t>
  </si>
  <si>
    <r>
      <t xml:space="preserve">     </t>
    </r>
    <r>
      <rPr>
        <i/>
        <sz val="10"/>
        <rFont val="Arial CE"/>
        <family val="0"/>
      </rPr>
      <t xml:space="preserve"> dr inż. Adam Wasilewski</t>
    </r>
  </si>
  <si>
    <t>Rehabilitacja zawodowa i społeczna osób niepełnosprawnych</t>
  </si>
  <si>
    <t>dotacja na pokrycie kosztów rehabilitacji niepełnosprawnych mieszkańców Lublina na terenie innych powiatów</t>
  </si>
  <si>
    <t xml:space="preserve">niewykorzystane środki z tytułu wydatków niewygasających </t>
  </si>
  <si>
    <t>zasądzony zwrot nakładów poniesionych na nieruchomości przy ul. Podwale 3</t>
  </si>
  <si>
    <t>przebudowa ul. Nadbystrzyckiej od ul. Zana do ul. Jana Pawła II (bez ronda) do ul. Zana (łącznie ze skrzyżowaniem)</t>
  </si>
  <si>
    <t>odszkodowania, kary umowne, zwrot kosztów procesowych</t>
  </si>
  <si>
    <t>Ośrodek Leczenia Uzależnień Samodzielny Publiczny Zakład Opieki Zdrowotnej; ul. Karłowicza 1, 20-027 Lublin</t>
  </si>
  <si>
    <t>Dotacja podmiotowa z budżetu dla samodzielnego publicznego zakładu opieki
zdrowotnej utworzonego przez jednostkę samorządu terytorialnego</t>
  </si>
  <si>
    <t>Klasztor oo. Dominikanów</t>
  </si>
  <si>
    <t>Cech Rzemieślników i Przedsiębiorców Branży Budowlanej i Drzewnej</t>
  </si>
  <si>
    <t>Polski Związek Głuchych Zarząd Oddziału Lubelskiego</t>
  </si>
  <si>
    <t>Piotr Krawczak</t>
  </si>
  <si>
    <t>Parafia Rzymsko-Katolicka pw. św. Jana Chrzciciela i św. Jana Ewangelisty</t>
  </si>
  <si>
    <t>Parafia Rzymsko -Katolicka pw. św. Jakuba Większego Apostoła</t>
  </si>
  <si>
    <t>Archidiecezja Lubelska</t>
  </si>
  <si>
    <t>renowacja Teatru Starego</t>
  </si>
  <si>
    <t xml:space="preserve">budowa krytej pływalni </t>
  </si>
  <si>
    <t>składane pełnowymiarowe lodowisko</t>
  </si>
  <si>
    <t>zarz</t>
  </si>
  <si>
    <t>dotacja celowa z budżetu państwa na dofinansowanie pracodawcom kosztów przygotowania zawodowego młodocianych pracowników</t>
  </si>
  <si>
    <t>dotacja na osoby z innych powiatów uczestniczące w warsztatach terapii zajęciowej na terenie miasta Lublin</t>
  </si>
  <si>
    <t>Odsetki od dotacji wykorzystanych niezgodznie z przeznaczeniem lub pobranych w nadmiernej wysokości</t>
  </si>
  <si>
    <t xml:space="preserve">modernizacje obiektów </t>
  </si>
  <si>
    <t>Fundacja "Praesterno", Oddział Lublin, ul. Organowa 4, 20-882 Lublin</t>
  </si>
  <si>
    <t>Związek Harcerstwa Polskiego - Komenda Hufca Lublin, ul. Lubartowska 39/10, 20-116 Lublin</t>
  </si>
  <si>
    <t>Charytatywne Stowarzyszenie Niesienia Pomocy Chorym "Misericordia", 
ul. Abramowicka 2, 20-440 Lublin</t>
  </si>
  <si>
    <t>"Nadzieja" Charytatywne Stowarzyszenie Niesienia Pomocy Chorym Uzleżnionym od Alkoholu, ul. Abramowicka 2f, 20-442 Lublin</t>
  </si>
  <si>
    <t>Lubelskie Towarzystwo Kajakowe "Fala", ul. Krężnicka 6, 20-518 Lublin</t>
  </si>
  <si>
    <t>Lubelski Klub Karate Kyokushin, ul. Głowackiego 35, 20-060 Lublin</t>
  </si>
  <si>
    <t>Licea ogólnokształcące</t>
  </si>
  <si>
    <t>Zakup usług pozostałych</t>
  </si>
  <si>
    <t>Podział planowanych dochodów i wydatków budżetu miasta</t>
  </si>
  <si>
    <t>(zmiany planu)</t>
  </si>
  <si>
    <t>Prezydenta Miasta lublin</t>
  </si>
  <si>
    <t>z dnia 2 lipca 2007 r.</t>
  </si>
  <si>
    <t xml:space="preserve">Gminnego Funduszu Ochrony Środowiska i Gospodarki Wodnej </t>
  </si>
  <si>
    <t>w 2007 roku</t>
  </si>
  <si>
    <t xml:space="preserve">Treść                                                                                                               </t>
  </si>
  <si>
    <t xml:space="preserve">I </t>
  </si>
  <si>
    <t xml:space="preserve">Harmonogram realizacji przychodów i wydatków </t>
  </si>
  <si>
    <t xml:space="preserve">Treść    </t>
  </si>
  <si>
    <t xml:space="preserve">Urząd Miasta - Wydział Geodezji 
i Gospodarki Nieruchomościami </t>
  </si>
  <si>
    <t>Fundusz Gospodarki Zasobem Geodezyjnym 
i Kartograficznym</t>
  </si>
  <si>
    <t>Załącznik nr 1</t>
  </si>
  <si>
    <t>Załącznik nr 2</t>
  </si>
  <si>
    <t>Załącznik nr 3</t>
  </si>
  <si>
    <t>Załącznik nr 4</t>
  </si>
  <si>
    <t>Załącznik nr 6</t>
  </si>
  <si>
    <t>Załącznik nr 7</t>
  </si>
  <si>
    <t>Załącznik nr 8</t>
  </si>
  <si>
    <t>1.2. Wydział Remontów Budynków</t>
  </si>
  <si>
    <t>Funduszu Gospodarki Zasobem Geodezyjnym i Kartograficznym</t>
  </si>
  <si>
    <t>remonty budynków Wspólnot Mieszkaniowych</t>
  </si>
  <si>
    <t>remonty budynków o własności mieszanej</t>
  </si>
  <si>
    <t>remonty budynków o własności prywatnej</t>
  </si>
  <si>
    <t>Podatek dochoodowy od osób prawnych</t>
  </si>
  <si>
    <t>inwestycje, z tego:</t>
  </si>
  <si>
    <t>01030</t>
  </si>
  <si>
    <t>wpłaty na rzecz Lubelskiej Izby Rolniczej</t>
  </si>
  <si>
    <t xml:space="preserve">Nadzór nad gospodarką leśną </t>
  </si>
  <si>
    <t>remont pomieszczeń central alarmowych</t>
  </si>
  <si>
    <t>wspomaganie podmiotów zajmujących się upowszechnianiem kultury fizycznej i sportu wśród mieszkańców miasta Lublin w zakresie niezbędnego funkcjonowania komunalnych obiektów sportowych</t>
  </si>
  <si>
    <t>utrzymanie boisk osiedlowych</t>
  </si>
  <si>
    <t>wyposażenie komunalnych obiektów sportowych</t>
  </si>
  <si>
    <t>w tym: remonty obiektów MOSiR</t>
  </si>
  <si>
    <t>Dotacja celowa z budżetu dla jednostek niezaliczanych do sektora finansów publicznych realizujących projekty finansowane z udziałem środków z budżetu Unii Europejskiej</t>
  </si>
  <si>
    <t>1.19  Biuro Zamówień Publicznych</t>
  </si>
  <si>
    <t>ZHP Komenda Chorągwi Komenda Hufca Lublin, ul. Lubartowska 39/10, 
20-116 Lublin</t>
  </si>
  <si>
    <t>Zakup usług dostepu do sieci Internet</t>
  </si>
  <si>
    <t>Towarzystwo Żużlowe "Sipma", Al. Zygmuntowskie 5, 20-101 Lublin</t>
  </si>
  <si>
    <t>Klub Oyama Karate Lublin, ul. Piechoty 23, 20-783 Lublin</t>
  </si>
  <si>
    <t>Klub Sportowy "MANTA", ul. Żeglarska 5a, 20-523 Lublin</t>
  </si>
  <si>
    <t>1.4  Wydział Budżetu i Księgowości</t>
  </si>
  <si>
    <t>1.5  Wydział Podatków i Egzekucji</t>
  </si>
  <si>
    <t>1.6 Wydział Funduszy Europejskich</t>
  </si>
  <si>
    <t>1.7 Wydział Rozwoju i Funduszy Europejskich</t>
  </si>
  <si>
    <t>1.8 Wydział Geodezji i Gospodarki Nieruchomościami</t>
  </si>
  <si>
    <t xml:space="preserve">1.9 Wydział Geodezji </t>
  </si>
  <si>
    <t>1.10 Wydział Gospodarowania Mieniem</t>
  </si>
  <si>
    <t>1.11  Wydział Gospodarki Komunalnej</t>
  </si>
  <si>
    <t>1.12  Biuro Transportu Zbiorowego</t>
  </si>
  <si>
    <t>1.13  Wydział Dróg i Mostów</t>
  </si>
  <si>
    <t>1.14  Wydział Ochrony Środowiska</t>
  </si>
  <si>
    <t>1.15  Wydział Spraw Administracyjnych</t>
  </si>
  <si>
    <t>1.16  Wydział Komunikacji</t>
  </si>
  <si>
    <t>1.17  Wydział Organizacyjny</t>
  </si>
  <si>
    <t>1.18  Biuro Kadr</t>
  </si>
  <si>
    <t>drogi krajowe, wojewódzkie i powiatowe</t>
  </si>
  <si>
    <t>remonty dróg</t>
  </si>
  <si>
    <t>remont mostów</t>
  </si>
  <si>
    <t xml:space="preserve">przebudowa al. Andersa od al. Spółdzielczości Pracy do ul. Koryznowej (wraz z rondem gen. Berbeckiego) </t>
  </si>
  <si>
    <t xml:space="preserve">wpłaty społecznych komitetów i innych podmiotów na inwestycje </t>
  </si>
  <si>
    <t>Wpływy z opłaty skarbowej</t>
  </si>
  <si>
    <t>Udziały gmin w podatkach stanowiących dochód budżetu państwa</t>
  </si>
  <si>
    <t>podatek dochodowy od osób fizycznych</t>
  </si>
  <si>
    <t>środki z Programu Sąsiedztwa Interreg IIIA/Tacis CBC na realizację projektu "Zintegrowane oznakowanie turystyczne Lublina"</t>
  </si>
  <si>
    <t>wpływy z tytułu wynagrodzenia przysługującego płatnikowi za terminowe wpłacanie podatków pobranych na rzecz budżetu państwa i z tytułu wykonywania zadań z ubezpieczenia społecznego</t>
  </si>
  <si>
    <t>Wpływy z różnych dochodów</t>
  </si>
  <si>
    <t>Wpływy z podatku dochodowego od osób fizycznych</t>
  </si>
  <si>
    <t>opłata za korzystanie ze środowiska</t>
  </si>
  <si>
    <t>Pomoc dla repatriantów</t>
  </si>
  <si>
    <t>modernizacje obiektów</t>
  </si>
  <si>
    <t>modernizacja i termomodernizacja budynku DPS dla Osób Niepełnosprawnych Fizycznie</t>
  </si>
  <si>
    <t>Szkolne schroniska młodzieżowe</t>
  </si>
  <si>
    <t>Młodzieżowe ośrodki socjoterapii</t>
  </si>
  <si>
    <t>remonty obiektów sportowych</t>
  </si>
  <si>
    <t xml:space="preserve">Rezerwy </t>
  </si>
  <si>
    <t>zwrot dotacji na realizację programu z zakresu opieki nad dzieckiem i rodziną</t>
  </si>
  <si>
    <t>Fundusz Pracy</t>
  </si>
  <si>
    <t>środki z Funduszu Pracy na finansowanie kosztów wynagrodzenia i składek na ubezpieczenia społeczne pracowników Miejskiego Urzędu Pracy</t>
  </si>
  <si>
    <t>udzielanie rodzinom, w których występują problemy narkomanii, pomocy psychospołecznej i prawnej</t>
  </si>
  <si>
    <t>pomoc społeczna osobom uzależnionym i rodzinom osób uzależnionych dotkniętych ubóstwem, wykluczeniem społecznym i integrowanie ze środowiskiem lokalnym tych osób z wykorzystaniem pracy socjalnej i kontraktu socjalnego</t>
  </si>
  <si>
    <t>udzielanie rodzinom, w których występują problemy alkoholowe pomocy psychospołecznej i prawnej, a w szczególności ochrony przed przemocą w rodzinie</t>
  </si>
  <si>
    <t>Instytut Akcji Katolickiej Archidiecezji Lubelskiej, ul. Prymasa Stefana Wyszyńskiego 2, 20-950 Lublin; Oddział przy Parafii pw. św. Antoniego Padewskiego przy ul. Kasztanowej 1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</si>
  <si>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</si>
  <si>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Uczniowski Klub Sportowy "MARATON"; ul. Zemborzycka 82, 
20-445 Lublin</t>
  </si>
  <si>
    <t>Miejski Klub Sportowy "KALINA LUBLIN"; ul. Kleeberga 12a,
20-243 Lublin</t>
  </si>
  <si>
    <t>Klub Sportowy "Unia"; ul. Leszczyńskiego 19/9, 20-068 Lublin</t>
  </si>
  <si>
    <t>środki z Europejskiego Funduszu  Społecznego i budżetu państwa na realizację projektu "Lublin Miasto Wiedzy"</t>
  </si>
  <si>
    <t>środki z Europejskiego Funduszu Rozwoju Regionalnego na realizację projektu "Rekultywacja składowiska odpadów komunalnych dla Lublina w miejscowości Rokitno"</t>
  </si>
  <si>
    <t>Przetwórstwo przemysłowe</t>
  </si>
  <si>
    <t>udział w dochodach z tytułu zarządzania nieruchomościami Skarbu Państwa</t>
  </si>
  <si>
    <t>dotacja celowa z budżetu państwa na realizację zadań w ramach Kontraktu Wojewódzkiego na "Modernizację i rozbudowę Portu Lotniczego Lublin S.A. w Świdniku"</t>
  </si>
  <si>
    <t>środki z Programu Leonardo da Vinci na realizację projektu "Standardy nowoczesnego hotelarstwa"</t>
  </si>
  <si>
    <t>Harmonogram realizacji dochodów budżetu miasta w 2007 roku</t>
  </si>
  <si>
    <t>Szeligowskiego: I -1.045.042,III- 869.504,
Nadbystrzycka:IV-612.562,IX-562.500,X-886.230,XI-886.230,XII- 886.238</t>
  </si>
  <si>
    <t>1.19 Wydział Remontów Budynków</t>
  </si>
  <si>
    <t>1.20  Wydział Spraw Administracyjnych</t>
  </si>
  <si>
    <t>1.21  Wydział Spraw Społecznych</t>
  </si>
  <si>
    <t>1.22  Wydział Kultury</t>
  </si>
  <si>
    <t>1.23  Wydział Sportu i Turystyki</t>
  </si>
  <si>
    <t>1.24  Wydział Spraw Mieszkaniowych</t>
  </si>
  <si>
    <t>1.25  Wydział Zdrowia i Spraw Społecznych</t>
  </si>
  <si>
    <t>1.26  Wydział Strategii i Rozwoju</t>
  </si>
  <si>
    <t>1.27  Wydział Inwestycji</t>
  </si>
  <si>
    <t>1.28 Kancelaria Prezydenta Miasta</t>
  </si>
  <si>
    <t>1.29 Biuro Obsługi Inwestorów</t>
  </si>
  <si>
    <t>organizacja zajęć kulturalnych w domach i klubach kultury</t>
  </si>
  <si>
    <t>organizacja akcji "Zima i lato w mieście"</t>
  </si>
  <si>
    <t xml:space="preserve">odprowadzenie wód deszczowych z ulic: Platanowej, Osikowej, Jabłonowej, Skalistej, Sławinkowskiej </t>
  </si>
  <si>
    <t>wybory do jednostek pomocniczych miasta</t>
  </si>
  <si>
    <t>modernizacja obiektu</t>
  </si>
  <si>
    <t>pomoc dla repatriantów</t>
  </si>
  <si>
    <t>Kary i odszkodowania wypłacane na rzecz osób prawnych i innych jednostek organizacyjnych</t>
  </si>
  <si>
    <t>Kolonie i obozy oraz inne formy wypoczynku dzieci i młodzieży szkolnej, a także szkolenia młodzieży</t>
  </si>
  <si>
    <t>nagrody w dziedzinie kultury</t>
  </si>
  <si>
    <t>Środki na dofinansowanie własnych inwestycji gmin, powiatów, samorządów województw, pozyskane z innych źródeł</t>
  </si>
  <si>
    <t>dotacja z Fundacji EkoFundusz na termomodernizacje obiektów szkolnych</t>
  </si>
  <si>
    <t>środki z programu Wspólnoty Europejskiej Socrates-Comenius na realizację projektów oświatowych</t>
  </si>
  <si>
    <t>Towarzystwo  Piłki Siatkowej, Al. Zygmuntowskie 5, 20-101 Lublin</t>
  </si>
  <si>
    <t>1.17 Biuro Obsługi Kancelaryjnej</t>
  </si>
  <si>
    <t>1.18 Wydział Organizacji Urzędu</t>
  </si>
  <si>
    <t>Andersa: IV- 2.317.739,VI-180.255,VII-618.690,VIII-618.692,IX-618.690</t>
  </si>
  <si>
    <t>Dotacje celowe z budżetu państwa na zadania z zakresu administracji rządowej</t>
  </si>
  <si>
    <t>Zespoły do spraw orzekania 
o niepełnosprawności</t>
  </si>
  <si>
    <t>Wpłaty z zysku przedsiębiorstw 
i jednoosobowych spółek</t>
  </si>
  <si>
    <t>Harmonogram realizacji wydatków budżetu miasta w 2007 roku</t>
  </si>
  <si>
    <t>Prezydenta Miasta Lublin</t>
  </si>
  <si>
    <t>(nazwa działu, rozdziału)</t>
  </si>
  <si>
    <t>Wydatki ogółem</t>
  </si>
  <si>
    <t>z tego:</t>
  </si>
  <si>
    <t>1.1 Wydział Architektury 
i Administracji Budowlanej</t>
  </si>
  <si>
    <t xml:space="preserve">1.3 Wydział Finansowy </t>
  </si>
  <si>
    <t>Izby rolnicze</t>
  </si>
  <si>
    <t>Obsługa papierów wartościowych, kredytów 
i pożyczek jednostek samorządu terytorialnego</t>
  </si>
  <si>
    <t>Rozliczenia z tytułu poręczeń i gwarancji udzielonych przez Skarb Państwa lub jednostkę samorządu terytorialnego</t>
  </si>
  <si>
    <t>758</t>
  </si>
  <si>
    <t>Nadzór nad gospodarką leśną</t>
  </si>
  <si>
    <t>Różne jednostki obsługi gospodarki mieszkaniowej</t>
  </si>
  <si>
    <t>754</t>
  </si>
  <si>
    <t xml:space="preserve">Powiatowe urzędy pracy </t>
  </si>
  <si>
    <t>Specjalne ośrodki szkolno - wychowawcze</t>
  </si>
  <si>
    <t>Teatry</t>
  </si>
  <si>
    <t xml:space="preserve">Gospodarka gruntami i nieruchomościami </t>
  </si>
  <si>
    <t>z dnia 2 lipca 2007 roku</t>
  </si>
  <si>
    <t>dotacja celowa z budżetu państwa na dofinansowanie utrzymania Miejskiego Ośrodka Pomocy Rodzinie</t>
  </si>
  <si>
    <t>ul. Rudlickiego</t>
  </si>
  <si>
    <t>budowa domu pomocy społecznej przy ul. Opalowej</t>
  </si>
  <si>
    <t>remonty budynków komunalnych</t>
  </si>
  <si>
    <t>Dotacje celowe z budżetu państwa na zadania zlecone z zakresu administracji rządowej</t>
  </si>
  <si>
    <t>Dotacje celowe otrzymane z budżetu państwa na realizację zadań bieżących z zakresu administracji rządowej oraz innych zadań zleconych gminie ustawami</t>
  </si>
  <si>
    <t xml:space="preserve">Urzędy naczelnych organów władzy państwowej, kontroli i ochrony prawa </t>
  </si>
  <si>
    <t>Dochody własne</t>
  </si>
  <si>
    <t>Udziały powiatów w podatkach stanowiących dochód budżetu państwa</t>
  </si>
  <si>
    <t>Dotacje celowe otrzymane z budżetu państwa na realizację bieżących zadań własnych powiatu</t>
  </si>
  <si>
    <t>środki z Programu Sąsiedztwa Interreg IIIA/Tacis CBC i budżetu państwa na realizację projektu "Współpraca kulturalna Lublina, Brześcia i Łucka - działania informacyjne i artystyczne"</t>
  </si>
  <si>
    <t>środki z Funduszu Rozwoju Kultury Fizycznej na dofinansowanie budowy hali sportowej z krytą pływalnią przy SP nr 51</t>
  </si>
  <si>
    <t>środki z Programu Wspólnoty Europejskiej Młodzież na realizację projektu "Historie z fotogramów"</t>
  </si>
  <si>
    <t>środki z Europejskiego Funduszu Rozwoju Regionalnego na realizację projektu "Budowa i zagospodarowanie wielofunkcyjnej hali sportowo-widowiskowej w Lublinie przy ul. Kazimierza Wielkiego 10"</t>
  </si>
  <si>
    <t>Dotacje celowe i inne środki na zadania realizowane na podstawie porozumień i umów</t>
  </si>
  <si>
    <t>Dotacja celowa otrzymana przez jednostkę samorządu terytorialnego od innej jednostki samorządu terytorialnego będącej instytucją wdrażającą na zadania bieżące realizowane na podstawie porozumień (umów)</t>
  </si>
  <si>
    <t>Świadczenia rodzinne, zaliczka alimentacyjna oraz składki na ubezpieczenia emerytalne i rentowe z ubezpieczenia społecznego</t>
  </si>
  <si>
    <t>dotacja celowa z budżetu państwa na zadanie "Przystosowanie domów jednorodzinnych wraz z zakupem mebli i wyposażenia, na potrzeby grup autonomicznych dzieci z placówki opiekuńczo-wychowawczej w Lublinie"</t>
  </si>
  <si>
    <t>dotacja celowa z budżetu państwa na poprawę bezpieczeństwa ruchu drogowego na ul. Kunickiego</t>
  </si>
  <si>
    <t>Dotacja celowa otrzymana przez jednostkę samorządu terytorialnego od innej jednostki samorządu terytorialnego będącej instytucją wdrażającą na zadania bieżące realizowane na podstawie umów</t>
  </si>
  <si>
    <t>dotacja celowa z budżetu państwa na składki na ubezpieczenie zdrowotne za dzieci i uczniów niepozostających na utrzymaniu osoby ubezpieczonej</t>
  </si>
  <si>
    <t>dotacja celowa z budżetu państwa na sfinansowanie kosztów obsługi wydawania decyzji o świadczeniach zdrowotnych</t>
  </si>
  <si>
    <t>Placówki wychowania pozaszkolnego</t>
  </si>
  <si>
    <t>Internaty i bursy szkolne</t>
  </si>
  <si>
    <t>kolektor sanitarny AN-AS w os. Lipniak do granic miasta</t>
  </si>
  <si>
    <t>Odsetki i dyskonto od krajowych skarbowych papierów wartościowych oraz od krajowych pożyczek i kredytów</t>
  </si>
  <si>
    <t xml:space="preserve">Lubelski Lipiec '80 (trasa zielona) - II etap (w rejonie dworca PKP) od ul. Muzycznej do ul. Krochmalnej wraz z mostem na rzece Bystrzycy </t>
  </si>
  <si>
    <t>przedłużenie al. Solidarności do granic miasta, przebudowa istniejących odcinków: al. Solidarności, al. Tysiąclecia, ul. Grygowej, al. Witosa oraz przebudowa skrzyżowań z istniejącymi ulicami</t>
  </si>
  <si>
    <t xml:space="preserve">odprowadzenie wód deszczowych z ulic: Rozmarynowej, Kwiatów Polnych do zbiornika przy ul. Skowronkowej </t>
  </si>
  <si>
    <t>Wpływy z innych opłat stanowiących dochody jednostek samorządu terytorialnego na podstawie ustaw</t>
  </si>
  <si>
    <t>inwestycje w ramach programu "Edukacja - program pomocy w dostępie do nauki dzieci i młodzieży niepełnosprawnej"</t>
  </si>
  <si>
    <t>Stowarzyszenie Rozstaje Europy; ul. Radziszewskiego 16, 20-031 Lublin</t>
  </si>
  <si>
    <t>1.4 Wydział Budżetu i Księgowości</t>
  </si>
  <si>
    <t>Promocja jednostek samorządu terytorialnego</t>
  </si>
  <si>
    <t>promocja miasta</t>
  </si>
  <si>
    <t>Dotacje celowe otrzymane z gminy na zadania bieżące realizowane na podstawie porozumień między jednostkami samorządu terytorialnego</t>
  </si>
  <si>
    <t>środki z Gminy Garbów na prowadzenie doradztwa metodycznego dla nauczycieli</t>
  </si>
  <si>
    <t>Dotacje celowe przekazane dla powiatu na zadania bieżące realizowane na podstawie porozumień między jednostkami samorządu terytorialnego</t>
  </si>
  <si>
    <t xml:space="preserve">modernizacja ewidencji gruntów </t>
  </si>
  <si>
    <t>Dochody z najmu i dzierżawy składników majątkowych Skarbu Państwa, jednostek samorządu terytorialnego lub innych jednostek zaliczanych do sektora finansów publicznych oraz innych umów o podobnym charakterze</t>
  </si>
  <si>
    <t>Utrzymanie zieleni w miastach i gminach</t>
  </si>
  <si>
    <t>Schroniska dla zwierząt</t>
  </si>
  <si>
    <t>Oświetlenie ulic, placów i dróg</t>
  </si>
  <si>
    <t>Kary i odszkodowania wypłacane na rzecz osób fizycznych</t>
  </si>
  <si>
    <t>Koszty postępowania sądowego i prokuratorskiego</t>
  </si>
  <si>
    <t>wspieranie sportu kwalifikowanego</t>
  </si>
  <si>
    <t>podatek od działalności gospodarczej osób fizycznych opłacany w formie karty podatkowej</t>
  </si>
  <si>
    <t>Miejskie Towarzystwo Pływackie "Lublinianka"; Al. Zygmuntowskie 4,
20-101 Lublin</t>
  </si>
  <si>
    <t>Młodzieżowy Klub Piłkarski "Koziołek"; ul. Puchacza 15/15, 
20-323 Lublin</t>
  </si>
  <si>
    <t>Ognisko TKKF "Omega"; ul. Nałkowskich 130/9, 20-470 Lublin</t>
  </si>
  <si>
    <t>Stowarzyszenie Lokalne "Kalina" Salezjańskiej Organizacji Sportowej;
ul. Kalinowszczyzna 3, 20-129 Lublin</t>
  </si>
  <si>
    <t>Towarzystwo Piłki Siatkowej; Al. Zygmuntowskie 5, 20-101 Lublin</t>
  </si>
  <si>
    <t>Uczniowski Klub Sportowy "Dwójka"; ul. Lwowska 11, 20-128 Lublin</t>
  </si>
  <si>
    <t>Uczniowski Klub Sportowy "Piątka"; ul. Smyczkowa 3, 20-844 Lublin</t>
  </si>
  <si>
    <t>Uczniowski Klub Sportowy "Skarpa"; ul. Radości 13, 20-593 Lublin</t>
  </si>
  <si>
    <t>Uczniowski Klub Sportowy "Sobieski 46"; ul. Biedronki 13, 20-543 Lublin</t>
  </si>
  <si>
    <t>Uczniowski Osiedlowy Klub Sportowy "Sławin"; ul. Zbożowa 75,
20-857 Lublin</t>
  </si>
  <si>
    <t>Zakup usług obejmujących wykonanie ekspertyz, analiz i opinii</t>
  </si>
  <si>
    <t xml:space="preserve">projekt "Lublin i Łuck od kuchni. Bezgraniczny świat kulinariów polsko-ukraińskiego pogranicza" </t>
  </si>
  <si>
    <t>remonty przedszkoli</t>
  </si>
  <si>
    <t>Ośrodki pomocy społecznej</t>
  </si>
  <si>
    <t>Wydatki na zadania z zakresu administracji rządowej wykonywane przez powiat</t>
  </si>
  <si>
    <t>010</t>
  </si>
  <si>
    <t>Rolnictwo i łowiectwo</t>
  </si>
  <si>
    <t>środki z Europejskiego Funduszu Społecznego na realizację projektu "Sami sobie - program rozwoju standardów jakości usług dla pracowników socjalnych"</t>
  </si>
  <si>
    <t>środki z Programu Wspólnoty Europejskiej Socrates Grundtvig 2 na realizację projektu "EduPart. Partnerstwo na rzecz edukacji i pobudzania aktywności rodzin"</t>
  </si>
  <si>
    <t>przedłużenie ul. Związkowej (od ul. Bazylianówka do ul. Walecznych)</t>
  </si>
  <si>
    <t>budowa ul. Poligonowej do granic miasta</t>
  </si>
  <si>
    <t>rozbudowa infrastruktury technicznej w os. Hajdów i Zadębie w celu aktywizacji gospodarczej</t>
  </si>
  <si>
    <t>przedłużenie ul. Nadbystrzyckiej (od ul. Jana Pawła II do ul. Janowskiej)</t>
  </si>
  <si>
    <t xml:space="preserve">poprawa bezpieczeństwa na ul. Kunickiego </t>
  </si>
  <si>
    <t>przebudowa ul. Zana</t>
  </si>
  <si>
    <t>przebudowa ul. Lipowej od ul. Krakowskie Przedmieście do ul. Okopowej</t>
  </si>
  <si>
    <t>Stowarzyszenie Klub Abstynenta "Radość", ul. Królewska 17, 
20-109 Lublin</t>
  </si>
  <si>
    <t>Akademicki Związek Sportowy Klub Uczelniany UMCS; ul. Langiewicza 22, 20-032 Lublin</t>
  </si>
  <si>
    <t>dotacja dla Centrum Integracji Społecznej "Integro" na realizację projektu "Od smutku do radości"</t>
  </si>
  <si>
    <t>czynsz dzierżawny za obwody łowieckie</t>
  </si>
  <si>
    <t>Dotacje celowe otrzymane z budżetu państwa na realizację własnych zadań bieżących gmin</t>
  </si>
  <si>
    <t>Przedszkola</t>
  </si>
  <si>
    <t>Część równoważąca subwencji ogólnej dla powiatów</t>
  </si>
  <si>
    <t>pokrycie kosztów obsługi realizowanych zadań</t>
  </si>
  <si>
    <t>Wydatki na zadania realizowane na podstawie porozumień i umów</t>
  </si>
  <si>
    <t>obwodnica miejska od węzła al. Tysiąclecia - ul. Hutnicza do ul. Mełgiewskiej</t>
  </si>
  <si>
    <t>Domy i ośrodki kultury, świetlice i kluby</t>
  </si>
  <si>
    <t>Galerie i biura wystaw artystycznych</t>
  </si>
  <si>
    <t>Kultura fizyczna i sport</t>
  </si>
  <si>
    <t>Obiekty sportowe</t>
  </si>
  <si>
    <t>Instytucje kultury fizycznej</t>
  </si>
  <si>
    <t>Gospodarka komunalna i ochrona środowiska</t>
  </si>
  <si>
    <t>Urzędy wojewódzkie</t>
  </si>
  <si>
    <t>pozostałe dochody</t>
  </si>
  <si>
    <t>ul. Chabrowa</t>
  </si>
  <si>
    <t>ul. Sobótki</t>
  </si>
  <si>
    <t>ul. Sławin</t>
  </si>
  <si>
    <t>ul. Wrońska</t>
  </si>
  <si>
    <t xml:space="preserve">budowa bezpiecznego systemu ścieżek rowerowych </t>
  </si>
  <si>
    <t xml:space="preserve">przebudowa ulic niespełniających warunków technicznych i bezpieczeństwa ruchu </t>
  </si>
  <si>
    <t>ul. Pielęgniarek (droga obsługująca al. Kraśnicką)</t>
  </si>
  <si>
    <t xml:space="preserve">ścieżki rowerowe </t>
  </si>
  <si>
    <t xml:space="preserve">budowa chodników i przejść dla pieszych </t>
  </si>
  <si>
    <t>zintegrowane oznakowanie turystyczne Lublina</t>
  </si>
  <si>
    <t>Urzędy miast i miast na prawach powiatu</t>
  </si>
  <si>
    <t>modernizacja DPS im. W. Michelisowej</t>
  </si>
  <si>
    <t>zaległe wpłaty za pobyt w Izbie Wytrzeźwień</t>
  </si>
  <si>
    <t>0970</t>
  </si>
  <si>
    <t>0350</t>
  </si>
  <si>
    <t>0910</t>
  </si>
  <si>
    <t>0310</t>
  </si>
  <si>
    <t>0320</t>
  </si>
  <si>
    <t>0330</t>
  </si>
  <si>
    <t>0340</t>
  </si>
  <si>
    <t>środki w dyspozycji wydziału</t>
  </si>
  <si>
    <t>500</t>
  </si>
  <si>
    <t>50095</t>
  </si>
  <si>
    <t>0360</t>
  </si>
  <si>
    <t>0370</t>
  </si>
  <si>
    <t>0500</t>
  </si>
  <si>
    <t>0410</t>
  </si>
  <si>
    <t>0010</t>
  </si>
  <si>
    <t>0020</t>
  </si>
  <si>
    <t>0920</t>
  </si>
  <si>
    <t>Opłaty za administrowanie i czynsze za budynki, lokale i pomieszczenia garażowe</t>
  </si>
  <si>
    <t>organizacja obozów szkoleniowych w okresie wakacji letnich</t>
  </si>
  <si>
    <t>drogi wewnętrzne</t>
  </si>
  <si>
    <t>rekompozycja zagospodarowania Placu Litewskiego</t>
  </si>
  <si>
    <t>1.9  Wydział Gospodarki Komunalnej</t>
  </si>
  <si>
    <t>1.10  Biuro Transportu Zbiorowego</t>
  </si>
  <si>
    <t>1.11  Wydział Dróg i Mostów</t>
  </si>
  <si>
    <t>1.12 Wydział Ochrony Środowiska</t>
  </si>
  <si>
    <t>1.13 Wydział Organizacyjny</t>
  </si>
  <si>
    <t>1.14 Biuro Zamówień Publicznych</t>
  </si>
  <si>
    <t>1.15 Wydział Organizacji Urzędu</t>
  </si>
  <si>
    <t>1.16 Wydział Spraw Administracyjnych</t>
  </si>
  <si>
    <t>1.17 Wydział Komunikacji</t>
  </si>
  <si>
    <t>1.18 Wydział Spraw Społecznych</t>
  </si>
  <si>
    <t>1.19 Wydział Sportu i Turystyki</t>
  </si>
  <si>
    <t>1.20 Wydział Spraw Mieszkaniowych</t>
  </si>
  <si>
    <t>1.21 Wydział Zdrowia i Spraw Społecznych</t>
  </si>
  <si>
    <t>1.22 Wydział Strategii i Rozwoju</t>
  </si>
  <si>
    <t>1.23 Wydział Inwestycji</t>
  </si>
  <si>
    <t>Załącznik nr 5</t>
  </si>
  <si>
    <t>Urząd Miasta - Wydział Geodezji</t>
  </si>
  <si>
    <t>Wpływy z podatku rolnego, podatku leśnego, podatku od czynności cywilnoprawnych, podatków i opłat lokalnych od osób prawnych i innych jednostek organizacyjnych</t>
  </si>
  <si>
    <t>dotacja rekompensująca dochody utracone z tytułu zwolnień ustawowych</t>
  </si>
  <si>
    <t>Część równoważąca subwencji ogólnej dla gmin</t>
  </si>
  <si>
    <t>subwencja równoważąca</t>
  </si>
  <si>
    <t>opłaty za wieczyste użytkowanie</t>
  </si>
  <si>
    <t>Wpływy z opłat za zarząd, użytkowanie i użytkowanie wieczyste nieruchomości</t>
  </si>
  <si>
    <t>opłata za wydanie licencji na wykonywanie krajowego transportu drogowego i opłata za wydanie zaświadczenia i wypisu z zaświadczenia na wykonywanie przewozu osób i rzeczy na potrzeby własne</t>
  </si>
  <si>
    <t xml:space="preserve">Gospodarka komunalna i ochrona środowiska </t>
  </si>
  <si>
    <t>Gospodarka ściekowa i ochrona wód</t>
  </si>
  <si>
    <t>Oczyszczanie miast i wsi</t>
  </si>
  <si>
    <t>Szkoły artystyczne</t>
  </si>
  <si>
    <t>Drogi publiczne w miastach na prawach powiatu</t>
  </si>
  <si>
    <t>Drogi publiczne gminne</t>
  </si>
  <si>
    <t xml:space="preserve">dotacje na utrzymanie dzieci skierowanych do placówek opiekuńczo-wychowawczych na terenie innych powiatów  </t>
  </si>
  <si>
    <t>wydatki na zadania realizowane przez domy pomocy społecznej</t>
  </si>
  <si>
    <t xml:space="preserve">wydatki na zadania realizowane przez Miejski Ośrodek Pomocy Rodzinie </t>
  </si>
  <si>
    <t>adaptacja budynku przy ul. Zemborzyckiej</t>
  </si>
  <si>
    <t>wpływy ze sprzedaży psów w schronisku</t>
  </si>
  <si>
    <t>opłaty pokrywające koszt specyfikacji przetargowej</t>
  </si>
  <si>
    <t>opłata targowa</t>
  </si>
  <si>
    <t>Wpływy z opłaty targowej</t>
  </si>
  <si>
    <t>dokumentacja przyszłościowa</t>
  </si>
  <si>
    <t>Lubelski Okręgowy Zarząd Lekkiej Atletyki; Al. Zygmuntowskie 4a,
20-101 Lublin</t>
  </si>
  <si>
    <t>Stowarzyszenie Piłki Ręcznej; ul. Mełgiewska 2, 20-209 Lublin</t>
  </si>
  <si>
    <t xml:space="preserve">Prezydenta Miasta Lublin </t>
  </si>
  <si>
    <t>Miesiące</t>
  </si>
  <si>
    <t xml:space="preserve">Rozdz. </t>
  </si>
  <si>
    <t xml:space="preserve"> (nazwa działu, rozdziału)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</si>
  <si>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</si>
  <si>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</si>
  <si>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</si>
  <si>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</si>
  <si>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</si>
  <si>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</si>
  <si>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</si>
  <si>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</si>
  <si>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</si>
  <si>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</si>
  <si>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</si>
  <si>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</si>
  <si>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Dochody ogółem</t>
  </si>
  <si>
    <t>1.1 Wydział Architektury i Administracji Budowlanej</t>
  </si>
  <si>
    <t>Dochody gminy, z tego:</t>
  </si>
  <si>
    <t>Wpływy z podatku rolnego, podatku leśnego, podatku od spadków i darowizn, podatku od czynności cywilnoprawnych oraz podatków 
i opłat lokalnych od osób fizycznych</t>
  </si>
  <si>
    <t xml:space="preserve">Subwencje i dotacja rekompensująca </t>
  </si>
  <si>
    <t xml:space="preserve">Część oświatowa subwencji ogólnej dla jednostek samorządu terytorialnego </t>
  </si>
  <si>
    <t>Ognisko TKKF "Czuby"; ul. Przytulna 4, 20-534 Lublin</t>
  </si>
  <si>
    <t>Ognisko TKKF "Grażyna"; ul. Filaretów 44, 20-609 Lublin</t>
  </si>
  <si>
    <t xml:space="preserve">kanalizacja deszczowa pozwalająca na odprowadzenie wód deszczowych z ulic: Paśnikowskiego, Frankowskiego, Rogińskiego, Romanowskiego </t>
  </si>
  <si>
    <t xml:space="preserve">odprowadzenie wód deszczowych z ulic: Dworskiej, Ludowej, Wielkiej i Rudnickiej </t>
  </si>
  <si>
    <t>kanalizacja sanitarna w rejonie ul. Janowskiej</t>
  </si>
  <si>
    <t xml:space="preserve">sieć wodociągowa w os. Felin </t>
  </si>
  <si>
    <t xml:space="preserve">sieć wodociągowa w os. Poligon </t>
  </si>
  <si>
    <t>odwodnienie w rejonie ulic: Misjonarskiej, Wyszyńskiego, Żmigród, Bernardyńskiej</t>
  </si>
  <si>
    <t xml:space="preserve">przebudowa sieci wodociągowej w ul. Pliszczyńskiej </t>
  </si>
  <si>
    <t xml:space="preserve">sieć wodociągowa w al. Spółdzielczości Pracy </t>
  </si>
  <si>
    <t>Park "Czuby"</t>
  </si>
  <si>
    <t>oświetlenie ulic, placów i dróg</t>
  </si>
  <si>
    <t xml:space="preserve">modernizacja systemu zaopatrzenia w wodę dla osiedli Zadębie i Felin 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</si>
</sst>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.00_ ;\-#,##0.00\ "/>
    <numFmt numFmtId="176" formatCode="#,##0.000"/>
    <numFmt numFmtId="177" formatCode="#,##0.0"/>
    <numFmt numFmtId="178" formatCode="0.0"/>
    <numFmt numFmtId="179" formatCode="#,##0_ ;\-#,##0\ "/>
    <numFmt numFmtId="180" formatCode="#,##0.00\ &quot;zł&quot;"/>
    <numFmt numFmtId="181" formatCode="#,##0.0000"/>
    <numFmt numFmtId="182" formatCode="h:m"/>
    <numFmt numFmtId="183" formatCode="#,##0.00\ &quot;zł&quot;;[Red]#,##0.00\ &quot;zł&quot;"/>
    <numFmt numFmtId="184" formatCode="#,##0\ &quot;zł&quot;"/>
    <numFmt numFmtId="185" formatCode="#,##0.00\ _z_ł"/>
    <numFmt numFmtId="186" formatCode="#,##0\ _z_ł"/>
    <numFmt numFmtId="187" formatCode="#,##0_ ;[Red]\-#,##0\ "/>
    <numFmt numFmtId="188" formatCode="#,##0;&quot;-&quot;#,##0"/>
    <numFmt numFmtId="189" formatCode="#,##0;[Red]&quot;-&quot;#,##0"/>
    <numFmt numFmtId="190" formatCode="#,##0.00;&quot;-&quot;#,##0.00"/>
    <numFmt numFmtId="191" formatCode="#,##0.00;[Red]&quot;-&quot;#,##0.00"/>
    <numFmt numFmtId="192" formatCode="\ h\ h:m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* #,##0_-;\-* #,##0_-;_-* &quot;-&quot;_-;_-@_-"/>
    <numFmt numFmtId="199" formatCode="_-&quot;€&quot;* #,##0.00_-;\-&quot;€&quot;* #,##0.00_-;_-&quot;€&quot;* &quot;-&quot;??_-;_-@_-"/>
    <numFmt numFmtId="200" formatCode="_-* #,##0.00_-;\-* #,##0.00_-;_-* &quot;-&quot;??_-;_-@_-"/>
    <numFmt numFmtId="201" formatCode="\1000,000"/>
    <numFmt numFmtId="202" formatCode="\1\ 000,000"/>
    <numFmt numFmtId="203" formatCode="#\.##0"/>
    <numFmt numFmtId="204" formatCode="#\.###\.##0"/>
    <numFmt numFmtId="205" formatCode="0.0%"/>
    <numFmt numFmtId="206" formatCode="&quot;Tak&quot;;&quot;Tak&quot;;&quot;Nie&quot;"/>
    <numFmt numFmtId="207" formatCode="&quot;Prawda&quot;;&quot;Prawda&quot;;&quot;Fałsz&quot;"/>
    <numFmt numFmtId="208" formatCode="&quot;Włączone&quot;;&quot;Włączone&quot;;&quot;Wyłączone&quot;"/>
    <numFmt numFmtId="209" formatCode="[$€-2]\ #,##0.00_);[Red]\([$€-2]\ #,##0.00\)"/>
    <numFmt numFmtId="210" formatCode="#,##0\ &quot;zł&quot;;[Green]\-#,##0\ &quot;zł&quot;"/>
    <numFmt numFmtId="211" formatCode="\-0"/>
    <numFmt numFmtId="212" formatCode="\-#,##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b/>
      <i/>
      <sz val="11"/>
      <name val="Arial CE"/>
      <family val="2"/>
    </font>
    <font>
      <u val="single"/>
      <sz val="7.8"/>
      <color indexed="12"/>
      <name val="Arial CE"/>
      <family val="0"/>
    </font>
    <font>
      <u val="single"/>
      <sz val="7.8"/>
      <color indexed="36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0"/>
    </font>
    <font>
      <sz val="9"/>
      <name val="Arial CE"/>
      <family val="0"/>
    </font>
    <font>
      <sz val="10"/>
      <color indexed="8"/>
      <name val="Arial"/>
      <family val="0"/>
    </font>
    <font>
      <sz val="8"/>
      <name val="Arial CE"/>
      <family val="0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sz val="12"/>
      <color indexed="10"/>
      <name val="Arial CE"/>
      <family val="2"/>
    </font>
    <font>
      <sz val="9"/>
      <color indexed="12"/>
      <name val="Arial CE"/>
      <family val="2"/>
    </font>
    <font>
      <sz val="12"/>
      <color indexed="12"/>
      <name val="Arial CE"/>
      <family val="2"/>
    </font>
    <font>
      <sz val="10"/>
      <color indexed="12"/>
      <name val="Arial CE"/>
      <family val="2"/>
    </font>
    <font>
      <sz val="12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3"/>
      <name val="Arial CE"/>
      <family val="0"/>
    </font>
    <font>
      <sz val="10"/>
      <color indexed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7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 style="thin"/>
      <top style="thin"/>
      <bottom style="medium"/>
    </border>
    <border>
      <left style="thin"/>
      <right style="thin"/>
      <top style="dott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ashed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thin"/>
      <right style="thin"/>
      <top style="dashed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wrapText="1"/>
    </xf>
    <xf numFmtId="3" fontId="1" fillId="2" borderId="8" xfId="0" applyNumberFormat="1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3" fontId="0" fillId="2" borderId="4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 quotePrefix="1">
      <alignment horizontal="right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 quotePrefix="1">
      <alignment horizontal="right"/>
    </xf>
    <xf numFmtId="0" fontId="2" fillId="2" borderId="2" xfId="0" applyFont="1" applyFill="1" applyBorder="1" applyAlignment="1">
      <alignment/>
    </xf>
    <xf numFmtId="0" fontId="1" fillId="2" borderId="9" xfId="0" applyFont="1" applyFill="1" applyBorder="1" applyAlignment="1">
      <alignment wrapText="1"/>
    </xf>
    <xf numFmtId="3" fontId="8" fillId="2" borderId="1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1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 wrapText="1"/>
    </xf>
    <xf numFmtId="0" fontId="1" fillId="2" borderId="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/>
    </xf>
    <xf numFmtId="0" fontId="2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3" fontId="3" fillId="2" borderId="17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3" fontId="1" fillId="2" borderId="9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4" xfId="0" applyNumberFormat="1" applyFont="1" applyFill="1" applyBorder="1" applyAlignment="1">
      <alignment horizontal="right"/>
    </xf>
    <xf numFmtId="1" fontId="1" fillId="2" borderId="9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" fillId="2" borderId="2" xfId="0" applyFont="1" applyFill="1" applyBorder="1" applyAlignment="1" quotePrefix="1">
      <alignment horizontal="right"/>
    </xf>
    <xf numFmtId="0" fontId="8" fillId="2" borderId="10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2" fillId="2" borderId="9" xfId="0" applyFont="1" applyFill="1" applyBorder="1" applyAlignment="1" quotePrefix="1">
      <alignment horizontal="right"/>
    </xf>
    <xf numFmtId="0" fontId="2" fillId="2" borderId="9" xfId="0" applyFont="1" applyFill="1" applyBorder="1" applyAlignment="1">
      <alignment horizontal="left" wrapText="1"/>
    </xf>
    <xf numFmtId="3" fontId="1" fillId="3" borderId="2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2" fillId="3" borderId="17" xfId="0" applyNumberFormat="1" applyFont="1" applyFill="1" applyBorder="1" applyAlignment="1">
      <alignment/>
    </xf>
    <xf numFmtId="3" fontId="8" fillId="3" borderId="19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left" wrapText="1"/>
    </xf>
    <xf numFmtId="0" fontId="2" fillId="2" borderId="9" xfId="0" applyFont="1" applyFill="1" applyBorder="1" applyAlignment="1" quotePrefix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wrapText="1"/>
    </xf>
    <xf numFmtId="0" fontId="0" fillId="2" borderId="20" xfId="0" applyFont="1" applyFill="1" applyBorder="1" applyAlignment="1">
      <alignment horizontal="left" wrapText="1"/>
    </xf>
    <xf numFmtId="0" fontId="4" fillId="2" borderId="0" xfId="0" applyFont="1" applyFill="1" applyAlignment="1">
      <alignment/>
    </xf>
    <xf numFmtId="0" fontId="5" fillId="2" borderId="2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2" fillId="2" borderId="1" xfId="0" applyFont="1" applyFill="1" applyBorder="1" applyAlignment="1" quotePrefix="1">
      <alignment horizontal="right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0" fillId="2" borderId="4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3" fontId="0" fillId="2" borderId="18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 vertical="top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9" xfId="0" applyFont="1" applyFill="1" applyBorder="1" applyAlignment="1">
      <alignment wrapText="1"/>
    </xf>
    <xf numFmtId="3" fontId="1" fillId="4" borderId="2" xfId="0" applyNumberFormat="1" applyFont="1" applyFill="1" applyBorder="1" applyAlignment="1">
      <alignment/>
    </xf>
    <xf numFmtId="0" fontId="0" fillId="4" borderId="11" xfId="0" applyFont="1" applyFill="1" applyBorder="1" applyAlignment="1">
      <alignment wrapText="1"/>
    </xf>
    <xf numFmtId="3" fontId="0" fillId="4" borderId="4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2" xfId="0" applyFont="1" applyFill="1" applyBorder="1" applyAlignment="1">
      <alignment wrapText="1"/>
    </xf>
    <xf numFmtId="3" fontId="1" fillId="4" borderId="8" xfId="0" applyNumberFormat="1" applyFont="1" applyFill="1" applyBorder="1" applyAlignment="1">
      <alignment/>
    </xf>
    <xf numFmtId="0" fontId="0" fillId="4" borderId="20" xfId="0" applyFont="1" applyFill="1" applyBorder="1" applyAlignment="1">
      <alignment wrapText="1"/>
    </xf>
    <xf numFmtId="3" fontId="0" fillId="4" borderId="18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3" fontId="8" fillId="2" borderId="19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3" fontId="0" fillId="2" borderId="11" xfId="0" applyNumberFormat="1" applyFont="1" applyFill="1" applyBorder="1" applyAlignment="1">
      <alignment wrapText="1"/>
    </xf>
    <xf numFmtId="3" fontId="2" fillId="2" borderId="9" xfId="0" applyNumberFormat="1" applyFont="1" applyFill="1" applyBorder="1" applyAlignment="1">
      <alignment wrapText="1"/>
    </xf>
    <xf numFmtId="3" fontId="1" fillId="2" borderId="12" xfId="0" applyNumberFormat="1" applyFont="1" applyFill="1" applyBorder="1" applyAlignment="1">
      <alignment wrapText="1"/>
    </xf>
    <xf numFmtId="3" fontId="0" fillId="2" borderId="4" xfId="0" applyNumberFormat="1" applyFont="1" applyFill="1" applyBorder="1" applyAlignment="1">
      <alignment wrapText="1"/>
    </xf>
    <xf numFmtId="0" fontId="0" fillId="2" borderId="15" xfId="0" applyFont="1" applyFill="1" applyBorder="1" applyAlignment="1">
      <alignment/>
    </xf>
    <xf numFmtId="0" fontId="0" fillId="2" borderId="20" xfId="0" applyFont="1" applyFill="1" applyBorder="1" applyAlignment="1">
      <alignment wrapText="1"/>
    </xf>
    <xf numFmtId="0" fontId="8" fillId="2" borderId="22" xfId="0" applyFont="1" applyFill="1" applyBorder="1" applyAlignment="1">
      <alignment wrapText="1"/>
    </xf>
    <xf numFmtId="3" fontId="0" fillId="2" borderId="18" xfId="0" applyNumberFormat="1" applyFont="1" applyFill="1" applyBorder="1" applyAlignment="1">
      <alignment wrapText="1"/>
    </xf>
    <xf numFmtId="0" fontId="8" fillId="2" borderId="9" xfId="0" applyFont="1" applyFill="1" applyBorder="1" applyAlignment="1">
      <alignment/>
    </xf>
    <xf numFmtId="3" fontId="8" fillId="2" borderId="2" xfId="0" applyNumberFormat="1" applyFont="1" applyFill="1" applyBorder="1" applyAlignment="1">
      <alignment horizontal="right" wrapText="1"/>
    </xf>
    <xf numFmtId="0" fontId="8" fillId="2" borderId="22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13" xfId="0" applyNumberFormat="1" applyFon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 vertical="top"/>
    </xf>
    <xf numFmtId="0" fontId="2" fillId="2" borderId="17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0" fontId="8" fillId="2" borderId="19" xfId="0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2" fillId="2" borderId="5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49" fontId="2" fillId="2" borderId="2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2" fillId="2" borderId="2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49" fontId="0" fillId="2" borderId="3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left" wrapText="1"/>
    </xf>
    <xf numFmtId="3" fontId="2" fillId="2" borderId="23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left" wrapText="1"/>
    </xf>
    <xf numFmtId="3" fontId="2" fillId="2" borderId="23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 quotePrefix="1">
      <alignment horizontal="right"/>
    </xf>
    <xf numFmtId="0" fontId="2" fillId="2" borderId="2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2" borderId="10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/>
    </xf>
    <xf numFmtId="0" fontId="0" fillId="2" borderId="1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 quotePrefix="1">
      <alignment horizontal="right"/>
    </xf>
    <xf numFmtId="0" fontId="0" fillId="2" borderId="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horizontal="left" wrapText="1"/>
    </xf>
    <xf numFmtId="3" fontId="0" fillId="2" borderId="4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 quotePrefix="1">
      <alignment horizontal="right"/>
    </xf>
    <xf numFmtId="3" fontId="2" fillId="2" borderId="4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3" fontId="2" fillId="2" borderId="18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/>
    </xf>
    <xf numFmtId="3" fontId="2" fillId="2" borderId="24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2" fillId="2" borderId="25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4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4" xfId="0" applyFont="1" applyFill="1" applyBorder="1" applyAlignment="1">
      <alignment wrapText="1"/>
    </xf>
    <xf numFmtId="3" fontId="12" fillId="2" borderId="24" xfId="0" applyNumberFormat="1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wrapText="1"/>
    </xf>
    <xf numFmtId="3" fontId="0" fillId="2" borderId="3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2" fillId="2" borderId="5" xfId="0" applyFont="1" applyFill="1" applyBorder="1" applyAlignment="1">
      <alignment wrapText="1"/>
    </xf>
    <xf numFmtId="3" fontId="2" fillId="2" borderId="5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0" fontId="2" fillId="3" borderId="23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2" fillId="3" borderId="26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wrapText="1"/>
    </xf>
    <xf numFmtId="3" fontId="8" fillId="2" borderId="19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2" fillId="2" borderId="24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wrapText="1"/>
    </xf>
    <xf numFmtId="3" fontId="0" fillId="2" borderId="27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 horizontal="center"/>
    </xf>
    <xf numFmtId="3" fontId="12" fillId="2" borderId="10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0" fontId="1" fillId="2" borderId="28" xfId="0" applyFont="1" applyFill="1" applyBorder="1" applyAlignment="1">
      <alignment horizontal="right" wrapText="1"/>
    </xf>
    <xf numFmtId="0" fontId="0" fillId="2" borderId="29" xfId="0" applyFont="1" applyFill="1" applyBorder="1" applyAlignment="1">
      <alignment wrapText="1"/>
    </xf>
    <xf numFmtId="3" fontId="0" fillId="2" borderId="29" xfId="0" applyNumberFormat="1" applyFont="1" applyFill="1" applyBorder="1" applyAlignment="1">
      <alignment/>
    </xf>
    <xf numFmtId="0" fontId="2" fillId="2" borderId="26" xfId="0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2" fillId="2" borderId="23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3" fontId="2" fillId="2" borderId="3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2" fillId="3" borderId="5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wrapText="1"/>
    </xf>
    <xf numFmtId="1" fontId="1" fillId="2" borderId="2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31" xfId="0" applyNumberFormat="1" applyFont="1" applyFill="1" applyBorder="1" applyAlignment="1">
      <alignment/>
    </xf>
    <xf numFmtId="0" fontId="0" fillId="2" borderId="31" xfId="0" applyFont="1" applyFill="1" applyBorder="1" applyAlignment="1">
      <alignment wrapText="1"/>
    </xf>
    <xf numFmtId="3" fontId="12" fillId="2" borderId="8" xfId="0" applyNumberFormat="1" applyFont="1" applyFill="1" applyBorder="1" applyAlignment="1">
      <alignment/>
    </xf>
    <xf numFmtId="0" fontId="0" fillId="2" borderId="7" xfId="0" applyFont="1" applyFill="1" applyBorder="1" applyAlignment="1">
      <alignment wrapText="1"/>
    </xf>
    <xf numFmtId="0" fontId="2" fillId="2" borderId="23" xfId="0" applyFont="1" applyFill="1" applyBorder="1" applyAlignment="1">
      <alignment/>
    </xf>
    <xf numFmtId="0" fontId="2" fillId="2" borderId="25" xfId="0" applyFont="1" applyFill="1" applyBorder="1" applyAlignment="1">
      <alignment wrapText="1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vertical="top"/>
    </xf>
    <xf numFmtId="0" fontId="1" fillId="2" borderId="8" xfId="0" applyFont="1" applyFill="1" applyBorder="1" applyAlignment="1">
      <alignment wrapText="1"/>
    </xf>
    <xf numFmtId="0" fontId="11" fillId="2" borderId="3" xfId="0" applyFont="1" applyFill="1" applyBorder="1" applyAlignment="1">
      <alignment/>
    </xf>
    <xf numFmtId="0" fontId="2" fillId="2" borderId="26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0" fontId="2" fillId="3" borderId="26" xfId="0" applyFont="1" applyFill="1" applyBorder="1" applyAlignment="1">
      <alignment horizontal="left" wrapText="1"/>
    </xf>
    <xf numFmtId="3" fontId="11" fillId="2" borderId="5" xfId="0" applyNumberFormat="1" applyFont="1" applyFill="1" applyBorder="1" applyAlignment="1">
      <alignment/>
    </xf>
    <xf numFmtId="3" fontId="12" fillId="2" borderId="24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3" fontId="2" fillId="2" borderId="26" xfId="0" applyNumberFormat="1" applyFont="1" applyFill="1" applyBorder="1" applyAlignment="1">
      <alignment wrapText="1"/>
    </xf>
    <xf numFmtId="3" fontId="12" fillId="2" borderId="17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2" fillId="2" borderId="29" xfId="0" applyNumberFormat="1" applyFont="1" applyFill="1" applyBorder="1" applyAlignment="1">
      <alignment/>
    </xf>
    <xf numFmtId="3" fontId="0" fillId="2" borderId="29" xfId="0" applyNumberFormat="1" applyFont="1" applyFill="1" applyBorder="1" applyAlignment="1">
      <alignment/>
    </xf>
    <xf numFmtId="3" fontId="2" fillId="2" borderId="29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8" fillId="2" borderId="19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right"/>
    </xf>
    <xf numFmtId="0" fontId="2" fillId="2" borderId="32" xfId="0" applyFont="1" applyFill="1" applyBorder="1" applyAlignment="1">
      <alignment wrapText="1"/>
    </xf>
    <xf numFmtId="3" fontId="0" fillId="2" borderId="32" xfId="0" applyNumberFormat="1" applyFont="1" applyFill="1" applyBorder="1" applyAlignment="1">
      <alignment/>
    </xf>
    <xf numFmtId="3" fontId="2" fillId="2" borderId="32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0" fontId="2" fillId="2" borderId="15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/>
    </xf>
    <xf numFmtId="0" fontId="1" fillId="2" borderId="12" xfId="0" applyFont="1" applyFill="1" applyBorder="1" applyAlignment="1">
      <alignment vertical="top"/>
    </xf>
    <xf numFmtId="0" fontId="1" fillId="2" borderId="12" xfId="0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/>
    </xf>
    <xf numFmtId="0" fontId="2" fillId="2" borderId="25" xfId="0" applyFont="1" applyFill="1" applyBorder="1" applyAlignment="1">
      <alignment wrapText="1"/>
    </xf>
    <xf numFmtId="3" fontId="2" fillId="2" borderId="25" xfId="0" applyNumberFormat="1" applyFont="1" applyFill="1" applyBorder="1" applyAlignment="1">
      <alignment/>
    </xf>
    <xf numFmtId="3" fontId="2" fillId="2" borderId="25" xfId="0" applyNumberFormat="1" applyFont="1" applyFill="1" applyBorder="1" applyAlignment="1">
      <alignment wrapText="1"/>
    </xf>
    <xf numFmtId="3" fontId="2" fillId="2" borderId="3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32" xfId="0" applyFont="1" applyFill="1" applyBorder="1" applyAlignment="1">
      <alignment wrapText="1"/>
    </xf>
    <xf numFmtId="3" fontId="2" fillId="2" borderId="32" xfId="0" applyNumberFormat="1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3" xfId="0" applyFont="1" applyFill="1" applyBorder="1" applyAlignment="1">
      <alignment wrapText="1"/>
    </xf>
    <xf numFmtId="3" fontId="1" fillId="2" borderId="28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 wrapText="1"/>
    </xf>
    <xf numFmtId="3" fontId="2" fillId="2" borderId="23" xfId="0" applyNumberFormat="1" applyFont="1" applyFill="1" applyBorder="1" applyAlignment="1">
      <alignment wrapText="1"/>
    </xf>
    <xf numFmtId="0" fontId="1" fillId="2" borderId="33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3" xfId="0" applyFont="1" applyFill="1" applyBorder="1" applyAlignment="1">
      <alignment wrapText="1"/>
    </xf>
    <xf numFmtId="3" fontId="1" fillId="2" borderId="33" xfId="0" applyNumberFormat="1" applyFont="1" applyFill="1" applyBorder="1" applyAlignment="1">
      <alignment/>
    </xf>
    <xf numFmtId="0" fontId="1" fillId="2" borderId="28" xfId="0" applyFont="1" applyFill="1" applyBorder="1" applyAlignment="1" quotePrefix="1">
      <alignment/>
    </xf>
    <xf numFmtId="0" fontId="1" fillId="2" borderId="34" xfId="0" applyFont="1" applyFill="1" applyBorder="1" applyAlignment="1">
      <alignment/>
    </xf>
    <xf numFmtId="0" fontId="1" fillId="2" borderId="34" xfId="0" applyFont="1" applyFill="1" applyBorder="1" applyAlignment="1">
      <alignment horizontal="left" wrapText="1"/>
    </xf>
    <xf numFmtId="3" fontId="1" fillId="2" borderId="28" xfId="0" applyNumberFormat="1" applyFont="1" applyFill="1" applyBorder="1" applyAlignment="1">
      <alignment horizontal="right" wrapText="1"/>
    </xf>
    <xf numFmtId="0" fontId="1" fillId="2" borderId="33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5" xfId="0" applyFont="1" applyFill="1" applyBorder="1" applyAlignment="1">
      <alignment horizontal="left" wrapText="1"/>
    </xf>
    <xf numFmtId="3" fontId="1" fillId="2" borderId="33" xfId="0" applyNumberFormat="1" applyFont="1" applyFill="1" applyBorder="1" applyAlignment="1">
      <alignment horizontal="right" wrapText="1"/>
    </xf>
    <xf numFmtId="0" fontId="1" fillId="2" borderId="33" xfId="0" applyFont="1" applyFill="1" applyBorder="1" applyAlignment="1" quotePrefix="1">
      <alignment/>
    </xf>
    <xf numFmtId="0" fontId="1" fillId="2" borderId="28" xfId="0" applyFont="1" applyFill="1" applyBorder="1" applyAlignment="1">
      <alignment/>
    </xf>
    <xf numFmtId="0" fontId="1" fillId="2" borderId="28" xfId="0" applyFont="1" applyFill="1" applyBorder="1" applyAlignment="1">
      <alignment wrapText="1"/>
    </xf>
    <xf numFmtId="0" fontId="1" fillId="2" borderId="28" xfId="0" applyFont="1" applyFill="1" applyBorder="1" applyAlignment="1">
      <alignment horizontal="right"/>
    </xf>
    <xf numFmtId="3" fontId="1" fillId="2" borderId="33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0" fontId="1" fillId="2" borderId="28" xfId="0" applyFont="1" applyFill="1" applyBorder="1" applyAlignment="1">
      <alignment/>
    </xf>
    <xf numFmtId="3" fontId="1" fillId="2" borderId="28" xfId="0" applyNumberFormat="1" applyFont="1" applyFill="1" applyBorder="1" applyAlignment="1">
      <alignment/>
    </xf>
    <xf numFmtId="0" fontId="0" fillId="2" borderId="37" xfId="0" applyFont="1" applyFill="1" applyBorder="1" applyAlignment="1">
      <alignment wrapText="1"/>
    </xf>
    <xf numFmtId="3" fontId="0" fillId="2" borderId="37" xfId="0" applyNumberFormat="1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1" fillId="2" borderId="28" xfId="0" applyFont="1" applyFill="1" applyBorder="1" applyAlignment="1" quotePrefix="1">
      <alignment horizontal="right"/>
    </xf>
    <xf numFmtId="3" fontId="1" fillId="3" borderId="28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left" wrapText="1"/>
    </xf>
    <xf numFmtId="0" fontId="1" fillId="2" borderId="28" xfId="0" applyFont="1" applyFill="1" applyBorder="1" applyAlignment="1">
      <alignment vertical="top"/>
    </xf>
    <xf numFmtId="3" fontId="2" fillId="2" borderId="25" xfId="0" applyNumberFormat="1" applyFont="1" applyFill="1" applyBorder="1" applyAlignment="1">
      <alignment wrapText="1"/>
    </xf>
    <xf numFmtId="0" fontId="0" fillId="2" borderId="30" xfId="0" applyFont="1" applyFill="1" applyBorder="1" applyAlignment="1">
      <alignment wrapText="1"/>
    </xf>
    <xf numFmtId="49" fontId="1" fillId="2" borderId="33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8" xfId="0" applyFont="1" applyFill="1" applyBorder="1" applyAlignment="1">
      <alignment wrapText="1"/>
    </xf>
    <xf numFmtId="0" fontId="1" fillId="2" borderId="35" xfId="0" applyFont="1" applyFill="1" applyBorder="1" applyAlignment="1">
      <alignment horizontal="left" wrapText="1"/>
    </xf>
    <xf numFmtId="0" fontId="2" fillId="2" borderId="28" xfId="0" applyFont="1" applyFill="1" applyBorder="1" applyAlignment="1" quotePrefix="1">
      <alignment horizontal="right"/>
    </xf>
    <xf numFmtId="0" fontId="1" fillId="2" borderId="28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/>
    </xf>
    <xf numFmtId="0" fontId="2" fillId="2" borderId="38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2" borderId="15" xfId="0" applyFont="1" applyFill="1" applyBorder="1" applyAlignment="1" quotePrefix="1">
      <alignment horizontal="right"/>
    </xf>
    <xf numFmtId="3" fontId="2" fillId="2" borderId="6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/>
    </xf>
    <xf numFmtId="3" fontId="2" fillId="2" borderId="1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/>
    </xf>
    <xf numFmtId="0" fontId="0" fillId="2" borderId="30" xfId="0" applyFont="1" applyFill="1" applyBorder="1" applyAlignment="1">
      <alignment wrapText="1"/>
    </xf>
    <xf numFmtId="1" fontId="1" fillId="2" borderId="28" xfId="0" applyNumberFormat="1" applyFont="1" applyFill="1" applyBorder="1" applyAlignment="1">
      <alignment/>
    </xf>
    <xf numFmtId="3" fontId="2" fillId="2" borderId="40" xfId="0" applyNumberFormat="1" applyFont="1" applyFill="1" applyBorder="1" applyAlignment="1">
      <alignment/>
    </xf>
    <xf numFmtId="3" fontId="2" fillId="2" borderId="41" xfId="0" applyNumberFormat="1" applyFont="1" applyFill="1" applyBorder="1" applyAlignment="1">
      <alignment/>
    </xf>
    <xf numFmtId="0" fontId="3" fillId="2" borderId="33" xfId="0" applyFon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0" fontId="1" fillId="2" borderId="33" xfId="0" applyFont="1" applyFill="1" applyBorder="1" applyAlignment="1" quotePrefix="1">
      <alignment horizontal="right"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3" borderId="1" xfId="0" applyFont="1" applyFill="1" applyBorder="1" applyAlignment="1">
      <alignment horizontal="left" wrapText="1"/>
    </xf>
    <xf numFmtId="3" fontId="11" fillId="2" borderId="30" xfId="0" applyNumberFormat="1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42" xfId="0" applyFont="1" applyFill="1" applyBorder="1" applyAlignment="1">
      <alignment wrapText="1"/>
    </xf>
    <xf numFmtId="3" fontId="2" fillId="2" borderId="4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wrapText="1"/>
    </xf>
    <xf numFmtId="3" fontId="0" fillId="2" borderId="25" xfId="0" applyNumberFormat="1" applyFont="1" applyFill="1" applyBorder="1" applyAlignment="1">
      <alignment/>
    </xf>
    <xf numFmtId="0" fontId="1" fillId="2" borderId="15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3" fontId="11" fillId="2" borderId="30" xfId="0" applyNumberFormat="1" applyFont="1" applyFill="1" applyBorder="1" applyAlignment="1">
      <alignment/>
    </xf>
    <xf numFmtId="0" fontId="2" fillId="2" borderId="30" xfId="0" applyFont="1" applyFill="1" applyBorder="1" applyAlignment="1">
      <alignment/>
    </xf>
    <xf numFmtId="3" fontId="12" fillId="2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4" fillId="2" borderId="0" xfId="0" applyNumberFormat="1" applyFont="1" applyFill="1" applyAlignment="1">
      <alignment/>
    </xf>
    <xf numFmtId="0" fontId="1" fillId="2" borderId="43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5" fillId="0" borderId="43" xfId="0" applyNumberFormat="1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wrapText="1"/>
    </xf>
    <xf numFmtId="3" fontId="1" fillId="0" borderId="36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3" fontId="1" fillId="5" borderId="2" xfId="0" applyNumberFormat="1" applyFont="1" applyFill="1" applyBorder="1" applyAlignment="1">
      <alignment horizontal="right"/>
    </xf>
    <xf numFmtId="3" fontId="1" fillId="5" borderId="2" xfId="0" applyNumberFormat="1" applyFont="1" applyFill="1" applyBorder="1" applyAlignment="1">
      <alignment horizontal="left"/>
    </xf>
    <xf numFmtId="3" fontId="1" fillId="5" borderId="2" xfId="0" applyNumberFormat="1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wrapText="1"/>
    </xf>
    <xf numFmtId="3" fontId="12" fillId="0" borderId="48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3" fontId="13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left" wrapText="1"/>
    </xf>
    <xf numFmtId="3" fontId="11" fillId="0" borderId="2" xfId="0" applyNumberFormat="1" applyFont="1" applyBorder="1" applyAlignment="1">
      <alignment horizontal="right"/>
    </xf>
    <xf numFmtId="0" fontId="11" fillId="0" borderId="15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wrapText="1"/>
    </xf>
    <xf numFmtId="3" fontId="13" fillId="0" borderId="2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8" xfId="0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1" fillId="0" borderId="18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 wrapText="1"/>
    </xf>
    <xf numFmtId="3" fontId="12" fillId="0" borderId="2" xfId="0" applyNumberFormat="1" applyFont="1" applyBorder="1" applyAlignment="1">
      <alignment horizontal="right"/>
    </xf>
    <xf numFmtId="0" fontId="12" fillId="0" borderId="49" xfId="0" applyFont="1" applyBorder="1" applyAlignment="1">
      <alignment horizontal="left" wrapText="1"/>
    </xf>
    <xf numFmtId="3" fontId="12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1" fillId="0" borderId="49" xfId="0" applyFont="1" applyBorder="1" applyAlignment="1">
      <alignment wrapText="1"/>
    </xf>
    <xf numFmtId="3" fontId="11" fillId="0" borderId="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wrapText="1"/>
    </xf>
    <xf numFmtId="3" fontId="12" fillId="0" borderId="48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wrapText="1"/>
    </xf>
    <xf numFmtId="0" fontId="11" fillId="2" borderId="1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3" fontId="13" fillId="2" borderId="8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wrapText="1"/>
    </xf>
    <xf numFmtId="3" fontId="13" fillId="2" borderId="2" xfId="0" applyNumberFormat="1" applyFont="1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wrapText="1"/>
    </xf>
    <xf numFmtId="3" fontId="13" fillId="0" borderId="2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7" xfId="0" applyFont="1" applyBorder="1" applyAlignment="1">
      <alignment horizontal="left" wrapText="1"/>
    </xf>
    <xf numFmtId="3" fontId="11" fillId="0" borderId="4" xfId="0" applyNumberFormat="1" applyFont="1" applyBorder="1" applyAlignment="1">
      <alignment/>
    </xf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1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3" fontId="11" fillId="0" borderId="18" xfId="0" applyNumberFormat="1" applyFont="1" applyBorder="1" applyAlignment="1">
      <alignment/>
    </xf>
    <xf numFmtId="0" fontId="12" fillId="0" borderId="1" xfId="0" applyFont="1" applyBorder="1" applyAlignment="1" quotePrefix="1">
      <alignment horizontal="right"/>
    </xf>
    <xf numFmtId="0" fontId="12" fillId="0" borderId="2" xfId="0" applyFont="1" applyBorder="1" applyAlignment="1" quotePrefix="1">
      <alignment horizontal="right"/>
    </xf>
    <xf numFmtId="0" fontId="13" fillId="2" borderId="2" xfId="0" applyFont="1" applyFill="1" applyBorder="1" applyAlignment="1">
      <alignment/>
    </xf>
    <xf numFmtId="0" fontId="13" fillId="2" borderId="1" xfId="0" applyFont="1" applyFill="1" applyBorder="1" applyAlignment="1">
      <alignment vertical="center"/>
    </xf>
    <xf numFmtId="0" fontId="13" fillId="0" borderId="3" xfId="0" applyFont="1" applyBorder="1" applyAlignment="1">
      <alignment/>
    </xf>
    <xf numFmtId="3" fontId="13" fillId="0" borderId="8" xfId="0" applyNumberFormat="1" applyFont="1" applyBorder="1" applyAlignment="1">
      <alignment/>
    </xf>
    <xf numFmtId="3" fontId="11" fillId="0" borderId="4" xfId="0" applyNumberFormat="1" applyFont="1" applyBorder="1" applyAlignment="1">
      <alignment horizontal="right" wrapText="1"/>
    </xf>
    <xf numFmtId="0" fontId="11" fillId="0" borderId="18" xfId="0" applyFont="1" applyBorder="1" applyAlignment="1">
      <alignment horizontal="left" wrapText="1"/>
    </xf>
    <xf numFmtId="3" fontId="11" fillId="0" borderId="18" xfId="0" applyNumberFormat="1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11" fillId="0" borderId="50" xfId="0" applyFont="1" applyBorder="1" applyAlignment="1">
      <alignment/>
    </xf>
    <xf numFmtId="0" fontId="12" fillId="0" borderId="17" xfId="0" applyFont="1" applyBorder="1" applyAlignment="1">
      <alignment wrapText="1"/>
    </xf>
    <xf numFmtId="3" fontId="12" fillId="0" borderId="8" xfId="0" applyNumberFormat="1" applyFont="1" applyBorder="1" applyAlignment="1">
      <alignment horizontal="right" wrapText="1"/>
    </xf>
    <xf numFmtId="0" fontId="11" fillId="0" borderId="49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0" fillId="2" borderId="4" xfId="0" applyNumberFormat="1" applyFont="1" applyFill="1" applyBorder="1" applyAlignment="1">
      <alignment wrapText="1"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/>
    </xf>
    <xf numFmtId="3" fontId="18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3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45" xfId="0" applyFont="1" applyFill="1" applyBorder="1" applyAlignment="1">
      <alignment/>
    </xf>
    <xf numFmtId="0" fontId="4" fillId="2" borderId="45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vertical="center" wrapText="1"/>
    </xf>
    <xf numFmtId="3" fontId="4" fillId="2" borderId="47" xfId="0" applyNumberFormat="1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 vertical="center" wrapText="1"/>
    </xf>
    <xf numFmtId="3" fontId="0" fillId="2" borderId="43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/>
    </xf>
    <xf numFmtId="0" fontId="4" fillId="2" borderId="2" xfId="0" applyFont="1" applyFill="1" applyBorder="1" applyAlignment="1">
      <alignment horizontal="left" wrapText="1"/>
    </xf>
    <xf numFmtId="3" fontId="4" fillId="2" borderId="5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4" fillId="2" borderId="15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18" fillId="2" borderId="1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wrapText="1"/>
    </xf>
    <xf numFmtId="3" fontId="4" fillId="2" borderId="15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/>
    </xf>
    <xf numFmtId="0" fontId="18" fillId="2" borderId="15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20" fillId="2" borderId="10" xfId="0" applyFont="1" applyFill="1" applyBorder="1" applyAlignment="1">
      <alignment horizontal="left" wrapText="1"/>
    </xf>
    <xf numFmtId="3" fontId="20" fillId="2" borderId="10" xfId="0" applyNumberFormat="1" applyFont="1" applyFill="1" applyBorder="1" applyAlignment="1">
      <alignment horizontal="right" wrapText="1"/>
    </xf>
    <xf numFmtId="3" fontId="20" fillId="2" borderId="10" xfId="0" applyNumberFormat="1" applyFont="1" applyFill="1" applyBorder="1" applyAlignment="1">
      <alignment horizontal="right"/>
    </xf>
    <xf numFmtId="0" fontId="19" fillId="2" borderId="0" xfId="0" applyFont="1" applyFill="1" applyAlignment="1">
      <alignment/>
    </xf>
    <xf numFmtId="0" fontId="4" fillId="2" borderId="33" xfId="0" applyFont="1" applyFill="1" applyBorder="1" applyAlignment="1">
      <alignment/>
    </xf>
    <xf numFmtId="0" fontId="4" fillId="2" borderId="33" xfId="0" applyFont="1" applyFill="1" applyBorder="1" applyAlignment="1">
      <alignment wrapText="1"/>
    </xf>
    <xf numFmtId="3" fontId="4" fillId="2" borderId="33" xfId="0" applyNumberFormat="1" applyFont="1" applyFill="1" applyBorder="1" applyAlignment="1">
      <alignment horizontal="right" wrapText="1"/>
    </xf>
    <xf numFmtId="0" fontId="18" fillId="2" borderId="2" xfId="0" applyFont="1" applyFill="1" applyBorder="1" applyAlignment="1">
      <alignment/>
    </xf>
    <xf numFmtId="0" fontId="18" fillId="2" borderId="2" xfId="0" applyFont="1" applyFill="1" applyBorder="1" applyAlignment="1">
      <alignment wrapText="1"/>
    </xf>
    <xf numFmtId="3" fontId="18" fillId="2" borderId="2" xfId="0" applyNumberFormat="1" applyFont="1" applyFill="1" applyBorder="1" applyAlignment="1">
      <alignment horizontal="right" wrapText="1"/>
    </xf>
    <xf numFmtId="0" fontId="19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left" wrapText="1"/>
    </xf>
    <xf numFmtId="3" fontId="21" fillId="2" borderId="1" xfId="0" applyNumberFormat="1" applyFont="1" applyFill="1" applyBorder="1" applyAlignment="1">
      <alignment horizontal="right"/>
    </xf>
    <xf numFmtId="3" fontId="4" fillId="2" borderId="33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/>
    </xf>
    <xf numFmtId="0" fontId="18" fillId="4" borderId="2" xfId="0" applyFont="1" applyFill="1" applyBorder="1" applyAlignment="1">
      <alignment wrapText="1"/>
    </xf>
    <xf numFmtId="3" fontId="18" fillId="4" borderId="2" xfId="0" applyNumberFormat="1" applyFont="1" applyFill="1" applyBorder="1" applyAlignment="1">
      <alignment horizontal="right"/>
    </xf>
    <xf numFmtId="0" fontId="18" fillId="4" borderId="0" xfId="0" applyFont="1" applyFill="1" applyAlignment="1">
      <alignment/>
    </xf>
    <xf numFmtId="3" fontId="18" fillId="2" borderId="2" xfId="0" applyNumberFormat="1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28" xfId="0" applyFont="1" applyFill="1" applyBorder="1" applyAlignment="1">
      <alignment horizontal="left" wrapText="1"/>
    </xf>
    <xf numFmtId="3" fontId="4" fillId="2" borderId="28" xfId="0" applyNumberFormat="1" applyFont="1" applyFill="1" applyBorder="1" applyAlignment="1">
      <alignment/>
    </xf>
    <xf numFmtId="0" fontId="18" fillId="2" borderId="8" xfId="0" applyFont="1" applyFill="1" applyBorder="1" applyAlignment="1">
      <alignment wrapText="1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0" fontId="18" fillId="2" borderId="52" xfId="0" applyFont="1" applyFill="1" applyBorder="1" applyAlignment="1">
      <alignment/>
    </xf>
    <xf numFmtId="0" fontId="18" fillId="2" borderId="52" xfId="0" applyFont="1" applyFill="1" applyBorder="1" applyAlignment="1">
      <alignment wrapText="1"/>
    </xf>
    <xf numFmtId="3" fontId="18" fillId="2" borderId="52" xfId="0" applyNumberFormat="1" applyFont="1" applyFill="1" applyBorder="1" applyAlignment="1">
      <alignment/>
    </xf>
    <xf numFmtId="0" fontId="4" fillId="2" borderId="28" xfId="0" applyFont="1" applyFill="1" applyBorder="1" applyAlignment="1">
      <alignment wrapText="1"/>
    </xf>
    <xf numFmtId="3" fontId="4" fillId="2" borderId="28" xfId="0" applyNumberFormat="1" applyFont="1" applyFill="1" applyBorder="1" applyAlignment="1">
      <alignment horizontal="right"/>
    </xf>
    <xf numFmtId="0" fontId="20" fillId="2" borderId="19" xfId="0" applyFont="1" applyFill="1" applyBorder="1" applyAlignment="1">
      <alignment wrapText="1"/>
    </xf>
    <xf numFmtId="3" fontId="20" fillId="2" borderId="19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18" fillId="2" borderId="2" xfId="0" applyNumberFormat="1" applyFont="1" applyFill="1" applyBorder="1" applyAlignment="1">
      <alignment horizontal="right"/>
    </xf>
    <xf numFmtId="3" fontId="4" fillId="2" borderId="28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3" fontId="18" fillId="2" borderId="1" xfId="0" applyNumberFormat="1" applyFont="1" applyFill="1" applyBorder="1" applyAlignment="1">
      <alignment horizontal="right" wrapText="1"/>
    </xf>
    <xf numFmtId="0" fontId="19" fillId="2" borderId="8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0" fontId="19" fillId="2" borderId="52" xfId="0" applyFont="1" applyFill="1" applyBorder="1" applyAlignment="1">
      <alignment/>
    </xf>
    <xf numFmtId="3" fontId="18" fillId="4" borderId="52" xfId="0" applyNumberFormat="1" applyFont="1" applyFill="1" applyBorder="1" applyAlignment="1">
      <alignment horizontal="right"/>
    </xf>
    <xf numFmtId="3" fontId="18" fillId="2" borderId="52" xfId="0" applyNumberFormat="1" applyFont="1" applyFill="1" applyBorder="1" applyAlignment="1">
      <alignment horizontal="right"/>
    </xf>
    <xf numFmtId="0" fontId="17" fillId="2" borderId="0" xfId="0" applyFont="1" applyFill="1" applyAlignment="1">
      <alignment wrapText="1"/>
    </xf>
    <xf numFmtId="0" fontId="4" fillId="2" borderId="28" xfId="0" applyFont="1" applyFill="1" applyBorder="1" applyAlignment="1">
      <alignment/>
    </xf>
    <xf numFmtId="0" fontId="4" fillId="2" borderId="28" xfId="0" applyFont="1" applyFill="1" applyBorder="1" applyAlignment="1">
      <alignment wrapText="1"/>
    </xf>
    <xf numFmtId="3" fontId="4" fillId="4" borderId="28" xfId="0" applyNumberFormat="1" applyFont="1" applyFill="1" applyBorder="1" applyAlignment="1">
      <alignment horizontal="right"/>
    </xf>
    <xf numFmtId="3" fontId="4" fillId="2" borderId="28" xfId="0" applyNumberFormat="1" applyFont="1" applyFill="1" applyBorder="1" applyAlignment="1">
      <alignment horizontal="right"/>
    </xf>
    <xf numFmtId="0" fontId="22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18" fillId="2" borderId="2" xfId="0" applyFont="1" applyFill="1" applyBorder="1" applyAlignment="1">
      <alignment/>
    </xf>
    <xf numFmtId="0" fontId="18" fillId="2" borderId="2" xfId="0" applyFont="1" applyFill="1" applyBorder="1" applyAlignment="1">
      <alignment wrapText="1"/>
    </xf>
    <xf numFmtId="3" fontId="18" fillId="4" borderId="2" xfId="0" applyNumberFormat="1" applyFont="1" applyFill="1" applyBorder="1" applyAlignment="1">
      <alignment horizontal="right"/>
    </xf>
    <xf numFmtId="3" fontId="18" fillId="2" borderId="2" xfId="0" applyNumberFormat="1" applyFont="1" applyFill="1" applyBorder="1" applyAlignment="1">
      <alignment horizontal="right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3" fontId="4" fillId="4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0" fontId="18" fillId="2" borderId="52" xfId="0" applyFont="1" applyFill="1" applyBorder="1" applyAlignment="1">
      <alignment/>
    </xf>
    <xf numFmtId="0" fontId="18" fillId="2" borderId="52" xfId="0" applyFont="1" applyFill="1" applyBorder="1" applyAlignment="1">
      <alignment wrapText="1"/>
    </xf>
    <xf numFmtId="3" fontId="18" fillId="4" borderId="52" xfId="0" applyNumberFormat="1" applyFont="1" applyFill="1" applyBorder="1" applyAlignment="1">
      <alignment horizontal="right"/>
    </xf>
    <xf numFmtId="3" fontId="18" fillId="2" borderId="52" xfId="0" applyNumberFormat="1" applyFont="1" applyFill="1" applyBorder="1" applyAlignment="1">
      <alignment horizontal="right"/>
    </xf>
    <xf numFmtId="0" fontId="19" fillId="2" borderId="28" xfId="0" applyFont="1" applyFill="1" applyBorder="1" applyAlignment="1">
      <alignment/>
    </xf>
    <xf numFmtId="0" fontId="23" fillId="2" borderId="0" xfId="0" applyFont="1" applyFill="1" applyAlignment="1">
      <alignment wrapText="1"/>
    </xf>
    <xf numFmtId="0" fontId="23" fillId="2" borderId="0" xfId="0" applyFont="1" applyFill="1" applyAlignment="1">
      <alignment wrapText="1"/>
    </xf>
    <xf numFmtId="0" fontId="19" fillId="2" borderId="53" xfId="0" applyFont="1" applyFill="1" applyBorder="1" applyAlignment="1">
      <alignment/>
    </xf>
    <xf numFmtId="0" fontId="18" fillId="2" borderId="8" xfId="0" applyFont="1" applyFill="1" applyBorder="1" applyAlignment="1">
      <alignment/>
    </xf>
    <xf numFmtId="49" fontId="23" fillId="2" borderId="0" xfId="0" applyNumberFormat="1" applyFont="1" applyFill="1" applyAlignment="1">
      <alignment wrapText="1"/>
    </xf>
    <xf numFmtId="3" fontId="24" fillId="4" borderId="2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/>
    </xf>
    <xf numFmtId="0" fontId="18" fillId="2" borderId="53" xfId="0" applyFont="1" applyFill="1" applyBorder="1" applyAlignment="1">
      <alignment/>
    </xf>
    <xf numFmtId="3" fontId="4" fillId="2" borderId="36" xfId="0" applyNumberFormat="1" applyFont="1" applyFill="1" applyBorder="1" applyAlignment="1">
      <alignment horizontal="right"/>
    </xf>
    <xf numFmtId="3" fontId="20" fillId="2" borderId="1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18" fillId="2" borderId="52" xfId="0" applyNumberFormat="1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left" wrapText="1"/>
    </xf>
    <xf numFmtId="3" fontId="4" fillId="2" borderId="3" xfId="0" applyNumberFormat="1" applyFont="1" applyFill="1" applyBorder="1" applyAlignment="1">
      <alignment horizontal="right" wrapText="1"/>
    </xf>
    <xf numFmtId="0" fontId="18" fillId="2" borderId="54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3" fontId="21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 wrapText="1"/>
    </xf>
    <xf numFmtId="3" fontId="4" fillId="2" borderId="3" xfId="0" applyNumberFormat="1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20" fillId="2" borderId="10" xfId="0" applyFont="1" applyFill="1" applyBorder="1" applyAlignment="1">
      <alignment wrapText="1"/>
    </xf>
    <xf numFmtId="0" fontId="18" fillId="2" borderId="53" xfId="0" applyFont="1" applyFill="1" applyBorder="1" applyAlignment="1">
      <alignment/>
    </xf>
    <xf numFmtId="3" fontId="18" fillId="2" borderId="8" xfId="0" applyNumberFormat="1" applyFont="1" applyFill="1" applyBorder="1" applyAlignment="1">
      <alignment horizontal="right" wrapText="1"/>
    </xf>
    <xf numFmtId="0" fontId="20" fillId="2" borderId="2" xfId="0" applyFont="1" applyFill="1" applyBorder="1" applyAlignment="1">
      <alignment/>
    </xf>
    <xf numFmtId="3" fontId="4" fillId="2" borderId="33" xfId="0" applyNumberFormat="1" applyFont="1" applyFill="1" applyBorder="1" applyAlignment="1">
      <alignment/>
    </xf>
    <xf numFmtId="10" fontId="25" fillId="2" borderId="15" xfId="0" applyNumberFormat="1" applyFont="1" applyFill="1" applyBorder="1" applyAlignment="1">
      <alignment vertical="top" wrapText="1"/>
    </xf>
    <xf numFmtId="0" fontId="25" fillId="2" borderId="0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0" fontId="26" fillId="2" borderId="0" xfId="0" applyFont="1" applyFill="1" applyAlignment="1">
      <alignment/>
    </xf>
    <xf numFmtId="3" fontId="18" fillId="2" borderId="8" xfId="0" applyNumberFormat="1" applyFont="1" applyFill="1" applyBorder="1" applyAlignment="1">
      <alignment/>
    </xf>
    <xf numFmtId="10" fontId="27" fillId="2" borderId="15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3" fontId="18" fillId="4" borderId="15" xfId="0" applyNumberFormat="1" applyFont="1" applyFill="1" applyBorder="1" applyAlignment="1">
      <alignment/>
    </xf>
    <xf numFmtId="3" fontId="18" fillId="4" borderId="0" xfId="0" applyNumberFormat="1" applyFont="1" applyFill="1" applyBorder="1" applyAlignment="1">
      <alignment/>
    </xf>
    <xf numFmtId="3" fontId="18" fillId="2" borderId="2" xfId="0" applyNumberFormat="1" applyFont="1" applyFill="1" applyBorder="1" applyAlignment="1">
      <alignment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/>
    </xf>
    <xf numFmtId="3" fontId="28" fillId="2" borderId="2" xfId="0" applyNumberFormat="1" applyFont="1" applyFill="1" applyBorder="1" applyAlignment="1">
      <alignment/>
    </xf>
    <xf numFmtId="0" fontId="18" fillId="2" borderId="28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 quotePrefix="1">
      <alignment horizontal="right" wrapText="1"/>
    </xf>
    <xf numFmtId="0" fontId="18" fillId="2" borderId="52" xfId="0" applyFont="1" applyFill="1" applyBorder="1" applyAlignment="1" quotePrefix="1">
      <alignment horizontal="right"/>
    </xf>
    <xf numFmtId="0" fontId="20" fillId="2" borderId="19" xfId="0" applyFont="1" applyFill="1" applyBorder="1" applyAlignment="1">
      <alignment horizontal="left" wrapText="1"/>
    </xf>
    <xf numFmtId="3" fontId="20" fillId="2" borderId="19" xfId="0" applyNumberFormat="1" applyFont="1" applyFill="1" applyBorder="1" applyAlignment="1">
      <alignment/>
    </xf>
    <xf numFmtId="0" fontId="4" fillId="2" borderId="33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wrapText="1"/>
    </xf>
    <xf numFmtId="0" fontId="18" fillId="2" borderId="54" xfId="0" applyFont="1" applyFill="1" applyBorder="1" applyAlignment="1">
      <alignment wrapText="1"/>
    </xf>
    <xf numFmtId="0" fontId="18" fillId="2" borderId="8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9" fillId="2" borderId="15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0" fontId="4" fillId="2" borderId="55" xfId="0" applyFont="1" applyFill="1" applyBorder="1" applyAlignment="1">
      <alignment horizontal="left" wrapText="1"/>
    </xf>
    <xf numFmtId="3" fontId="4" fillId="2" borderId="55" xfId="0" applyNumberFormat="1" applyFont="1" applyFill="1" applyBorder="1" applyAlignment="1">
      <alignment horizontal="right" wrapText="1"/>
    </xf>
    <xf numFmtId="3" fontId="18" fillId="4" borderId="2" xfId="0" applyNumberFormat="1" applyFont="1" applyFill="1" applyBorder="1" applyAlignment="1">
      <alignment horizontal="right" wrapText="1"/>
    </xf>
    <xf numFmtId="0" fontId="4" fillId="4" borderId="53" xfId="0" applyFont="1" applyFill="1" applyBorder="1" applyAlignment="1">
      <alignment/>
    </xf>
    <xf numFmtId="0" fontId="18" fillId="4" borderId="52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Border="1" applyAlignment="1">
      <alignment wrapText="1"/>
    </xf>
    <xf numFmtId="3" fontId="18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8" fillId="2" borderId="52" xfId="0" applyFont="1" applyFill="1" applyBorder="1" applyAlignment="1">
      <alignment horizontal="left" wrapText="1"/>
    </xf>
    <xf numFmtId="0" fontId="18" fillId="2" borderId="5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3" fontId="4" fillId="2" borderId="28" xfId="0" applyNumberFormat="1" applyFont="1" applyFill="1" applyBorder="1" applyAlignment="1">
      <alignment wrapText="1"/>
    </xf>
    <xf numFmtId="0" fontId="18" fillId="2" borderId="1" xfId="0" applyFont="1" applyFill="1" applyBorder="1" applyAlignment="1">
      <alignment/>
    </xf>
    <xf numFmtId="0" fontId="18" fillId="2" borderId="2" xfId="0" applyFont="1" applyFill="1" applyBorder="1" applyAlignment="1">
      <alignment/>
    </xf>
    <xf numFmtId="3" fontId="18" fillId="2" borderId="2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horizontal="left"/>
    </xf>
    <xf numFmtId="3" fontId="20" fillId="2" borderId="1" xfId="0" applyNumberFormat="1" applyFont="1" applyFill="1" applyBorder="1" applyAlignment="1">
      <alignment horizontal="right"/>
    </xf>
    <xf numFmtId="0" fontId="20" fillId="2" borderId="0" xfId="0" applyFont="1" applyFill="1" applyAlignment="1">
      <alignment horizontal="left"/>
    </xf>
    <xf numFmtId="0" fontId="18" fillId="4" borderId="54" xfId="0" applyFont="1" applyFill="1" applyBorder="1" applyAlignment="1">
      <alignment wrapText="1"/>
    </xf>
    <xf numFmtId="0" fontId="4" fillId="2" borderId="15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8" fillId="4" borderId="9" xfId="0" applyFont="1" applyFill="1" applyBorder="1" applyAlignment="1">
      <alignment wrapTex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4" fillId="0" borderId="4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wrapText="1"/>
    </xf>
    <xf numFmtId="3" fontId="18" fillId="0" borderId="8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0" fontId="4" fillId="5" borderId="2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0" fontId="18" fillId="0" borderId="2" xfId="0" applyFont="1" applyBorder="1" applyAlignment="1">
      <alignment wrapText="1"/>
    </xf>
    <xf numFmtId="0" fontId="18" fillId="2" borderId="3" xfId="0" applyFont="1" applyFill="1" applyBorder="1" applyAlignment="1">
      <alignment/>
    </xf>
    <xf numFmtId="3" fontId="18" fillId="2" borderId="8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8" fillId="0" borderId="8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0" fontId="4" fillId="5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right"/>
    </xf>
    <xf numFmtId="0" fontId="4" fillId="5" borderId="2" xfId="0" applyFont="1" applyFill="1" applyBorder="1" applyAlignment="1">
      <alignment/>
    </xf>
    <xf numFmtId="0" fontId="18" fillId="2" borderId="1" xfId="0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/>
    </xf>
    <xf numFmtId="0" fontId="18" fillId="2" borderId="2" xfId="0" applyFont="1" applyFill="1" applyBorder="1" applyAlignment="1">
      <alignment horizontal="center" vertical="center"/>
    </xf>
    <xf numFmtId="3" fontId="20" fillId="2" borderId="56" xfId="0" applyNumberFormat="1" applyFont="1" applyFill="1" applyBorder="1" applyAlignment="1">
      <alignment/>
    </xf>
    <xf numFmtId="3" fontId="20" fillId="2" borderId="19" xfId="0" applyNumberFormat="1" applyFont="1" applyFill="1" applyBorder="1" applyAlignment="1">
      <alignment/>
    </xf>
    <xf numFmtId="3" fontId="18" fillId="2" borderId="49" xfId="0" applyNumberFormat="1" applyFont="1" applyFill="1" applyBorder="1" applyAlignment="1">
      <alignment/>
    </xf>
    <xf numFmtId="3" fontId="18" fillId="2" borderId="2" xfId="0" applyNumberFormat="1" applyFont="1" applyFill="1" applyBorder="1" applyAlignment="1">
      <alignment/>
    </xf>
    <xf numFmtId="0" fontId="18" fillId="0" borderId="8" xfId="0" applyFont="1" applyBorder="1" applyAlignment="1">
      <alignment wrapText="1"/>
    </xf>
    <xf numFmtId="3" fontId="18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1" fillId="0" borderId="57" xfId="0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7" xfId="0" applyNumberFormat="1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 wrapText="1"/>
    </xf>
    <xf numFmtId="3" fontId="15" fillId="0" borderId="43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51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/>
    </xf>
    <xf numFmtId="0" fontId="18" fillId="3" borderId="2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4" fillId="0" borderId="19" xfId="0" applyFont="1" applyBorder="1" applyAlignment="1">
      <alignment horizontal="left" wrapText="1"/>
    </xf>
    <xf numFmtId="3" fontId="4" fillId="3" borderId="19" xfId="0" applyNumberFormat="1" applyFont="1" applyFill="1" applyBorder="1" applyAlignment="1">
      <alignment/>
    </xf>
    <xf numFmtId="3" fontId="4" fillId="3" borderId="19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3" fontId="4" fillId="3" borderId="2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right"/>
    </xf>
    <xf numFmtId="0" fontId="18" fillId="3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/>
    </xf>
    <xf numFmtId="3" fontId="4" fillId="0" borderId="48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4" fillId="5" borderId="2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0" fontId="4" fillId="5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8" fillId="0" borderId="3" xfId="0" applyFont="1" applyBorder="1" applyAlignment="1">
      <alignment wrapText="1"/>
    </xf>
    <xf numFmtId="3" fontId="18" fillId="0" borderId="3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  <xf numFmtId="0" fontId="4" fillId="5" borderId="48" xfId="0" applyFont="1" applyFill="1" applyBorder="1" applyAlignment="1">
      <alignment horizontal="left"/>
    </xf>
    <xf numFmtId="3" fontId="4" fillId="5" borderId="48" xfId="0" applyNumberFormat="1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wrapText="1"/>
    </xf>
    <xf numFmtId="3" fontId="3" fillId="2" borderId="24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2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wrapText="1"/>
    </xf>
    <xf numFmtId="3" fontId="0" fillId="3" borderId="4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2" fillId="2" borderId="15" xfId="0" applyFont="1" applyFill="1" applyBorder="1" applyAlignment="1">
      <alignment wrapText="1"/>
    </xf>
    <xf numFmtId="3" fontId="2" fillId="2" borderId="15" xfId="0" applyNumberFormat="1" applyFont="1" applyFill="1" applyBorder="1" applyAlignment="1">
      <alignment wrapText="1"/>
    </xf>
    <xf numFmtId="3" fontId="2" fillId="2" borderId="30" xfId="0" applyNumberFormat="1" applyFont="1" applyFill="1" applyBorder="1" applyAlignment="1">
      <alignment wrapText="1"/>
    </xf>
    <xf numFmtId="1" fontId="1" fillId="2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3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3" borderId="28" xfId="0" applyFont="1" applyFill="1" applyBorder="1" applyAlignment="1">
      <alignment horizontal="right"/>
    </xf>
    <xf numFmtId="0" fontId="1" fillId="3" borderId="33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1" fillId="3" borderId="52" xfId="0" applyFont="1" applyFill="1" applyBorder="1" applyAlignment="1">
      <alignment horizontal="right"/>
    </xf>
    <xf numFmtId="0" fontId="1" fillId="3" borderId="2" xfId="0" applyFont="1" applyFill="1" applyBorder="1" applyAlignment="1">
      <alignment wrapText="1"/>
    </xf>
    <xf numFmtId="3" fontId="1" fillId="3" borderId="2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wrapText="1"/>
    </xf>
    <xf numFmtId="0" fontId="2" fillId="3" borderId="2" xfId="0" applyFont="1" applyFill="1" applyBorder="1" applyAlignment="1" quotePrefix="1">
      <alignment horizontal="right"/>
    </xf>
    <xf numFmtId="0" fontId="2" fillId="3" borderId="2" xfId="0" applyFont="1" applyFill="1" applyBorder="1" applyAlignment="1">
      <alignment wrapText="1"/>
    </xf>
    <xf numFmtId="3" fontId="2" fillId="2" borderId="9" xfId="0" applyNumberFormat="1" applyFont="1" applyFill="1" applyBorder="1" applyAlignment="1">
      <alignment wrapText="1"/>
    </xf>
    <xf numFmtId="3" fontId="2" fillId="2" borderId="17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17" xfId="0" applyFont="1" applyFill="1" applyBorder="1" applyAlignment="1">
      <alignment wrapText="1"/>
    </xf>
    <xf numFmtId="3" fontId="1" fillId="0" borderId="28" xfId="0" applyNumberFormat="1" applyFont="1" applyFill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2" fillId="0" borderId="17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3" fontId="2" fillId="0" borderId="6" xfId="0" applyNumberFormat="1" applyFont="1" applyBorder="1" applyAlignment="1">
      <alignment wrapText="1"/>
    </xf>
    <xf numFmtId="3" fontId="2" fillId="3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3" fontId="2" fillId="0" borderId="1" xfId="0" applyNumberFormat="1" applyFont="1" applyBorder="1" applyAlignment="1">
      <alignment wrapText="1"/>
    </xf>
    <xf numFmtId="3" fontId="2" fillId="3" borderId="1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wrapText="1"/>
    </xf>
    <xf numFmtId="0" fontId="2" fillId="3" borderId="30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1" fillId="3" borderId="8" xfId="0" applyFont="1" applyFill="1" applyBorder="1" applyAlignment="1">
      <alignment horizontal="right"/>
    </xf>
    <xf numFmtId="0" fontId="1" fillId="3" borderId="28" xfId="0" applyFont="1" applyFill="1" applyBorder="1" applyAlignment="1">
      <alignment wrapText="1"/>
    </xf>
    <xf numFmtId="3" fontId="1" fillId="3" borderId="28" xfId="0" applyNumberFormat="1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3" fontId="2" fillId="2" borderId="17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8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5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7" fillId="2" borderId="2" xfId="0" applyFont="1" applyFill="1" applyBorder="1" applyAlignment="1">
      <alignment/>
    </xf>
    <xf numFmtId="0" fontId="30" fillId="2" borderId="0" xfId="0" applyFont="1" applyFill="1" applyAlignment="1">
      <alignment horizontal="left"/>
    </xf>
    <xf numFmtId="0" fontId="31" fillId="2" borderId="0" xfId="0" applyFont="1" applyFill="1" applyAlignment="1">
      <alignment/>
    </xf>
    <xf numFmtId="0" fontId="18" fillId="2" borderId="3" xfId="0" applyFont="1" applyFill="1" applyBorder="1" applyAlignment="1">
      <alignment wrapText="1"/>
    </xf>
    <xf numFmtId="3" fontId="18" fillId="2" borderId="1" xfId="0" applyNumberFormat="1" applyFont="1" applyFill="1" applyBorder="1" applyAlignment="1">
      <alignment/>
    </xf>
    <xf numFmtId="3" fontId="18" fillId="2" borderId="1" xfId="0" applyNumberFormat="1" applyFont="1" applyFill="1" applyBorder="1" applyAlignment="1">
      <alignment horizontal="right"/>
    </xf>
    <xf numFmtId="0" fontId="18" fillId="2" borderId="53" xfId="0" applyFont="1" applyFill="1" applyBorder="1" applyAlignment="1">
      <alignment wrapText="1"/>
    </xf>
    <xf numFmtId="3" fontId="18" fillId="4" borderId="53" xfId="0" applyNumberFormat="1" applyFont="1" applyFill="1" applyBorder="1" applyAlignment="1">
      <alignment horizontal="right"/>
    </xf>
    <xf numFmtId="0" fontId="4" fillId="2" borderId="1" xfId="0" applyFont="1" applyFill="1" applyBorder="1" applyAlignment="1" quotePrefix="1">
      <alignment horizontal="right"/>
    </xf>
    <xf numFmtId="0" fontId="18" fillId="2" borderId="1" xfId="0" applyFont="1" applyFill="1" applyBorder="1" applyAlignment="1">
      <alignment wrapText="1"/>
    </xf>
    <xf numFmtId="3" fontId="18" fillId="2" borderId="8" xfId="0" applyNumberFormat="1" applyFont="1" applyFill="1" applyBorder="1" applyAlignment="1">
      <alignment/>
    </xf>
    <xf numFmtId="3" fontId="20" fillId="2" borderId="19" xfId="0" applyNumberFormat="1" applyFont="1" applyFill="1" applyBorder="1" applyAlignment="1">
      <alignment horizontal="right" wrapText="1"/>
    </xf>
    <xf numFmtId="3" fontId="18" fillId="2" borderId="0" xfId="0" applyNumberFormat="1" applyFont="1" applyFill="1" applyAlignment="1">
      <alignment horizontal="center"/>
    </xf>
    <xf numFmtId="0" fontId="18" fillId="2" borderId="53" xfId="0" applyFont="1" applyFill="1" applyBorder="1" applyAlignment="1">
      <alignment wrapText="1"/>
    </xf>
    <xf numFmtId="3" fontId="18" fillId="4" borderId="53" xfId="0" applyNumberFormat="1" applyFont="1" applyFill="1" applyBorder="1" applyAlignment="1">
      <alignment horizontal="right"/>
    </xf>
    <xf numFmtId="3" fontId="18" fillId="2" borderId="53" xfId="0" applyNumberFormat="1" applyFont="1" applyFill="1" applyBorder="1" applyAlignment="1">
      <alignment horizontal="right"/>
    </xf>
    <xf numFmtId="0" fontId="18" fillId="2" borderId="8" xfId="0" applyFont="1" applyFill="1" applyBorder="1" applyAlignment="1">
      <alignment/>
    </xf>
    <xf numFmtId="0" fontId="18" fillId="2" borderId="8" xfId="0" applyFont="1" applyFill="1" applyBorder="1" applyAlignment="1">
      <alignment wrapText="1"/>
    </xf>
    <xf numFmtId="3" fontId="18" fillId="4" borderId="8" xfId="0" applyNumberFormat="1" applyFont="1" applyFill="1" applyBorder="1" applyAlignment="1">
      <alignment horizontal="right"/>
    </xf>
    <xf numFmtId="3" fontId="18" fillId="2" borderId="8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2" xfId="0" applyFont="1" applyFill="1" applyBorder="1" applyAlignment="1">
      <alignment wrapText="1"/>
    </xf>
    <xf numFmtId="3" fontId="0" fillId="2" borderId="8" xfId="0" applyNumberFormat="1" applyFont="1" applyFill="1" applyBorder="1" applyAlignment="1">
      <alignment horizontal="right"/>
    </xf>
    <xf numFmtId="0" fontId="2" fillId="2" borderId="12" xfId="0" applyFont="1" applyFill="1" applyBorder="1" applyAlignment="1" quotePrefix="1">
      <alignment horizontal="right"/>
    </xf>
    <xf numFmtId="0" fontId="2" fillId="2" borderId="12" xfId="0" applyFont="1" applyFill="1" applyBorder="1" applyAlignment="1">
      <alignment wrapText="1"/>
    </xf>
    <xf numFmtId="0" fontId="8" fillId="2" borderId="19" xfId="0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0" fontId="1" fillId="2" borderId="52" xfId="0" applyFont="1" applyFill="1" applyBorder="1" applyAlignment="1">
      <alignment/>
    </xf>
    <xf numFmtId="0" fontId="1" fillId="2" borderId="52" xfId="0" applyFont="1" applyFill="1" applyBorder="1" applyAlignment="1" quotePrefix="1">
      <alignment horizontal="right"/>
    </xf>
    <xf numFmtId="3" fontId="1" fillId="2" borderId="5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3" fillId="2" borderId="52" xfId="0" applyFont="1" applyFill="1" applyBorder="1" applyAlignment="1">
      <alignment/>
    </xf>
    <xf numFmtId="0" fontId="1" fillId="2" borderId="54" xfId="0" applyFont="1" applyFill="1" applyBorder="1" applyAlignment="1">
      <alignment/>
    </xf>
    <xf numFmtId="3" fontId="1" fillId="2" borderId="5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2" fillId="2" borderId="1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3" fontId="0" fillId="2" borderId="8" xfId="0" applyNumberFormat="1" applyFont="1" applyFill="1" applyBorder="1" applyAlignment="1">
      <alignment/>
    </xf>
    <xf numFmtId="0" fontId="7" fillId="2" borderId="52" xfId="0" applyFont="1" applyFill="1" applyBorder="1" applyAlignment="1">
      <alignment/>
    </xf>
    <xf numFmtId="3" fontId="0" fillId="2" borderId="52" xfId="0" applyNumberFormat="1" applyFont="1" applyFill="1" applyBorder="1" applyAlignment="1">
      <alignment/>
    </xf>
    <xf numFmtId="3" fontId="18" fillId="4" borderId="8" xfId="0" applyNumberFormat="1" applyFont="1" applyFill="1" applyBorder="1" applyAlignment="1">
      <alignment horizontal="right"/>
    </xf>
    <xf numFmtId="3" fontId="18" fillId="2" borderId="52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3" fontId="28" fillId="2" borderId="8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1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3" borderId="2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0" fillId="2" borderId="12" xfId="0" applyFont="1" applyFill="1" applyBorder="1" applyAlignment="1">
      <alignment horizontal="left" wrapText="1"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3" borderId="2" xfId="0" applyFont="1" applyFill="1" applyBorder="1" applyAlignment="1">
      <alignment/>
    </xf>
    <xf numFmtId="0" fontId="4" fillId="4" borderId="52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3" fontId="2" fillId="2" borderId="24" xfId="0" applyNumberFormat="1" applyFont="1" applyFill="1" applyBorder="1" applyAlignment="1">
      <alignment horizontal="left" wrapText="1"/>
    </xf>
    <xf numFmtId="0" fontId="0" fillId="2" borderId="2" xfId="0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0" fontId="0" fillId="2" borderId="31" xfId="0" applyFont="1" applyFill="1" applyBorder="1" applyAlignment="1">
      <alignment wrapText="1"/>
    </xf>
    <xf numFmtId="3" fontId="0" fillId="2" borderId="31" xfId="0" applyNumberFormat="1" applyFont="1" applyFill="1" applyBorder="1" applyAlignment="1">
      <alignment/>
    </xf>
    <xf numFmtId="0" fontId="0" fillId="2" borderId="29" xfId="0" applyFont="1" applyFill="1" applyBorder="1" applyAlignment="1">
      <alignment wrapText="1"/>
    </xf>
    <xf numFmtId="0" fontId="0" fillId="2" borderId="59" xfId="0" applyFont="1" applyFill="1" applyBorder="1" applyAlignment="1">
      <alignment wrapText="1"/>
    </xf>
    <xf numFmtId="3" fontId="0" fillId="2" borderId="18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3" xfId="0" applyFont="1" applyFill="1" applyBorder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27" xfId="0" applyFont="1" applyFill="1" applyBorder="1" applyAlignment="1">
      <alignment wrapText="1"/>
    </xf>
    <xf numFmtId="3" fontId="0" fillId="2" borderId="27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1" xfId="0" applyFont="1" applyFill="1" applyBorder="1" applyAlignment="1">
      <alignment horizontal="left" wrapText="1"/>
    </xf>
    <xf numFmtId="0" fontId="0" fillId="2" borderId="15" xfId="0" applyFont="1" applyFill="1" applyBorder="1" applyAlignment="1">
      <alignment/>
    </xf>
    <xf numFmtId="3" fontId="18" fillId="2" borderId="1" xfId="0" applyNumberFormat="1" applyFont="1" applyFill="1" applyBorder="1" applyAlignment="1">
      <alignment/>
    </xf>
    <xf numFmtId="3" fontId="19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/>
    </xf>
    <xf numFmtId="0" fontId="0" fillId="2" borderId="17" xfId="0" applyFont="1" applyFill="1" applyBorder="1" applyAlignment="1">
      <alignment wrapText="1"/>
    </xf>
    <xf numFmtId="3" fontId="0" fillId="2" borderId="17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right" vertical="top" wrapText="1"/>
    </xf>
    <xf numFmtId="0" fontId="0" fillId="2" borderId="18" xfId="0" applyFont="1" applyFill="1" applyBorder="1" applyAlignment="1">
      <alignment horizontal="left" wrapText="1"/>
    </xf>
    <xf numFmtId="3" fontId="0" fillId="2" borderId="18" xfId="0" applyNumberFormat="1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0" fillId="2" borderId="23" xfId="0" applyNumberFormat="1" applyFont="1" applyFill="1" applyBorder="1" applyAlignment="1">
      <alignment/>
    </xf>
    <xf numFmtId="3" fontId="2" fillId="2" borderId="24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0" fontId="2" fillId="2" borderId="60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3" fontId="0" fillId="2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2" fillId="2" borderId="61" xfId="0" applyNumberFormat="1" applyFont="1" applyFill="1" applyBorder="1" applyAlignment="1">
      <alignment/>
    </xf>
    <xf numFmtId="3" fontId="2" fillId="2" borderId="6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2" fillId="2" borderId="24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3" fontId="2" fillId="2" borderId="24" xfId="0" applyNumberFormat="1" applyFont="1" applyFill="1" applyBorder="1" applyAlignment="1">
      <alignment wrapText="1"/>
    </xf>
    <xf numFmtId="0" fontId="2" fillId="2" borderId="24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3" fontId="2" fillId="2" borderId="24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3" borderId="24" xfId="0" applyFont="1" applyFill="1" applyBorder="1" applyAlignment="1">
      <alignment horizontal="left" wrapText="1"/>
    </xf>
    <xf numFmtId="3" fontId="2" fillId="0" borderId="24" xfId="0" applyNumberFormat="1" applyFont="1" applyBorder="1" applyAlignment="1">
      <alignment wrapText="1"/>
    </xf>
    <xf numFmtId="3" fontId="2" fillId="3" borderId="24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23" xfId="0" applyNumberFormat="1" applyFont="1" applyBorder="1" applyAlignment="1">
      <alignment wrapText="1"/>
    </xf>
    <xf numFmtId="3" fontId="2" fillId="3" borderId="23" xfId="0" applyNumberFormat="1" applyFont="1" applyFill="1" applyBorder="1" applyAlignment="1">
      <alignment horizontal="right"/>
    </xf>
    <xf numFmtId="0" fontId="32" fillId="2" borderId="0" xfId="0" applyFont="1" applyFill="1" applyAlignment="1">
      <alignment/>
    </xf>
    <xf numFmtId="3" fontId="32" fillId="2" borderId="0" xfId="0" applyNumberFormat="1" applyFont="1" applyFill="1" applyAlignment="1">
      <alignment/>
    </xf>
    <xf numFmtId="0" fontId="0" fillId="0" borderId="52" xfId="0" applyFont="1" applyBorder="1" applyAlignment="1">
      <alignment/>
    </xf>
    <xf numFmtId="0" fontId="1" fillId="0" borderId="52" xfId="0" applyFont="1" applyBorder="1" applyAlignment="1">
      <alignment/>
    </xf>
    <xf numFmtId="0" fontId="1" fillId="2" borderId="52" xfId="0" applyFont="1" applyFill="1" applyBorder="1" applyAlignment="1">
      <alignment wrapText="1"/>
    </xf>
    <xf numFmtId="3" fontId="1" fillId="2" borderId="52" xfId="0" applyNumberFormat="1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6" fillId="2" borderId="3" xfId="0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 wrapText="1"/>
    </xf>
    <xf numFmtId="0" fontId="0" fillId="2" borderId="53" xfId="0" applyFont="1" applyFill="1" applyBorder="1" applyAlignment="1">
      <alignment/>
    </xf>
    <xf numFmtId="3" fontId="18" fillId="2" borderId="63" xfId="0" applyNumberFormat="1" applyFont="1" applyFill="1" applyBorder="1" applyAlignment="1">
      <alignment/>
    </xf>
    <xf numFmtId="0" fontId="18" fillId="2" borderId="8" xfId="0" applyFont="1" applyFill="1" applyBorder="1" applyAlignment="1">
      <alignment/>
    </xf>
    <xf numFmtId="3" fontId="29" fillId="2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0" fontId="4" fillId="2" borderId="45" xfId="0" applyFont="1" applyFill="1" applyBorder="1" applyAlignment="1">
      <alignment/>
    </xf>
    <xf numFmtId="0" fontId="4" fillId="2" borderId="45" xfId="0" applyFont="1" applyFill="1" applyBorder="1" applyAlignment="1">
      <alignment horizontal="center"/>
    </xf>
    <xf numFmtId="3" fontId="13" fillId="2" borderId="46" xfId="0" applyNumberFormat="1" applyFont="1" applyFill="1" applyBorder="1" applyAlignment="1">
      <alignment horizontal="center" vertical="center"/>
    </xf>
    <xf numFmtId="3" fontId="4" fillId="2" borderId="64" xfId="0" applyNumberFormat="1" applyFont="1" applyFill="1" applyBorder="1" applyAlignment="1">
      <alignment horizontal="center" vertical="center"/>
    </xf>
    <xf numFmtId="3" fontId="4" fillId="2" borderId="65" xfId="0" applyNumberFormat="1" applyFont="1" applyFill="1" applyBorder="1" applyAlignment="1">
      <alignment horizontal="centerContinuous" vertical="center"/>
    </xf>
    <xf numFmtId="3" fontId="4" fillId="2" borderId="66" xfId="0" applyNumberFormat="1" applyFont="1" applyFill="1" applyBorder="1" applyAlignment="1">
      <alignment horizontal="centerContinuous" vertical="center"/>
    </xf>
    <xf numFmtId="0" fontId="13" fillId="2" borderId="67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center"/>
    </xf>
    <xf numFmtId="3" fontId="13" fillId="2" borderId="68" xfId="0" applyNumberFormat="1" applyFont="1" applyFill="1" applyBorder="1" applyAlignment="1">
      <alignment horizontal="center" vertical="center" wrapText="1"/>
    </xf>
    <xf numFmtId="3" fontId="4" fillId="2" borderId="69" xfId="0" applyNumberFormat="1" applyFont="1" applyFill="1" applyBorder="1" applyAlignment="1">
      <alignment horizontal="center" vertical="top" wrapText="1"/>
    </xf>
    <xf numFmtId="0" fontId="17" fillId="2" borderId="43" xfId="0" applyFont="1" applyFill="1" applyBorder="1" applyAlignment="1">
      <alignment horizontal="center" vertical="center"/>
    </xf>
    <xf numFmtId="3" fontId="17" fillId="2" borderId="43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11" fillId="2" borderId="2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3" fontId="0" fillId="2" borderId="50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50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50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20" fillId="2" borderId="70" xfId="0" applyNumberFormat="1" applyFont="1" applyFill="1" applyBorder="1" applyAlignment="1">
      <alignment/>
    </xf>
    <xf numFmtId="3" fontId="20" fillId="2" borderId="10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8" fillId="2" borderId="2" xfId="0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 vertical="top"/>
    </xf>
    <xf numFmtId="0" fontId="1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3" fontId="5" fillId="2" borderId="71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 horizontal="right"/>
    </xf>
    <xf numFmtId="49" fontId="18" fillId="2" borderId="1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 horizontal="right"/>
    </xf>
    <xf numFmtId="3" fontId="5" fillId="2" borderId="71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/>
    </xf>
    <xf numFmtId="3" fontId="24" fillId="2" borderId="2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18" fillId="2" borderId="12" xfId="0" applyFont="1" applyFill="1" applyBorder="1" applyAlignment="1">
      <alignment/>
    </xf>
    <xf numFmtId="0" fontId="18" fillId="2" borderId="2" xfId="0" applyFont="1" applyFill="1" applyBorder="1" applyAlignment="1">
      <alignment/>
    </xf>
    <xf numFmtId="0" fontId="18" fillId="2" borderId="49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5" borderId="2" xfId="0" applyFont="1" applyFill="1" applyBorder="1" applyAlignment="1">
      <alignment/>
    </xf>
    <xf numFmtId="3" fontId="4" fillId="5" borderId="2" xfId="0" applyNumberFormat="1" applyFont="1" applyFill="1" applyBorder="1" applyAlignment="1">
      <alignment/>
    </xf>
    <xf numFmtId="49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left" wrapText="1"/>
    </xf>
    <xf numFmtId="3" fontId="4" fillId="5" borderId="49" xfId="0" applyNumberFormat="1" applyFont="1" applyFill="1" applyBorder="1" applyAlignment="1">
      <alignment/>
    </xf>
    <xf numFmtId="3" fontId="4" fillId="5" borderId="2" xfId="0" applyNumberFormat="1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5" borderId="8" xfId="0" applyFont="1" applyFill="1" applyBorder="1" applyAlignment="1">
      <alignment wrapText="1"/>
    </xf>
    <xf numFmtId="3" fontId="4" fillId="5" borderId="8" xfId="0" applyNumberFormat="1" applyFont="1" applyFill="1" applyBorder="1" applyAlignment="1">
      <alignment/>
    </xf>
    <xf numFmtId="3" fontId="4" fillId="5" borderId="8" xfId="0" applyNumberFormat="1" applyFont="1" applyFill="1" applyBorder="1" applyAlignment="1">
      <alignment/>
    </xf>
    <xf numFmtId="0" fontId="18" fillId="5" borderId="2" xfId="0" applyFont="1" applyFill="1" applyBorder="1" applyAlignment="1">
      <alignment/>
    </xf>
    <xf numFmtId="0" fontId="20" fillId="5" borderId="8" xfId="0" applyFont="1" applyFill="1" applyBorder="1" applyAlignment="1">
      <alignment/>
    </xf>
    <xf numFmtId="0" fontId="4" fillId="5" borderId="2" xfId="0" applyFont="1" applyFill="1" applyBorder="1" applyAlignment="1">
      <alignment horizontal="right"/>
    </xf>
    <xf numFmtId="0" fontId="4" fillId="5" borderId="12" xfId="0" applyFont="1" applyFill="1" applyBorder="1" applyAlignment="1">
      <alignment/>
    </xf>
    <xf numFmtId="0" fontId="4" fillId="5" borderId="49" xfId="0" applyFont="1" applyFill="1" applyBorder="1" applyAlignment="1">
      <alignment wrapText="1"/>
    </xf>
    <xf numFmtId="0" fontId="4" fillId="5" borderId="8" xfId="0" applyFont="1" applyFill="1" applyBorder="1" applyAlignment="1">
      <alignment/>
    </xf>
    <xf numFmtId="0" fontId="4" fillId="5" borderId="2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3" fontId="18" fillId="2" borderId="52" xfId="0" applyNumberFormat="1" applyFont="1" applyFill="1" applyBorder="1" applyAlignment="1">
      <alignment wrapText="1"/>
    </xf>
    <xf numFmtId="0" fontId="1" fillId="2" borderId="43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distributed" wrapText="1"/>
    </xf>
    <xf numFmtId="0" fontId="0" fillId="0" borderId="47" xfId="0" applyBorder="1" applyAlignment="1">
      <alignment horizontal="center" vertical="distributed"/>
    </xf>
    <xf numFmtId="0" fontId="13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4" fillId="2" borderId="43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3" fontId="4" fillId="0" borderId="64" xfId="0" applyNumberFormat="1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Hyperlink" xfId="17"/>
    <cellStyle name="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1981</xdr:row>
      <xdr:rowOff>0</xdr:rowOff>
    </xdr:from>
    <xdr:to>
      <xdr:col>1</xdr:col>
      <xdr:colOff>523875</xdr:colOff>
      <xdr:row>1981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5494782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1981</xdr:row>
      <xdr:rowOff>0</xdr:rowOff>
    </xdr:from>
    <xdr:to>
      <xdr:col>2</xdr:col>
      <xdr:colOff>0</xdr:colOff>
      <xdr:row>1981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33475" y="5494782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1981</xdr:row>
      <xdr:rowOff>0</xdr:rowOff>
    </xdr:from>
    <xdr:to>
      <xdr:col>1</xdr:col>
      <xdr:colOff>523875</xdr:colOff>
      <xdr:row>1981</xdr:row>
      <xdr:rowOff>0</xdr:rowOff>
    </xdr:to>
    <xdr:sp>
      <xdr:nvSpPr>
        <xdr:cNvPr id="3" name="Arc 3"/>
        <xdr:cNvSpPr>
          <a:spLocks/>
        </xdr:cNvSpPr>
      </xdr:nvSpPr>
      <xdr:spPr>
        <a:xfrm>
          <a:off x="1000125" y="5494782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1981</xdr:row>
      <xdr:rowOff>0</xdr:rowOff>
    </xdr:from>
    <xdr:to>
      <xdr:col>2</xdr:col>
      <xdr:colOff>0</xdr:colOff>
      <xdr:row>1981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1133475" y="5494782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1732</xdr:row>
      <xdr:rowOff>0</xdr:rowOff>
    </xdr:from>
    <xdr:to>
      <xdr:col>1</xdr:col>
      <xdr:colOff>523875</xdr:colOff>
      <xdr:row>1732</xdr:row>
      <xdr:rowOff>0</xdr:rowOff>
    </xdr:to>
    <xdr:sp>
      <xdr:nvSpPr>
        <xdr:cNvPr id="5" name="Arc 5"/>
        <xdr:cNvSpPr>
          <a:spLocks/>
        </xdr:cNvSpPr>
      </xdr:nvSpPr>
      <xdr:spPr>
        <a:xfrm>
          <a:off x="1000125" y="4870227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1732</xdr:row>
      <xdr:rowOff>0</xdr:rowOff>
    </xdr:from>
    <xdr:to>
      <xdr:col>2</xdr:col>
      <xdr:colOff>0</xdr:colOff>
      <xdr:row>1732</xdr:row>
      <xdr:rowOff>0</xdr:rowOff>
    </xdr:to>
    <xdr:sp>
      <xdr:nvSpPr>
        <xdr:cNvPr id="6" name="Rysowanie 11"/>
        <xdr:cNvSpPr>
          <a:spLocks/>
        </xdr:cNvSpPr>
      </xdr:nvSpPr>
      <xdr:spPr>
        <a:xfrm>
          <a:off x="1133475" y="4870227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1732</xdr:row>
      <xdr:rowOff>0</xdr:rowOff>
    </xdr:from>
    <xdr:to>
      <xdr:col>1</xdr:col>
      <xdr:colOff>523875</xdr:colOff>
      <xdr:row>1732</xdr:row>
      <xdr:rowOff>0</xdr:rowOff>
    </xdr:to>
    <xdr:sp>
      <xdr:nvSpPr>
        <xdr:cNvPr id="7" name="Arc 7"/>
        <xdr:cNvSpPr>
          <a:spLocks/>
        </xdr:cNvSpPr>
      </xdr:nvSpPr>
      <xdr:spPr>
        <a:xfrm>
          <a:off x="1000125" y="4870227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1732</xdr:row>
      <xdr:rowOff>0</xdr:rowOff>
    </xdr:from>
    <xdr:to>
      <xdr:col>2</xdr:col>
      <xdr:colOff>0</xdr:colOff>
      <xdr:row>1732</xdr:row>
      <xdr:rowOff>0</xdr:rowOff>
    </xdr:to>
    <xdr:sp>
      <xdr:nvSpPr>
        <xdr:cNvPr id="8" name="Rysowanie 11"/>
        <xdr:cNvSpPr>
          <a:spLocks/>
        </xdr:cNvSpPr>
      </xdr:nvSpPr>
      <xdr:spPr>
        <a:xfrm>
          <a:off x="1133475" y="4870227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1757</xdr:row>
      <xdr:rowOff>0</xdr:rowOff>
    </xdr:from>
    <xdr:to>
      <xdr:col>1</xdr:col>
      <xdr:colOff>523875</xdr:colOff>
      <xdr:row>1757</xdr:row>
      <xdr:rowOff>0</xdr:rowOff>
    </xdr:to>
    <xdr:sp>
      <xdr:nvSpPr>
        <xdr:cNvPr id="9" name="Arc 9"/>
        <xdr:cNvSpPr>
          <a:spLocks/>
        </xdr:cNvSpPr>
      </xdr:nvSpPr>
      <xdr:spPr>
        <a:xfrm>
          <a:off x="1000125" y="494299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1757</xdr:row>
      <xdr:rowOff>0</xdr:rowOff>
    </xdr:from>
    <xdr:to>
      <xdr:col>2</xdr:col>
      <xdr:colOff>0</xdr:colOff>
      <xdr:row>1757</xdr:row>
      <xdr:rowOff>0</xdr:rowOff>
    </xdr:to>
    <xdr:sp>
      <xdr:nvSpPr>
        <xdr:cNvPr id="10" name="Rysowanie 11"/>
        <xdr:cNvSpPr>
          <a:spLocks/>
        </xdr:cNvSpPr>
      </xdr:nvSpPr>
      <xdr:spPr>
        <a:xfrm>
          <a:off x="1133475" y="494299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1757</xdr:row>
      <xdr:rowOff>0</xdr:rowOff>
    </xdr:from>
    <xdr:to>
      <xdr:col>1</xdr:col>
      <xdr:colOff>523875</xdr:colOff>
      <xdr:row>1757</xdr:row>
      <xdr:rowOff>0</xdr:rowOff>
    </xdr:to>
    <xdr:sp>
      <xdr:nvSpPr>
        <xdr:cNvPr id="11" name="Arc 11"/>
        <xdr:cNvSpPr>
          <a:spLocks/>
        </xdr:cNvSpPr>
      </xdr:nvSpPr>
      <xdr:spPr>
        <a:xfrm>
          <a:off x="1000125" y="494299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1757</xdr:row>
      <xdr:rowOff>0</xdr:rowOff>
    </xdr:from>
    <xdr:to>
      <xdr:col>2</xdr:col>
      <xdr:colOff>0</xdr:colOff>
      <xdr:row>1757</xdr:row>
      <xdr:rowOff>0</xdr:rowOff>
    </xdr:to>
    <xdr:sp>
      <xdr:nvSpPr>
        <xdr:cNvPr id="12" name="Rysowanie 11"/>
        <xdr:cNvSpPr>
          <a:spLocks/>
        </xdr:cNvSpPr>
      </xdr:nvSpPr>
      <xdr:spPr>
        <a:xfrm>
          <a:off x="1133475" y="494299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1981</xdr:row>
      <xdr:rowOff>0</xdr:rowOff>
    </xdr:from>
    <xdr:to>
      <xdr:col>1</xdr:col>
      <xdr:colOff>523875</xdr:colOff>
      <xdr:row>1981</xdr:row>
      <xdr:rowOff>0</xdr:rowOff>
    </xdr:to>
    <xdr:sp>
      <xdr:nvSpPr>
        <xdr:cNvPr id="13" name="Arc 25"/>
        <xdr:cNvSpPr>
          <a:spLocks/>
        </xdr:cNvSpPr>
      </xdr:nvSpPr>
      <xdr:spPr>
        <a:xfrm>
          <a:off x="1000125" y="5494782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1981</xdr:row>
      <xdr:rowOff>0</xdr:rowOff>
    </xdr:from>
    <xdr:to>
      <xdr:col>2</xdr:col>
      <xdr:colOff>0</xdr:colOff>
      <xdr:row>1981</xdr:row>
      <xdr:rowOff>0</xdr:rowOff>
    </xdr:to>
    <xdr:sp>
      <xdr:nvSpPr>
        <xdr:cNvPr id="14" name="Rysowanie 11"/>
        <xdr:cNvSpPr>
          <a:spLocks/>
        </xdr:cNvSpPr>
      </xdr:nvSpPr>
      <xdr:spPr>
        <a:xfrm>
          <a:off x="1133475" y="5494782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1981</xdr:row>
      <xdr:rowOff>0</xdr:rowOff>
    </xdr:from>
    <xdr:to>
      <xdr:col>1</xdr:col>
      <xdr:colOff>523875</xdr:colOff>
      <xdr:row>1981</xdr:row>
      <xdr:rowOff>0</xdr:rowOff>
    </xdr:to>
    <xdr:sp>
      <xdr:nvSpPr>
        <xdr:cNvPr id="15" name="Arc 27"/>
        <xdr:cNvSpPr>
          <a:spLocks/>
        </xdr:cNvSpPr>
      </xdr:nvSpPr>
      <xdr:spPr>
        <a:xfrm>
          <a:off x="1000125" y="5494782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1981</xdr:row>
      <xdr:rowOff>0</xdr:rowOff>
    </xdr:from>
    <xdr:to>
      <xdr:col>2</xdr:col>
      <xdr:colOff>0</xdr:colOff>
      <xdr:row>1981</xdr:row>
      <xdr:rowOff>0</xdr:rowOff>
    </xdr:to>
    <xdr:sp>
      <xdr:nvSpPr>
        <xdr:cNvPr id="16" name="Rysowanie 11"/>
        <xdr:cNvSpPr>
          <a:spLocks/>
        </xdr:cNvSpPr>
      </xdr:nvSpPr>
      <xdr:spPr>
        <a:xfrm>
          <a:off x="1133475" y="5494782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1732</xdr:row>
      <xdr:rowOff>0</xdr:rowOff>
    </xdr:from>
    <xdr:to>
      <xdr:col>1</xdr:col>
      <xdr:colOff>523875</xdr:colOff>
      <xdr:row>1732</xdr:row>
      <xdr:rowOff>0</xdr:rowOff>
    </xdr:to>
    <xdr:sp>
      <xdr:nvSpPr>
        <xdr:cNvPr id="17" name="Arc 29"/>
        <xdr:cNvSpPr>
          <a:spLocks/>
        </xdr:cNvSpPr>
      </xdr:nvSpPr>
      <xdr:spPr>
        <a:xfrm>
          <a:off x="1000125" y="4870227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1732</xdr:row>
      <xdr:rowOff>0</xdr:rowOff>
    </xdr:from>
    <xdr:to>
      <xdr:col>2</xdr:col>
      <xdr:colOff>0</xdr:colOff>
      <xdr:row>1732</xdr:row>
      <xdr:rowOff>0</xdr:rowOff>
    </xdr:to>
    <xdr:sp>
      <xdr:nvSpPr>
        <xdr:cNvPr id="18" name="Rysowanie 11"/>
        <xdr:cNvSpPr>
          <a:spLocks/>
        </xdr:cNvSpPr>
      </xdr:nvSpPr>
      <xdr:spPr>
        <a:xfrm>
          <a:off x="1133475" y="4870227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1732</xdr:row>
      <xdr:rowOff>0</xdr:rowOff>
    </xdr:from>
    <xdr:to>
      <xdr:col>1</xdr:col>
      <xdr:colOff>523875</xdr:colOff>
      <xdr:row>1732</xdr:row>
      <xdr:rowOff>0</xdr:rowOff>
    </xdr:to>
    <xdr:sp>
      <xdr:nvSpPr>
        <xdr:cNvPr id="19" name="Arc 31"/>
        <xdr:cNvSpPr>
          <a:spLocks/>
        </xdr:cNvSpPr>
      </xdr:nvSpPr>
      <xdr:spPr>
        <a:xfrm>
          <a:off x="1000125" y="4870227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1732</xdr:row>
      <xdr:rowOff>0</xdr:rowOff>
    </xdr:from>
    <xdr:to>
      <xdr:col>2</xdr:col>
      <xdr:colOff>0</xdr:colOff>
      <xdr:row>1732</xdr:row>
      <xdr:rowOff>0</xdr:rowOff>
    </xdr:to>
    <xdr:sp>
      <xdr:nvSpPr>
        <xdr:cNvPr id="20" name="Rysowanie 11"/>
        <xdr:cNvSpPr>
          <a:spLocks/>
        </xdr:cNvSpPr>
      </xdr:nvSpPr>
      <xdr:spPr>
        <a:xfrm>
          <a:off x="1133475" y="4870227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1757</xdr:row>
      <xdr:rowOff>0</xdr:rowOff>
    </xdr:from>
    <xdr:to>
      <xdr:col>1</xdr:col>
      <xdr:colOff>523875</xdr:colOff>
      <xdr:row>1757</xdr:row>
      <xdr:rowOff>0</xdr:rowOff>
    </xdr:to>
    <xdr:sp>
      <xdr:nvSpPr>
        <xdr:cNvPr id="21" name="Arc 33"/>
        <xdr:cNvSpPr>
          <a:spLocks/>
        </xdr:cNvSpPr>
      </xdr:nvSpPr>
      <xdr:spPr>
        <a:xfrm>
          <a:off x="1000125" y="494299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1757</xdr:row>
      <xdr:rowOff>0</xdr:rowOff>
    </xdr:from>
    <xdr:to>
      <xdr:col>2</xdr:col>
      <xdr:colOff>0</xdr:colOff>
      <xdr:row>1757</xdr:row>
      <xdr:rowOff>0</xdr:rowOff>
    </xdr:to>
    <xdr:sp>
      <xdr:nvSpPr>
        <xdr:cNvPr id="22" name="Rysowanie 11"/>
        <xdr:cNvSpPr>
          <a:spLocks/>
        </xdr:cNvSpPr>
      </xdr:nvSpPr>
      <xdr:spPr>
        <a:xfrm>
          <a:off x="1133475" y="494299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1757</xdr:row>
      <xdr:rowOff>0</xdr:rowOff>
    </xdr:from>
    <xdr:to>
      <xdr:col>1</xdr:col>
      <xdr:colOff>523875</xdr:colOff>
      <xdr:row>1757</xdr:row>
      <xdr:rowOff>0</xdr:rowOff>
    </xdr:to>
    <xdr:sp>
      <xdr:nvSpPr>
        <xdr:cNvPr id="23" name="Arc 35"/>
        <xdr:cNvSpPr>
          <a:spLocks/>
        </xdr:cNvSpPr>
      </xdr:nvSpPr>
      <xdr:spPr>
        <a:xfrm>
          <a:off x="1000125" y="494299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1757</xdr:row>
      <xdr:rowOff>0</xdr:rowOff>
    </xdr:from>
    <xdr:to>
      <xdr:col>2</xdr:col>
      <xdr:colOff>0</xdr:colOff>
      <xdr:row>1757</xdr:row>
      <xdr:rowOff>0</xdr:rowOff>
    </xdr:to>
    <xdr:sp>
      <xdr:nvSpPr>
        <xdr:cNvPr id="24" name="Rysowanie 11"/>
        <xdr:cNvSpPr>
          <a:spLocks/>
        </xdr:cNvSpPr>
      </xdr:nvSpPr>
      <xdr:spPr>
        <a:xfrm>
          <a:off x="1133475" y="494299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1981</xdr:row>
      <xdr:rowOff>0</xdr:rowOff>
    </xdr:from>
    <xdr:to>
      <xdr:col>1</xdr:col>
      <xdr:colOff>523875</xdr:colOff>
      <xdr:row>1981</xdr:row>
      <xdr:rowOff>0</xdr:rowOff>
    </xdr:to>
    <xdr:sp>
      <xdr:nvSpPr>
        <xdr:cNvPr id="25" name="Arc 37"/>
        <xdr:cNvSpPr>
          <a:spLocks/>
        </xdr:cNvSpPr>
      </xdr:nvSpPr>
      <xdr:spPr>
        <a:xfrm>
          <a:off x="1000125" y="5494782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1981</xdr:row>
      <xdr:rowOff>0</xdr:rowOff>
    </xdr:from>
    <xdr:to>
      <xdr:col>2</xdr:col>
      <xdr:colOff>0</xdr:colOff>
      <xdr:row>1981</xdr:row>
      <xdr:rowOff>0</xdr:rowOff>
    </xdr:to>
    <xdr:sp>
      <xdr:nvSpPr>
        <xdr:cNvPr id="26" name="Rysowanie 11"/>
        <xdr:cNvSpPr>
          <a:spLocks/>
        </xdr:cNvSpPr>
      </xdr:nvSpPr>
      <xdr:spPr>
        <a:xfrm>
          <a:off x="1133475" y="5494782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1981</xdr:row>
      <xdr:rowOff>0</xdr:rowOff>
    </xdr:from>
    <xdr:to>
      <xdr:col>1</xdr:col>
      <xdr:colOff>523875</xdr:colOff>
      <xdr:row>1981</xdr:row>
      <xdr:rowOff>0</xdr:rowOff>
    </xdr:to>
    <xdr:sp>
      <xdr:nvSpPr>
        <xdr:cNvPr id="27" name="Arc 39"/>
        <xdr:cNvSpPr>
          <a:spLocks/>
        </xdr:cNvSpPr>
      </xdr:nvSpPr>
      <xdr:spPr>
        <a:xfrm>
          <a:off x="1000125" y="5494782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1981</xdr:row>
      <xdr:rowOff>0</xdr:rowOff>
    </xdr:from>
    <xdr:to>
      <xdr:col>2</xdr:col>
      <xdr:colOff>0</xdr:colOff>
      <xdr:row>1981</xdr:row>
      <xdr:rowOff>0</xdr:rowOff>
    </xdr:to>
    <xdr:sp>
      <xdr:nvSpPr>
        <xdr:cNvPr id="28" name="Rysowanie 11"/>
        <xdr:cNvSpPr>
          <a:spLocks/>
        </xdr:cNvSpPr>
      </xdr:nvSpPr>
      <xdr:spPr>
        <a:xfrm>
          <a:off x="1133475" y="5494782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1732</xdr:row>
      <xdr:rowOff>0</xdr:rowOff>
    </xdr:from>
    <xdr:to>
      <xdr:col>1</xdr:col>
      <xdr:colOff>523875</xdr:colOff>
      <xdr:row>1732</xdr:row>
      <xdr:rowOff>0</xdr:rowOff>
    </xdr:to>
    <xdr:sp>
      <xdr:nvSpPr>
        <xdr:cNvPr id="29" name="Arc 41"/>
        <xdr:cNvSpPr>
          <a:spLocks/>
        </xdr:cNvSpPr>
      </xdr:nvSpPr>
      <xdr:spPr>
        <a:xfrm>
          <a:off x="1000125" y="4870227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1732</xdr:row>
      <xdr:rowOff>0</xdr:rowOff>
    </xdr:from>
    <xdr:to>
      <xdr:col>2</xdr:col>
      <xdr:colOff>0</xdr:colOff>
      <xdr:row>1732</xdr:row>
      <xdr:rowOff>0</xdr:rowOff>
    </xdr:to>
    <xdr:sp>
      <xdr:nvSpPr>
        <xdr:cNvPr id="30" name="Rysowanie 11"/>
        <xdr:cNvSpPr>
          <a:spLocks/>
        </xdr:cNvSpPr>
      </xdr:nvSpPr>
      <xdr:spPr>
        <a:xfrm>
          <a:off x="1133475" y="4870227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1732</xdr:row>
      <xdr:rowOff>0</xdr:rowOff>
    </xdr:from>
    <xdr:to>
      <xdr:col>1</xdr:col>
      <xdr:colOff>523875</xdr:colOff>
      <xdr:row>1732</xdr:row>
      <xdr:rowOff>0</xdr:rowOff>
    </xdr:to>
    <xdr:sp>
      <xdr:nvSpPr>
        <xdr:cNvPr id="31" name="Arc 43"/>
        <xdr:cNvSpPr>
          <a:spLocks/>
        </xdr:cNvSpPr>
      </xdr:nvSpPr>
      <xdr:spPr>
        <a:xfrm>
          <a:off x="1000125" y="4870227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1732</xdr:row>
      <xdr:rowOff>0</xdr:rowOff>
    </xdr:from>
    <xdr:to>
      <xdr:col>2</xdr:col>
      <xdr:colOff>0</xdr:colOff>
      <xdr:row>1732</xdr:row>
      <xdr:rowOff>0</xdr:rowOff>
    </xdr:to>
    <xdr:sp>
      <xdr:nvSpPr>
        <xdr:cNvPr id="32" name="Rysowanie 11"/>
        <xdr:cNvSpPr>
          <a:spLocks/>
        </xdr:cNvSpPr>
      </xdr:nvSpPr>
      <xdr:spPr>
        <a:xfrm>
          <a:off x="1133475" y="4870227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1757</xdr:row>
      <xdr:rowOff>0</xdr:rowOff>
    </xdr:from>
    <xdr:to>
      <xdr:col>1</xdr:col>
      <xdr:colOff>523875</xdr:colOff>
      <xdr:row>1757</xdr:row>
      <xdr:rowOff>0</xdr:rowOff>
    </xdr:to>
    <xdr:sp>
      <xdr:nvSpPr>
        <xdr:cNvPr id="33" name="Arc 45"/>
        <xdr:cNvSpPr>
          <a:spLocks/>
        </xdr:cNvSpPr>
      </xdr:nvSpPr>
      <xdr:spPr>
        <a:xfrm>
          <a:off x="1000125" y="494299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1757</xdr:row>
      <xdr:rowOff>0</xdr:rowOff>
    </xdr:from>
    <xdr:to>
      <xdr:col>2</xdr:col>
      <xdr:colOff>0</xdr:colOff>
      <xdr:row>1757</xdr:row>
      <xdr:rowOff>0</xdr:rowOff>
    </xdr:to>
    <xdr:sp>
      <xdr:nvSpPr>
        <xdr:cNvPr id="34" name="Rysowanie 11"/>
        <xdr:cNvSpPr>
          <a:spLocks/>
        </xdr:cNvSpPr>
      </xdr:nvSpPr>
      <xdr:spPr>
        <a:xfrm>
          <a:off x="1133475" y="494299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1757</xdr:row>
      <xdr:rowOff>0</xdr:rowOff>
    </xdr:from>
    <xdr:to>
      <xdr:col>1</xdr:col>
      <xdr:colOff>523875</xdr:colOff>
      <xdr:row>1757</xdr:row>
      <xdr:rowOff>0</xdr:rowOff>
    </xdr:to>
    <xdr:sp>
      <xdr:nvSpPr>
        <xdr:cNvPr id="35" name="Arc 47"/>
        <xdr:cNvSpPr>
          <a:spLocks/>
        </xdr:cNvSpPr>
      </xdr:nvSpPr>
      <xdr:spPr>
        <a:xfrm>
          <a:off x="1000125" y="494299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1757</xdr:row>
      <xdr:rowOff>0</xdr:rowOff>
    </xdr:from>
    <xdr:to>
      <xdr:col>2</xdr:col>
      <xdr:colOff>0</xdr:colOff>
      <xdr:row>1757</xdr:row>
      <xdr:rowOff>0</xdr:rowOff>
    </xdr:to>
    <xdr:sp>
      <xdr:nvSpPr>
        <xdr:cNvPr id="36" name="Rysowanie 11"/>
        <xdr:cNvSpPr>
          <a:spLocks/>
        </xdr:cNvSpPr>
      </xdr:nvSpPr>
      <xdr:spPr>
        <a:xfrm>
          <a:off x="1133475" y="494299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164</xdr:row>
      <xdr:rowOff>0</xdr:rowOff>
    </xdr:from>
    <xdr:to>
      <xdr:col>1</xdr:col>
      <xdr:colOff>523875</xdr:colOff>
      <xdr:row>164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516540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164</xdr:row>
      <xdr:rowOff>0</xdr:rowOff>
    </xdr:from>
    <xdr:to>
      <xdr:col>2</xdr:col>
      <xdr:colOff>0</xdr:colOff>
      <xdr:row>164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95375" y="516540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187</xdr:row>
      <xdr:rowOff>0</xdr:rowOff>
    </xdr:from>
    <xdr:to>
      <xdr:col>1</xdr:col>
      <xdr:colOff>523875</xdr:colOff>
      <xdr:row>187</xdr:row>
      <xdr:rowOff>0</xdr:rowOff>
    </xdr:to>
    <xdr:sp>
      <xdr:nvSpPr>
        <xdr:cNvPr id="3" name="Arc 3"/>
        <xdr:cNvSpPr>
          <a:spLocks/>
        </xdr:cNvSpPr>
      </xdr:nvSpPr>
      <xdr:spPr>
        <a:xfrm>
          <a:off x="1000125" y="583596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187</xdr:row>
      <xdr:rowOff>0</xdr:rowOff>
    </xdr:from>
    <xdr:to>
      <xdr:col>2</xdr:col>
      <xdr:colOff>0</xdr:colOff>
      <xdr:row>187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1095375" y="583596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181</xdr:row>
      <xdr:rowOff>0</xdr:rowOff>
    </xdr:from>
    <xdr:to>
      <xdr:col>1</xdr:col>
      <xdr:colOff>523875</xdr:colOff>
      <xdr:row>181</xdr:row>
      <xdr:rowOff>0</xdr:rowOff>
    </xdr:to>
    <xdr:sp>
      <xdr:nvSpPr>
        <xdr:cNvPr id="5" name="Arc 5"/>
        <xdr:cNvSpPr>
          <a:spLocks/>
        </xdr:cNvSpPr>
      </xdr:nvSpPr>
      <xdr:spPr>
        <a:xfrm>
          <a:off x="1000125" y="565118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6" name="Rysowanie 11"/>
        <xdr:cNvSpPr>
          <a:spLocks/>
        </xdr:cNvSpPr>
      </xdr:nvSpPr>
      <xdr:spPr>
        <a:xfrm>
          <a:off x="1095375" y="565118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26"/>
  <sheetViews>
    <sheetView tabSelected="1" workbookViewId="0" topLeftCell="A7">
      <pane ySplit="3120" topLeftCell="BM1" activePane="bottomLeft" state="split"/>
      <selection pane="topLeft" activeCell="I7" sqref="I1:U16384"/>
      <selection pane="bottomLeft" activeCell="H3729" sqref="H3729"/>
    </sheetView>
  </sheetViews>
  <sheetFormatPr defaultColWidth="9.00390625" defaultRowHeight="12.75"/>
  <cols>
    <col min="1" max="1" width="6.25390625" style="141" customWidth="1"/>
    <col min="2" max="3" width="8.625" style="141" customWidth="1"/>
    <col min="4" max="4" width="73.25390625" style="141" customWidth="1"/>
    <col min="5" max="8" width="17.75390625" style="141" customWidth="1"/>
    <col min="9" max="16384" width="9.125" style="141" customWidth="1"/>
  </cols>
  <sheetData>
    <row r="1" spans="5:7" ht="19.5" customHeight="1">
      <c r="E1" s="1135"/>
      <c r="F1" s="1135"/>
      <c r="G1" s="141" t="s">
        <v>828</v>
      </c>
    </row>
    <row r="2" spans="1:7" ht="19.5" customHeight="1">
      <c r="A2" s="80" t="s">
        <v>816</v>
      </c>
      <c r="E2" s="1135"/>
      <c r="F2" s="1135"/>
      <c r="G2" s="462" t="s">
        <v>729</v>
      </c>
    </row>
    <row r="3" spans="1:7" ht="19.5" customHeight="1">
      <c r="A3" s="80" t="s">
        <v>650</v>
      </c>
      <c r="E3" s="1136"/>
      <c r="F3" s="1136"/>
      <c r="G3" s="141" t="s">
        <v>942</v>
      </c>
    </row>
    <row r="4" spans="1:7" ht="19.5" customHeight="1">
      <c r="A4" s="141" t="s">
        <v>817</v>
      </c>
      <c r="D4" s="247"/>
      <c r="E4" s="1136"/>
      <c r="F4" s="1136"/>
      <c r="G4" s="141" t="s">
        <v>819</v>
      </c>
    </row>
    <row r="5" spans="4:8" ht="21" customHeight="1">
      <c r="D5" s="1136"/>
      <c r="E5" s="1136"/>
      <c r="F5" s="1135"/>
      <c r="G5" s="1135" t="s">
        <v>803</v>
      </c>
      <c r="H5" s="1135">
        <v>141716</v>
      </c>
    </row>
    <row r="6" spans="4:5" ht="21" customHeight="1" thickBot="1">
      <c r="D6" s="247"/>
      <c r="E6" s="463"/>
    </row>
    <row r="7" spans="1:8" ht="20.25" customHeight="1" thickBot="1" thickTop="1">
      <c r="A7" s="1217" t="s">
        <v>389</v>
      </c>
      <c r="B7" s="1217" t="s">
        <v>414</v>
      </c>
      <c r="C7" s="1217" t="s">
        <v>751</v>
      </c>
      <c r="D7" s="1217" t="s">
        <v>413</v>
      </c>
      <c r="E7" s="1216" t="s">
        <v>108</v>
      </c>
      <c r="F7" s="1216"/>
      <c r="G7" s="1216" t="s">
        <v>390</v>
      </c>
      <c r="H7" s="1216"/>
    </row>
    <row r="8" spans="1:8" ht="21.75" customHeight="1" thickBot="1" thickTop="1">
      <c r="A8" s="1218"/>
      <c r="B8" s="1218"/>
      <c r="C8" s="1218"/>
      <c r="D8" s="1218"/>
      <c r="E8" s="464" t="s">
        <v>109</v>
      </c>
      <c r="F8" s="464" t="s">
        <v>463</v>
      </c>
      <c r="G8" s="464" t="s">
        <v>109</v>
      </c>
      <c r="H8" s="464" t="s">
        <v>463</v>
      </c>
    </row>
    <row r="9" spans="1:8" ht="17.25" customHeight="1" thickBot="1" thickTop="1">
      <c r="A9" s="465">
        <v>1</v>
      </c>
      <c r="B9" s="465">
        <v>2</v>
      </c>
      <c r="C9" s="465">
        <v>3</v>
      </c>
      <c r="D9" s="465">
        <v>4</v>
      </c>
      <c r="E9" s="465">
        <v>5</v>
      </c>
      <c r="F9" s="465">
        <v>6</v>
      </c>
      <c r="G9" s="465">
        <v>7</v>
      </c>
      <c r="H9" s="465">
        <v>8</v>
      </c>
    </row>
    <row r="10" spans="1:8" ht="30.75" customHeight="1" thickTop="1">
      <c r="A10" s="1053"/>
      <c r="B10" s="1053"/>
      <c r="C10" s="1053"/>
      <c r="D10" s="81" t="s">
        <v>391</v>
      </c>
      <c r="E10" s="224">
        <f>E11</f>
        <v>938356263</v>
      </c>
      <c r="F10" s="224">
        <f>F11</f>
        <v>938356263</v>
      </c>
      <c r="G10" s="224">
        <f>G11</f>
        <v>481148692</v>
      </c>
      <c r="H10" s="224">
        <f>H11</f>
        <v>481148692</v>
      </c>
    </row>
    <row r="11" spans="1:8" ht="29.25" customHeight="1">
      <c r="A11" s="56"/>
      <c r="B11" s="56"/>
      <c r="C11" s="56"/>
      <c r="D11" s="350" t="s">
        <v>177</v>
      </c>
      <c r="E11" s="351">
        <f>E12+E41+E1082+E1198+E1493+E1758+E2237+E3232+E1712</f>
        <v>938356263</v>
      </c>
      <c r="F11" s="351">
        <f>F24+F554+F1029+F1329+F1404+F1632+F1654+F1698+F1741+F2015+F2027+F2866+F3030+F3054+F3457</f>
        <v>938356263</v>
      </c>
      <c r="G11" s="351">
        <f>G12+G41+G1082+G1198+G1493+G1758+G2237+G3232+G1712+G3717</f>
        <v>481148692</v>
      </c>
      <c r="H11" s="351">
        <f>H24+H554+H1029+H1140+H1329+H1404+H1493+H1632+H1654+H1698+H1982+H2027+H2099+H2736+H2866+H3030+H3054++H3457+H3723+H2021</f>
        <v>481148692</v>
      </c>
    </row>
    <row r="12" spans="1:8" ht="24" customHeight="1">
      <c r="A12" s="56"/>
      <c r="B12" s="56"/>
      <c r="C12" s="56"/>
      <c r="D12" s="7" t="s">
        <v>392</v>
      </c>
      <c r="E12" s="83">
        <f>E13</f>
        <v>10000</v>
      </c>
      <c r="F12" s="364"/>
      <c r="G12" s="83">
        <f>G18</f>
        <v>9000</v>
      </c>
      <c r="H12" s="364"/>
    </row>
    <row r="13" spans="1:8" s="1" customFormat="1" ht="19.5" customHeight="1" thickBot="1">
      <c r="A13" s="3"/>
      <c r="B13" s="3"/>
      <c r="C13" s="3"/>
      <c r="D13" s="84" t="s">
        <v>461</v>
      </c>
      <c r="E13" s="85">
        <f>E14</f>
        <v>10000</v>
      </c>
      <c r="F13" s="85"/>
      <c r="G13" s="85"/>
      <c r="H13" s="24"/>
    </row>
    <row r="14" spans="1:8" s="1" customFormat="1" ht="19.5" customHeight="1" thickBot="1" thickTop="1">
      <c r="A14" s="374">
        <v>750</v>
      </c>
      <c r="B14" s="375"/>
      <c r="C14" s="375"/>
      <c r="D14" s="376" t="s">
        <v>439</v>
      </c>
      <c r="E14" s="377">
        <f>E15</f>
        <v>10000</v>
      </c>
      <c r="F14" s="377"/>
      <c r="G14" s="377"/>
      <c r="H14" s="377"/>
    </row>
    <row r="15" spans="1:8" s="1" customFormat="1" ht="19.5" customHeight="1">
      <c r="A15" s="2"/>
      <c r="B15" s="3">
        <v>75023</v>
      </c>
      <c r="C15" s="3"/>
      <c r="D15" s="3" t="s">
        <v>1061</v>
      </c>
      <c r="E15" s="4">
        <f>E16</f>
        <v>10000</v>
      </c>
      <c r="F15" s="4"/>
      <c r="G15" s="4"/>
      <c r="H15" s="4"/>
    </row>
    <row r="16" spans="1:8" s="1" customFormat="1" ht="19.5" customHeight="1">
      <c r="A16" s="86"/>
      <c r="B16" s="86"/>
      <c r="C16" s="86"/>
      <c r="D16" s="87" t="s">
        <v>173</v>
      </c>
      <c r="E16" s="66">
        <f>E17</f>
        <v>10000</v>
      </c>
      <c r="F16" s="66"/>
      <c r="G16" s="66"/>
      <c r="H16" s="66"/>
    </row>
    <row r="17" spans="1:8" s="1" customFormat="1" ht="19.5" customHeight="1">
      <c r="A17" s="18"/>
      <c r="B17" s="18"/>
      <c r="C17" s="19" t="s">
        <v>728</v>
      </c>
      <c r="D17" s="22" t="s">
        <v>512</v>
      </c>
      <c r="E17" s="88">
        <v>10000</v>
      </c>
      <c r="F17" s="88"/>
      <c r="G17" s="88"/>
      <c r="H17" s="88"/>
    </row>
    <row r="18" spans="1:8" ht="19.5" customHeight="1" thickBot="1">
      <c r="A18" s="91"/>
      <c r="B18" s="91"/>
      <c r="C18" s="91"/>
      <c r="D18" s="84" t="s">
        <v>646</v>
      </c>
      <c r="E18" s="85"/>
      <c r="F18" s="85"/>
      <c r="G18" s="85">
        <f>G19</f>
        <v>9000</v>
      </c>
      <c r="H18" s="85"/>
    </row>
    <row r="19" spans="1:8" ht="19.5" customHeight="1" thickBot="1" thickTop="1">
      <c r="A19" s="375">
        <v>710</v>
      </c>
      <c r="B19" s="375"/>
      <c r="C19" s="375"/>
      <c r="D19" s="375" t="s">
        <v>436</v>
      </c>
      <c r="E19" s="378"/>
      <c r="F19" s="378"/>
      <c r="G19" s="378">
        <f>G20</f>
        <v>9000</v>
      </c>
      <c r="H19" s="378"/>
    </row>
    <row r="20" spans="1:8" ht="19.5" customHeight="1">
      <c r="A20" s="156"/>
      <c r="B20" s="3">
        <v>71004</v>
      </c>
      <c r="C20" s="3"/>
      <c r="D20" s="3" t="s">
        <v>437</v>
      </c>
      <c r="E20" s="148"/>
      <c r="F20" s="148"/>
      <c r="G20" s="43">
        <f>G21</f>
        <v>9000</v>
      </c>
      <c r="H20" s="43"/>
    </row>
    <row r="21" spans="1:8" ht="19.5" customHeight="1">
      <c r="A21" s="156"/>
      <c r="B21" s="156"/>
      <c r="C21" s="257"/>
      <c r="D21" s="87" t="s">
        <v>695</v>
      </c>
      <c r="E21" s="258"/>
      <c r="F21" s="258"/>
      <c r="G21" s="44">
        <f>SUM(G22:G23)</f>
        <v>9000</v>
      </c>
      <c r="H21" s="44"/>
    </row>
    <row r="22" spans="1:8" ht="19.5" customHeight="1">
      <c r="A22" s="156"/>
      <c r="B22" s="156"/>
      <c r="C22" s="22">
        <v>4210</v>
      </c>
      <c r="D22" s="245" t="s">
        <v>748</v>
      </c>
      <c r="E22" s="259"/>
      <c r="F22" s="259"/>
      <c r="G22" s="98">
        <v>8500</v>
      </c>
      <c r="H22" s="98"/>
    </row>
    <row r="23" spans="1:8" ht="19.5" customHeight="1">
      <c r="A23" s="156"/>
      <c r="B23" s="156"/>
      <c r="C23" s="144">
        <v>4300</v>
      </c>
      <c r="D23" s="260" t="s">
        <v>815</v>
      </c>
      <c r="E23" s="261"/>
      <c r="F23" s="261"/>
      <c r="G23" s="262">
        <v>500</v>
      </c>
      <c r="H23" s="262"/>
    </row>
    <row r="24" spans="1:8" ht="24" customHeight="1">
      <c r="A24" s="56"/>
      <c r="B24" s="56"/>
      <c r="C24" s="56"/>
      <c r="D24" s="7" t="s">
        <v>464</v>
      </c>
      <c r="E24" s="83"/>
      <c r="F24" s="364">
        <f>F25</f>
        <v>10000</v>
      </c>
      <c r="G24" s="83"/>
      <c r="H24" s="364">
        <f>H30</f>
        <v>109000</v>
      </c>
    </row>
    <row r="25" spans="1:8" s="1" customFormat="1" ht="19.5" customHeight="1" thickBot="1">
      <c r="A25" s="3"/>
      <c r="B25" s="3"/>
      <c r="C25" s="3"/>
      <c r="D25" s="84" t="s">
        <v>461</v>
      </c>
      <c r="E25" s="85"/>
      <c r="F25" s="85">
        <f>F26</f>
        <v>10000</v>
      </c>
      <c r="G25" s="85"/>
      <c r="H25" s="24"/>
    </row>
    <row r="26" spans="1:8" s="1" customFormat="1" ht="19.5" customHeight="1" thickBot="1" thickTop="1">
      <c r="A26" s="374">
        <v>750</v>
      </c>
      <c r="B26" s="375"/>
      <c r="C26" s="375"/>
      <c r="D26" s="376" t="s">
        <v>439</v>
      </c>
      <c r="E26" s="377"/>
      <c r="F26" s="377">
        <f>F27</f>
        <v>10000</v>
      </c>
      <c r="G26" s="377"/>
      <c r="H26" s="377"/>
    </row>
    <row r="27" spans="1:8" s="1" customFormat="1" ht="19.5" customHeight="1">
      <c r="A27" s="2"/>
      <c r="B27" s="3">
        <v>75023</v>
      </c>
      <c r="C27" s="3"/>
      <c r="D27" s="3" t="s">
        <v>1061</v>
      </c>
      <c r="E27" s="4"/>
      <c r="F27" s="4">
        <f>F28</f>
        <v>10000</v>
      </c>
      <c r="G27" s="4"/>
      <c r="H27" s="4"/>
    </row>
    <row r="28" spans="1:8" s="1" customFormat="1" ht="19.5" customHeight="1">
      <c r="A28" s="86"/>
      <c r="B28" s="86"/>
      <c r="C28" s="86"/>
      <c r="D28" s="87" t="s">
        <v>173</v>
      </c>
      <c r="E28" s="66"/>
      <c r="F28" s="66">
        <f>SUM(F29)</f>
        <v>10000</v>
      </c>
      <c r="G28" s="66"/>
      <c r="H28" s="66"/>
    </row>
    <row r="29" spans="1:8" s="1" customFormat="1" ht="19.5" customHeight="1">
      <c r="A29" s="22"/>
      <c r="B29" s="22"/>
      <c r="C29" s="19" t="s">
        <v>728</v>
      </c>
      <c r="D29" s="22" t="s">
        <v>512</v>
      </c>
      <c r="E29" s="88"/>
      <c r="F29" s="88">
        <v>10000</v>
      </c>
      <c r="G29" s="88"/>
      <c r="H29" s="88"/>
    </row>
    <row r="30" spans="1:8" ht="19.5" customHeight="1" thickBot="1">
      <c r="A30" s="1022"/>
      <c r="B30" s="1022"/>
      <c r="C30" s="1022"/>
      <c r="D30" s="153" t="s">
        <v>646</v>
      </c>
      <c r="E30" s="154"/>
      <c r="F30" s="154"/>
      <c r="G30" s="154"/>
      <c r="H30" s="154">
        <f>H31</f>
        <v>109000</v>
      </c>
    </row>
    <row r="31" spans="1:8" ht="18.75" customHeight="1" thickBot="1" thickTop="1">
      <c r="A31" s="375">
        <v>710</v>
      </c>
      <c r="B31" s="375"/>
      <c r="C31" s="375"/>
      <c r="D31" s="375" t="s">
        <v>436</v>
      </c>
      <c r="E31" s="378"/>
      <c r="F31" s="378"/>
      <c r="G31" s="378"/>
      <c r="H31" s="378">
        <f>H33+H35</f>
        <v>109000</v>
      </c>
    </row>
    <row r="32" spans="1:8" ht="18" customHeight="1">
      <c r="A32" s="156"/>
      <c r="B32" s="3">
        <v>71004</v>
      </c>
      <c r="C32" s="3"/>
      <c r="D32" s="3" t="s">
        <v>437</v>
      </c>
      <c r="E32" s="148"/>
      <c r="F32" s="148"/>
      <c r="G32" s="43"/>
      <c r="H32" s="43">
        <f>H33+H35</f>
        <v>109000</v>
      </c>
    </row>
    <row r="33" spans="1:8" ht="18" customHeight="1">
      <c r="A33" s="86"/>
      <c r="B33" s="86"/>
      <c r="C33" s="122"/>
      <c r="D33" s="16" t="s">
        <v>699</v>
      </c>
      <c r="E33" s="17"/>
      <c r="F33" s="17"/>
      <c r="G33" s="169"/>
      <c r="H33" s="169">
        <f>H34</f>
        <v>10000</v>
      </c>
    </row>
    <row r="34" spans="1:8" ht="18" customHeight="1">
      <c r="A34" s="86"/>
      <c r="B34" s="86"/>
      <c r="C34" s="22">
        <v>4170</v>
      </c>
      <c r="D34" s="20" t="s">
        <v>740</v>
      </c>
      <c r="E34" s="6"/>
      <c r="F34" s="6"/>
      <c r="G34" s="6"/>
      <c r="H34" s="6">
        <v>10000</v>
      </c>
    </row>
    <row r="35" spans="1:8" s="1" customFormat="1" ht="18" customHeight="1">
      <c r="A35" s="86"/>
      <c r="B35" s="86"/>
      <c r="C35" s="86"/>
      <c r="D35" s="94" t="s">
        <v>695</v>
      </c>
      <c r="E35" s="17"/>
      <c r="F35" s="17"/>
      <c r="G35" s="17"/>
      <c r="H35" s="17">
        <f>SUM(H36:H40)</f>
        <v>99000</v>
      </c>
    </row>
    <row r="36" spans="1:8" s="1" customFormat="1" ht="18" customHeight="1">
      <c r="A36" s="86"/>
      <c r="B36" s="86"/>
      <c r="C36" s="22">
        <v>4170</v>
      </c>
      <c r="D36" s="147" t="s">
        <v>740</v>
      </c>
      <c r="E36" s="6"/>
      <c r="F36" s="6"/>
      <c r="G36" s="6"/>
      <c r="H36" s="6">
        <v>8000</v>
      </c>
    </row>
    <row r="37" spans="1:8" s="1" customFormat="1" ht="18" customHeight="1">
      <c r="A37" s="86"/>
      <c r="B37" s="86"/>
      <c r="C37" s="144">
        <v>4210</v>
      </c>
      <c r="D37" s="245" t="s">
        <v>748</v>
      </c>
      <c r="E37" s="6"/>
      <c r="F37" s="6"/>
      <c r="G37" s="6"/>
      <c r="H37" s="6">
        <f>8500+25000</f>
        <v>33500</v>
      </c>
    </row>
    <row r="38" spans="1:8" s="1" customFormat="1" ht="18" customHeight="1">
      <c r="A38" s="86"/>
      <c r="B38" s="86"/>
      <c r="C38" s="144">
        <v>4300</v>
      </c>
      <c r="D38" s="245" t="s">
        <v>815</v>
      </c>
      <c r="E38" s="6"/>
      <c r="F38" s="6"/>
      <c r="G38" s="6"/>
      <c r="H38" s="6">
        <f>500+22000</f>
        <v>22500</v>
      </c>
    </row>
    <row r="39" spans="1:8" s="1" customFormat="1" ht="18" customHeight="1">
      <c r="A39" s="86"/>
      <c r="B39" s="86"/>
      <c r="C39" s="22">
        <v>4390</v>
      </c>
      <c r="D39" s="222" t="s">
        <v>1017</v>
      </c>
      <c r="E39" s="6"/>
      <c r="F39" s="6"/>
      <c r="G39" s="6"/>
      <c r="H39" s="6">
        <v>34000</v>
      </c>
    </row>
    <row r="40" spans="1:8" s="1" customFormat="1" ht="18" customHeight="1">
      <c r="A40" s="86"/>
      <c r="B40" s="86"/>
      <c r="C40" s="144">
        <v>4430</v>
      </c>
      <c r="D40" s="245" t="s">
        <v>750</v>
      </c>
      <c r="E40" s="6"/>
      <c r="F40" s="6"/>
      <c r="G40" s="6"/>
      <c r="H40" s="6">
        <v>1000</v>
      </c>
    </row>
    <row r="41" spans="1:8" s="1" customFormat="1" ht="18" customHeight="1">
      <c r="A41" s="156"/>
      <c r="B41" s="156"/>
      <c r="C41" s="156"/>
      <c r="D41" s="7" t="s">
        <v>651</v>
      </c>
      <c r="E41" s="83">
        <f>E42+E289</f>
        <v>888546488</v>
      </c>
      <c r="F41" s="83"/>
      <c r="G41" s="83">
        <f>G469+G548</f>
        <v>26707639</v>
      </c>
      <c r="H41" s="83"/>
    </row>
    <row r="42" spans="1:8" s="1" customFormat="1" ht="18" customHeight="1">
      <c r="A42" s="2"/>
      <c r="B42" s="2"/>
      <c r="C42" s="2"/>
      <c r="D42" s="89" t="s">
        <v>614</v>
      </c>
      <c r="E42" s="90">
        <f>E43+E118+E130+E223+E237</f>
        <v>620108175</v>
      </c>
      <c r="F42" s="90"/>
      <c r="G42" s="90"/>
      <c r="H42" s="90"/>
    </row>
    <row r="43" spans="1:8" s="1" customFormat="1" ht="18" customHeight="1" thickBot="1">
      <c r="A43" s="91"/>
      <c r="B43" s="91"/>
      <c r="C43" s="91"/>
      <c r="D43" s="84" t="s">
        <v>513</v>
      </c>
      <c r="E43" s="85">
        <f>E44+E48+E59+E105+E111</f>
        <v>384712068</v>
      </c>
      <c r="F43" s="85"/>
      <c r="G43" s="85"/>
      <c r="H43" s="85"/>
    </row>
    <row r="44" spans="1:8" ht="18" customHeight="1" thickBot="1" thickTop="1">
      <c r="A44" s="381">
        <v>700</v>
      </c>
      <c r="B44" s="382"/>
      <c r="C44" s="382"/>
      <c r="D44" s="383" t="s">
        <v>433</v>
      </c>
      <c r="E44" s="384">
        <f>E45</f>
        <v>73678</v>
      </c>
      <c r="F44" s="384"/>
      <c r="G44" s="384"/>
      <c r="H44" s="384"/>
    </row>
    <row r="45" spans="1:8" s="1" customFormat="1" ht="18" customHeight="1">
      <c r="A45" s="2"/>
      <c r="B45" s="3">
        <v>70005</v>
      </c>
      <c r="C45" s="3"/>
      <c r="D45" s="3" t="s">
        <v>435</v>
      </c>
      <c r="E45" s="4">
        <f>E46</f>
        <v>73678</v>
      </c>
      <c r="F45" s="4"/>
      <c r="G45" s="4"/>
      <c r="H45" s="4"/>
    </row>
    <row r="46" spans="1:8" s="1" customFormat="1" ht="18" customHeight="1">
      <c r="A46" s="86"/>
      <c r="B46" s="86"/>
      <c r="C46" s="30"/>
      <c r="D46" s="74" t="s">
        <v>110</v>
      </c>
      <c r="E46" s="17">
        <f>E47</f>
        <v>73678</v>
      </c>
      <c r="F46" s="17"/>
      <c r="G46" s="17"/>
      <c r="H46" s="17"/>
    </row>
    <row r="47" spans="1:8" s="1" customFormat="1" ht="18" customHeight="1">
      <c r="A47" s="18"/>
      <c r="B47" s="18"/>
      <c r="C47" s="19" t="s">
        <v>1064</v>
      </c>
      <c r="D47" s="20" t="s">
        <v>882</v>
      </c>
      <c r="E47" s="6">
        <v>73678</v>
      </c>
      <c r="F47" s="6"/>
      <c r="G47" s="6"/>
      <c r="H47" s="6"/>
    </row>
    <row r="48" spans="1:8" ht="18" customHeight="1" thickBot="1">
      <c r="A48" s="425">
        <v>750</v>
      </c>
      <c r="B48" s="405"/>
      <c r="C48" s="382"/>
      <c r="D48" s="383" t="s">
        <v>439</v>
      </c>
      <c r="E48" s="384">
        <f>E49+E52</f>
        <v>157811</v>
      </c>
      <c r="F48" s="384"/>
      <c r="G48" s="384"/>
      <c r="H48" s="384"/>
    </row>
    <row r="49" spans="1:8" s="1" customFormat="1" ht="18" customHeight="1">
      <c r="A49" s="2"/>
      <c r="B49" s="3">
        <v>75011</v>
      </c>
      <c r="C49" s="3"/>
      <c r="D49" s="3" t="s">
        <v>1049</v>
      </c>
      <c r="E49" s="4">
        <f>E50</f>
        <v>82000</v>
      </c>
      <c r="F49" s="4"/>
      <c r="G49" s="4"/>
      <c r="H49" s="4"/>
    </row>
    <row r="50" spans="1:8" s="1" customFormat="1" ht="27.75" customHeight="1">
      <c r="A50" s="86"/>
      <c r="B50" s="86"/>
      <c r="C50" s="30"/>
      <c r="D50" s="74" t="s">
        <v>424</v>
      </c>
      <c r="E50" s="17">
        <f>E51</f>
        <v>82000</v>
      </c>
      <c r="F50" s="17"/>
      <c r="G50" s="17"/>
      <c r="H50" s="17"/>
    </row>
    <row r="51" spans="1:8" s="1" customFormat="1" ht="25.5" customHeight="1">
      <c r="A51" s="18"/>
      <c r="B51" s="18"/>
      <c r="C51" s="19">
        <v>2360</v>
      </c>
      <c r="D51" s="20" t="s">
        <v>454</v>
      </c>
      <c r="E51" s="6">
        <v>82000</v>
      </c>
      <c r="F51" s="6"/>
      <c r="G51" s="6"/>
      <c r="H51" s="6"/>
    </row>
    <row r="52" spans="1:8" s="1" customFormat="1" ht="17.25" customHeight="1">
      <c r="A52" s="2"/>
      <c r="B52" s="13">
        <v>75023</v>
      </c>
      <c r="C52" s="13"/>
      <c r="D52" s="13" t="s">
        <v>1061</v>
      </c>
      <c r="E52" s="15">
        <f>E53+E55+E57</f>
        <v>75811</v>
      </c>
      <c r="F52" s="15"/>
      <c r="G52" s="15"/>
      <c r="H52" s="15"/>
    </row>
    <row r="53" spans="1:8" s="1" customFormat="1" ht="16.5" customHeight="1">
      <c r="A53" s="86"/>
      <c r="B53" s="86"/>
      <c r="C53" s="30"/>
      <c r="D53" s="74" t="s">
        <v>1063</v>
      </c>
      <c r="E53" s="17">
        <f>E54</f>
        <v>15000</v>
      </c>
      <c r="F53" s="17"/>
      <c r="G53" s="17"/>
      <c r="H53" s="17"/>
    </row>
    <row r="54" spans="1:8" s="1" customFormat="1" ht="16.5" customHeight="1">
      <c r="A54" s="18"/>
      <c r="B54" s="18"/>
      <c r="C54" s="19" t="s">
        <v>1064</v>
      </c>
      <c r="D54" s="20" t="s">
        <v>882</v>
      </c>
      <c r="E54" s="6">
        <v>15000</v>
      </c>
      <c r="F54" s="6"/>
      <c r="G54" s="6"/>
      <c r="H54" s="6"/>
    </row>
    <row r="55" spans="1:8" s="1" customFormat="1" ht="39" customHeight="1">
      <c r="A55" s="86"/>
      <c r="B55" s="86"/>
      <c r="C55" s="30"/>
      <c r="D55" s="12" t="s">
        <v>881</v>
      </c>
      <c r="E55" s="17">
        <f>E56</f>
        <v>11200</v>
      </c>
      <c r="F55" s="17"/>
      <c r="G55" s="17"/>
      <c r="H55" s="17"/>
    </row>
    <row r="56" spans="1:8" s="1" customFormat="1" ht="18" customHeight="1">
      <c r="A56" s="18"/>
      <c r="B56" s="18"/>
      <c r="C56" s="19" t="s">
        <v>1064</v>
      </c>
      <c r="D56" s="22" t="s">
        <v>882</v>
      </c>
      <c r="E56" s="6">
        <v>11200</v>
      </c>
      <c r="F56" s="6"/>
      <c r="G56" s="6"/>
      <c r="H56" s="6"/>
    </row>
    <row r="57" spans="1:8" s="1" customFormat="1" ht="18" customHeight="1">
      <c r="A57" s="86"/>
      <c r="B57" s="86"/>
      <c r="C57" s="30"/>
      <c r="D57" s="12" t="s">
        <v>111</v>
      </c>
      <c r="E57" s="17">
        <f>E58</f>
        <v>49611</v>
      </c>
      <c r="F57" s="17"/>
      <c r="G57" s="17"/>
      <c r="H57" s="17"/>
    </row>
    <row r="58" spans="1:8" s="1" customFormat="1" ht="18" customHeight="1">
      <c r="A58" s="22"/>
      <c r="B58" s="22"/>
      <c r="C58" s="19">
        <v>2400</v>
      </c>
      <c r="D58" s="22" t="s">
        <v>112</v>
      </c>
      <c r="E58" s="6">
        <v>49611</v>
      </c>
      <c r="F58" s="6"/>
      <c r="G58" s="6"/>
      <c r="H58" s="6"/>
    </row>
    <row r="59" spans="1:8" ht="31.5" customHeight="1" thickBot="1">
      <c r="A59" s="425">
        <v>756</v>
      </c>
      <c r="B59" s="405"/>
      <c r="C59" s="405"/>
      <c r="D59" s="426" t="s">
        <v>380</v>
      </c>
      <c r="E59" s="406">
        <f>E60+E65+E78+E95+E100</f>
        <v>383393882</v>
      </c>
      <c r="F59" s="406"/>
      <c r="G59" s="406"/>
      <c r="H59" s="406"/>
    </row>
    <row r="60" spans="1:8" s="1" customFormat="1" ht="21.75" customHeight="1">
      <c r="A60" s="2"/>
      <c r="B60" s="3">
        <v>75601</v>
      </c>
      <c r="C60" s="3"/>
      <c r="D60" s="67" t="s">
        <v>883</v>
      </c>
      <c r="E60" s="4">
        <f>E61+E63</f>
        <v>1460000</v>
      </c>
      <c r="F60" s="4"/>
      <c r="G60" s="4"/>
      <c r="H60" s="4"/>
    </row>
    <row r="61" spans="1:8" s="1" customFormat="1" ht="25.5">
      <c r="A61" s="2"/>
      <c r="B61" s="5"/>
      <c r="C61" s="5"/>
      <c r="D61" s="16" t="s">
        <v>1006</v>
      </c>
      <c r="E61" s="17">
        <f>E62</f>
        <v>1400000</v>
      </c>
      <c r="F61" s="17"/>
      <c r="G61" s="17"/>
      <c r="H61" s="17"/>
    </row>
    <row r="62" spans="1:8" s="1" customFormat="1" ht="25.5">
      <c r="A62" s="18"/>
      <c r="B62" s="18"/>
      <c r="C62" s="19" t="s">
        <v>1065</v>
      </c>
      <c r="D62" s="20" t="s">
        <v>233</v>
      </c>
      <c r="E62" s="6">
        <v>1400000</v>
      </c>
      <c r="F62" s="6"/>
      <c r="G62" s="6"/>
      <c r="H62" s="6"/>
    </row>
    <row r="63" spans="1:8" s="1" customFormat="1" ht="18.75" customHeight="1">
      <c r="A63" s="18"/>
      <c r="B63" s="18"/>
      <c r="C63" s="21"/>
      <c r="D63" s="16" t="s">
        <v>234</v>
      </c>
      <c r="E63" s="17">
        <f>E64</f>
        <v>60000</v>
      </c>
      <c r="F63" s="17"/>
      <c r="G63" s="17"/>
      <c r="H63" s="17"/>
    </row>
    <row r="64" spans="1:8" s="1" customFormat="1" ht="18.75" customHeight="1">
      <c r="A64" s="18"/>
      <c r="B64" s="22"/>
      <c r="C64" s="19" t="s">
        <v>1066</v>
      </c>
      <c r="D64" s="20" t="s">
        <v>235</v>
      </c>
      <c r="E64" s="6">
        <v>60000</v>
      </c>
      <c r="F64" s="6"/>
      <c r="G64" s="6"/>
      <c r="H64" s="6"/>
    </row>
    <row r="65" spans="1:8" s="1" customFormat="1" ht="32.25" customHeight="1">
      <c r="A65" s="2"/>
      <c r="B65" s="3">
        <v>75615</v>
      </c>
      <c r="C65" s="13"/>
      <c r="D65" s="14" t="s">
        <v>1102</v>
      </c>
      <c r="E65" s="15">
        <f>E66+E68+E70+E72+E74+E76</f>
        <v>106326200</v>
      </c>
      <c r="F65" s="15"/>
      <c r="G65" s="15"/>
      <c r="H65" s="15"/>
    </row>
    <row r="66" spans="1:8" s="1" customFormat="1" ht="19.5" customHeight="1">
      <c r="A66" s="2"/>
      <c r="B66" s="2"/>
      <c r="C66" s="5"/>
      <c r="D66" s="87" t="s">
        <v>236</v>
      </c>
      <c r="E66" s="17">
        <f>E67</f>
        <v>96500000</v>
      </c>
      <c r="F66" s="17"/>
      <c r="G66" s="17"/>
      <c r="H66" s="17"/>
    </row>
    <row r="67" spans="1:8" s="1" customFormat="1" ht="19.5" customHeight="1">
      <c r="A67" s="18"/>
      <c r="B67" s="18"/>
      <c r="C67" s="19" t="s">
        <v>1067</v>
      </c>
      <c r="D67" s="22" t="s">
        <v>683</v>
      </c>
      <c r="E67" s="6">
        <v>96500000</v>
      </c>
      <c r="F67" s="6"/>
      <c r="G67" s="6"/>
      <c r="H67" s="6"/>
    </row>
    <row r="68" spans="1:8" s="1" customFormat="1" ht="19.5" customHeight="1">
      <c r="A68" s="18"/>
      <c r="B68" s="18"/>
      <c r="C68" s="21"/>
      <c r="D68" s="87" t="s">
        <v>237</v>
      </c>
      <c r="E68" s="17">
        <f>E69</f>
        <v>8400</v>
      </c>
      <c r="F68" s="17"/>
      <c r="G68" s="17"/>
      <c r="H68" s="17"/>
    </row>
    <row r="69" spans="1:8" s="1" customFormat="1" ht="19.5" customHeight="1">
      <c r="A69" s="18"/>
      <c r="B69" s="18"/>
      <c r="C69" s="19" t="s">
        <v>1068</v>
      </c>
      <c r="D69" s="22" t="s">
        <v>238</v>
      </c>
      <c r="E69" s="6">
        <v>8400</v>
      </c>
      <c r="F69" s="6"/>
      <c r="G69" s="6"/>
      <c r="H69" s="6"/>
    </row>
    <row r="70" spans="1:8" s="1" customFormat="1" ht="19.5" customHeight="1">
      <c r="A70" s="18"/>
      <c r="B70" s="18"/>
      <c r="C70" s="21"/>
      <c r="D70" s="16" t="s">
        <v>239</v>
      </c>
      <c r="E70" s="66">
        <f>E71</f>
        <v>17800</v>
      </c>
      <c r="F70" s="66"/>
      <c r="G70" s="66"/>
      <c r="H70" s="66"/>
    </row>
    <row r="71" spans="1:8" s="1" customFormat="1" ht="19.5" customHeight="1">
      <c r="A71" s="18"/>
      <c r="B71" s="18"/>
      <c r="C71" s="19" t="s">
        <v>1069</v>
      </c>
      <c r="D71" s="20" t="s">
        <v>240</v>
      </c>
      <c r="E71" s="6">
        <v>17800</v>
      </c>
      <c r="F71" s="6"/>
      <c r="G71" s="6"/>
      <c r="H71" s="6"/>
    </row>
    <row r="72" spans="1:8" s="1" customFormat="1" ht="19.5" customHeight="1">
      <c r="A72" s="18"/>
      <c r="B72" s="18"/>
      <c r="C72" s="92"/>
      <c r="D72" s="93" t="s">
        <v>648</v>
      </c>
      <c r="E72" s="66">
        <f>E73</f>
        <v>4900000</v>
      </c>
      <c r="F72" s="66"/>
      <c r="G72" s="66"/>
      <c r="H72" s="66"/>
    </row>
    <row r="73" spans="1:8" s="1" customFormat="1" ht="19.5" customHeight="1">
      <c r="A73" s="18"/>
      <c r="B73" s="18"/>
      <c r="C73" s="19" t="s">
        <v>1070</v>
      </c>
      <c r="D73" s="20" t="s">
        <v>649</v>
      </c>
      <c r="E73" s="6">
        <v>4900000</v>
      </c>
      <c r="F73" s="6"/>
      <c r="G73" s="6"/>
      <c r="H73" s="6"/>
    </row>
    <row r="74" spans="1:8" s="1" customFormat="1" ht="19.5" customHeight="1">
      <c r="A74" s="18"/>
      <c r="B74" s="18"/>
      <c r="C74" s="92"/>
      <c r="D74" s="93" t="s">
        <v>38</v>
      </c>
      <c r="E74" s="66">
        <f>E75</f>
        <v>3400000</v>
      </c>
      <c r="F74" s="66"/>
      <c r="G74" s="66"/>
      <c r="H74" s="66"/>
    </row>
    <row r="75" spans="1:8" s="1" customFormat="1" ht="19.5" customHeight="1">
      <c r="A75" s="18"/>
      <c r="B75" s="18"/>
      <c r="C75" s="19" t="s">
        <v>1076</v>
      </c>
      <c r="D75" s="20" t="s">
        <v>39</v>
      </c>
      <c r="E75" s="6">
        <v>3400000</v>
      </c>
      <c r="F75" s="6"/>
      <c r="G75" s="6"/>
      <c r="H75" s="6"/>
    </row>
    <row r="76" spans="1:8" s="1" customFormat="1" ht="19.5" customHeight="1">
      <c r="A76" s="18"/>
      <c r="B76" s="18"/>
      <c r="C76" s="21"/>
      <c r="D76" s="16" t="s">
        <v>40</v>
      </c>
      <c r="E76" s="17">
        <f>E77</f>
        <v>1500000</v>
      </c>
      <c r="F76" s="17"/>
      <c r="G76" s="9"/>
      <c r="H76" s="9"/>
    </row>
    <row r="77" spans="1:8" s="1" customFormat="1" ht="19.5" customHeight="1">
      <c r="A77" s="18"/>
      <c r="B77" s="22"/>
      <c r="C77" s="19" t="s">
        <v>1066</v>
      </c>
      <c r="D77" s="20" t="s">
        <v>235</v>
      </c>
      <c r="E77" s="6">
        <v>1500000</v>
      </c>
      <c r="F77" s="6"/>
      <c r="G77" s="6"/>
      <c r="H77" s="6"/>
    </row>
    <row r="78" spans="1:8" s="1" customFormat="1" ht="38.25">
      <c r="A78" s="2"/>
      <c r="B78" s="3">
        <v>75616</v>
      </c>
      <c r="C78" s="13"/>
      <c r="D78" s="14" t="s">
        <v>501</v>
      </c>
      <c r="E78" s="15">
        <f>E79+E81+E83+E85+E87+E89+E91+E93</f>
        <v>37248500</v>
      </c>
      <c r="F78" s="15"/>
      <c r="G78" s="15"/>
      <c r="H78" s="15"/>
    </row>
    <row r="79" spans="1:8" s="1" customFormat="1" ht="18.75" customHeight="1">
      <c r="A79" s="2"/>
      <c r="B79" s="2"/>
      <c r="C79" s="5"/>
      <c r="D79" s="87" t="s">
        <v>236</v>
      </c>
      <c r="E79" s="17">
        <f>E80</f>
        <v>17000000</v>
      </c>
      <c r="F79" s="17"/>
      <c r="G79" s="17"/>
      <c r="H79" s="17"/>
    </row>
    <row r="80" spans="1:8" s="1" customFormat="1" ht="18.75" customHeight="1">
      <c r="A80" s="18"/>
      <c r="B80" s="18"/>
      <c r="C80" s="19" t="s">
        <v>1067</v>
      </c>
      <c r="D80" s="22" t="s">
        <v>683</v>
      </c>
      <c r="E80" s="6">
        <v>17000000</v>
      </c>
      <c r="F80" s="6"/>
      <c r="G80" s="6"/>
      <c r="H80" s="6"/>
    </row>
    <row r="81" spans="1:8" s="1" customFormat="1" ht="18.75" customHeight="1">
      <c r="A81" s="18"/>
      <c r="B81" s="18"/>
      <c r="C81" s="92"/>
      <c r="D81" s="94" t="s">
        <v>237</v>
      </c>
      <c r="E81" s="66">
        <f>E82</f>
        <v>640000</v>
      </c>
      <c r="F81" s="66"/>
      <c r="G81" s="66"/>
      <c r="H81" s="66"/>
    </row>
    <row r="82" spans="1:8" s="1" customFormat="1" ht="18.75" customHeight="1">
      <c r="A82" s="18"/>
      <c r="B82" s="18"/>
      <c r="C82" s="19" t="s">
        <v>1068</v>
      </c>
      <c r="D82" s="22" t="s">
        <v>238</v>
      </c>
      <c r="E82" s="6">
        <v>640000</v>
      </c>
      <c r="F82" s="6"/>
      <c r="G82" s="6"/>
      <c r="H82" s="6"/>
    </row>
    <row r="83" spans="1:8" s="1" customFormat="1" ht="18.75" customHeight="1">
      <c r="A83" s="18"/>
      <c r="B83" s="18"/>
      <c r="C83" s="21"/>
      <c r="D83" s="16" t="s">
        <v>239</v>
      </c>
      <c r="E83" s="66">
        <f>E84</f>
        <v>8500</v>
      </c>
      <c r="F83" s="66"/>
      <c r="G83" s="66"/>
      <c r="H83" s="66"/>
    </row>
    <row r="84" spans="1:8" s="1" customFormat="1" ht="18.75" customHeight="1">
      <c r="A84" s="22"/>
      <c r="B84" s="22"/>
      <c r="C84" s="19" t="s">
        <v>1069</v>
      </c>
      <c r="D84" s="20" t="s">
        <v>240</v>
      </c>
      <c r="E84" s="6">
        <v>8500</v>
      </c>
      <c r="F84" s="6"/>
      <c r="G84" s="6"/>
      <c r="H84" s="6"/>
    </row>
    <row r="85" spans="1:8" s="1" customFormat="1" ht="18.75" customHeight="1">
      <c r="A85" s="128"/>
      <c r="B85" s="128"/>
      <c r="C85" s="21"/>
      <c r="D85" s="16" t="s">
        <v>648</v>
      </c>
      <c r="E85" s="17">
        <f>E86</f>
        <v>2800000</v>
      </c>
      <c r="F85" s="17"/>
      <c r="G85" s="17"/>
      <c r="H85" s="17"/>
    </row>
    <row r="86" spans="1:8" s="1" customFormat="1" ht="18.75" customHeight="1">
      <c r="A86" s="18"/>
      <c r="B86" s="18"/>
      <c r="C86" s="19" t="s">
        <v>1070</v>
      </c>
      <c r="D86" s="20" t="s">
        <v>649</v>
      </c>
      <c r="E86" s="6">
        <v>2800000</v>
      </c>
      <c r="F86" s="6"/>
      <c r="G86" s="6"/>
      <c r="H86" s="6"/>
    </row>
    <row r="87" spans="1:8" s="1" customFormat="1" ht="18.75" customHeight="1">
      <c r="A87" s="18"/>
      <c r="B87" s="18"/>
      <c r="C87" s="21"/>
      <c r="D87" s="95" t="s">
        <v>41</v>
      </c>
      <c r="E87" s="96">
        <f>E88</f>
        <v>2500000</v>
      </c>
      <c r="F87" s="96"/>
      <c r="G87" s="96"/>
      <c r="H87" s="96"/>
    </row>
    <row r="88" spans="1:8" s="1" customFormat="1" ht="18.75" customHeight="1">
      <c r="A88" s="18"/>
      <c r="B88" s="18"/>
      <c r="C88" s="19" t="s">
        <v>1074</v>
      </c>
      <c r="D88" s="26" t="s">
        <v>598</v>
      </c>
      <c r="E88" s="97">
        <v>2500000</v>
      </c>
      <c r="F88" s="97"/>
      <c r="G88" s="97"/>
      <c r="H88" s="97"/>
    </row>
    <row r="89" spans="1:8" s="1" customFormat="1" ht="17.25" customHeight="1">
      <c r="A89" s="18"/>
      <c r="B89" s="18"/>
      <c r="C89" s="21"/>
      <c r="D89" s="95" t="s">
        <v>599</v>
      </c>
      <c r="E89" s="44">
        <f>E90</f>
        <v>300000</v>
      </c>
      <c r="F89" s="44"/>
      <c r="G89" s="44"/>
      <c r="H89" s="44"/>
    </row>
    <row r="90" spans="1:8" s="1" customFormat="1" ht="16.5" customHeight="1">
      <c r="A90" s="18"/>
      <c r="B90" s="18"/>
      <c r="C90" s="19" t="s">
        <v>1075</v>
      </c>
      <c r="D90" s="26" t="s">
        <v>722</v>
      </c>
      <c r="E90" s="98">
        <v>300000</v>
      </c>
      <c r="F90" s="98"/>
      <c r="G90" s="98"/>
      <c r="H90" s="98"/>
    </row>
    <row r="91" spans="1:8" s="1" customFormat="1" ht="17.25" customHeight="1">
      <c r="A91" s="18"/>
      <c r="B91" s="18"/>
      <c r="C91" s="92"/>
      <c r="D91" s="93" t="s">
        <v>38</v>
      </c>
      <c r="E91" s="66">
        <f>E92</f>
        <v>13000000</v>
      </c>
      <c r="F91" s="66"/>
      <c r="G91" s="66"/>
      <c r="H91" s="66"/>
    </row>
    <row r="92" spans="1:8" s="1" customFormat="1" ht="16.5" customHeight="1">
      <c r="A92" s="18"/>
      <c r="B92" s="18"/>
      <c r="C92" s="19" t="s">
        <v>1076</v>
      </c>
      <c r="D92" s="20" t="s">
        <v>39</v>
      </c>
      <c r="E92" s="6">
        <v>13000000</v>
      </c>
      <c r="F92" s="6"/>
      <c r="G92" s="6"/>
      <c r="H92" s="6"/>
    </row>
    <row r="93" spans="1:8" s="1" customFormat="1" ht="16.5" customHeight="1">
      <c r="A93" s="18"/>
      <c r="B93" s="18"/>
      <c r="C93" s="21"/>
      <c r="D93" s="16" t="s">
        <v>40</v>
      </c>
      <c r="E93" s="17">
        <f>E94</f>
        <v>1000000</v>
      </c>
      <c r="F93" s="17"/>
      <c r="G93" s="9"/>
      <c r="H93" s="9"/>
    </row>
    <row r="94" spans="1:8" s="1" customFormat="1" ht="18.75" customHeight="1">
      <c r="A94" s="18"/>
      <c r="B94" s="22"/>
      <c r="C94" s="19" t="s">
        <v>1066</v>
      </c>
      <c r="D94" s="20" t="s">
        <v>235</v>
      </c>
      <c r="E94" s="6">
        <v>1000000</v>
      </c>
      <c r="F94" s="6"/>
      <c r="G94" s="6"/>
      <c r="H94" s="6"/>
    </row>
    <row r="95" spans="1:8" s="1" customFormat="1" ht="25.5">
      <c r="A95" s="2"/>
      <c r="B95" s="25">
        <v>75618</v>
      </c>
      <c r="C95" s="99"/>
      <c r="D95" s="23" t="s">
        <v>989</v>
      </c>
      <c r="E95" s="4">
        <f>E96+E98</f>
        <v>8605000</v>
      </c>
      <c r="F95" s="4"/>
      <c r="G95" s="4"/>
      <c r="H95" s="4"/>
    </row>
    <row r="96" spans="1:8" s="1" customFormat="1" ht="18" customHeight="1">
      <c r="A96" s="2"/>
      <c r="B96" s="36"/>
      <c r="C96" s="100"/>
      <c r="D96" s="101" t="s">
        <v>724</v>
      </c>
      <c r="E96" s="17">
        <f>E97</f>
        <v>8600000</v>
      </c>
      <c r="F96" s="17"/>
      <c r="G96" s="17"/>
      <c r="H96" s="17"/>
    </row>
    <row r="97" spans="1:8" s="1" customFormat="1" ht="18" customHeight="1">
      <c r="A97" s="18"/>
      <c r="B97" s="18"/>
      <c r="C97" s="68" t="s">
        <v>1077</v>
      </c>
      <c r="D97" s="69" t="s">
        <v>877</v>
      </c>
      <c r="E97" s="98">
        <v>8600000</v>
      </c>
      <c r="F97" s="98"/>
      <c r="G97" s="98"/>
      <c r="H97" s="98"/>
    </row>
    <row r="98" spans="1:8" s="1" customFormat="1" ht="18" customHeight="1">
      <c r="A98" s="18"/>
      <c r="B98" s="18"/>
      <c r="C98" s="92"/>
      <c r="D98" s="75" t="s">
        <v>174</v>
      </c>
      <c r="E98" s="102">
        <f>E99</f>
        <v>5000</v>
      </c>
      <c r="F98" s="102"/>
      <c r="G98" s="103"/>
      <c r="H98" s="103"/>
    </row>
    <row r="99" spans="1:8" s="1" customFormat="1" ht="18" customHeight="1">
      <c r="A99" s="18"/>
      <c r="B99" s="22"/>
      <c r="C99" s="19" t="s">
        <v>1066</v>
      </c>
      <c r="D99" s="20" t="s">
        <v>235</v>
      </c>
      <c r="E99" s="98">
        <v>5000</v>
      </c>
      <c r="F99" s="98"/>
      <c r="G99" s="98"/>
      <c r="H99" s="98"/>
    </row>
    <row r="100" spans="1:8" s="1" customFormat="1" ht="15.75" customHeight="1">
      <c r="A100" s="2"/>
      <c r="B100" s="104">
        <v>75621</v>
      </c>
      <c r="C100" s="362"/>
      <c r="D100" s="363" t="s">
        <v>878</v>
      </c>
      <c r="E100" s="15">
        <f>E101+E103</f>
        <v>229754182</v>
      </c>
      <c r="F100" s="15"/>
      <c r="G100" s="15"/>
      <c r="H100" s="15"/>
    </row>
    <row r="101" spans="1:8" s="1" customFormat="1" ht="15.75" customHeight="1">
      <c r="A101" s="2"/>
      <c r="B101" s="36"/>
      <c r="C101" s="100"/>
      <c r="D101" s="101" t="s">
        <v>879</v>
      </c>
      <c r="E101" s="44">
        <f>E102</f>
        <v>209754182</v>
      </c>
      <c r="F101" s="44"/>
      <c r="G101" s="44"/>
      <c r="H101" s="44"/>
    </row>
    <row r="102" spans="1:8" s="1" customFormat="1" ht="18" customHeight="1">
      <c r="A102" s="18"/>
      <c r="B102" s="18"/>
      <c r="C102" s="68" t="s">
        <v>1078</v>
      </c>
      <c r="D102" s="69" t="s">
        <v>381</v>
      </c>
      <c r="E102" s="98">
        <v>209754182</v>
      </c>
      <c r="F102" s="98"/>
      <c r="G102" s="98"/>
      <c r="H102" s="98"/>
    </row>
    <row r="103" spans="1:8" s="1" customFormat="1" ht="18" customHeight="1">
      <c r="A103" s="18"/>
      <c r="B103" s="18"/>
      <c r="C103" s="21"/>
      <c r="D103" s="101" t="s">
        <v>382</v>
      </c>
      <c r="E103" s="96">
        <f>E104</f>
        <v>20000000</v>
      </c>
      <c r="F103" s="96"/>
      <c r="G103" s="96"/>
      <c r="H103" s="96"/>
    </row>
    <row r="104" spans="1:8" s="1" customFormat="1" ht="18" customHeight="1">
      <c r="A104" s="22"/>
      <c r="B104" s="22"/>
      <c r="C104" s="68" t="s">
        <v>1079</v>
      </c>
      <c r="D104" s="69" t="s">
        <v>383</v>
      </c>
      <c r="E104" s="97">
        <v>20000000</v>
      </c>
      <c r="F104" s="97"/>
      <c r="G104" s="97"/>
      <c r="H104" s="97"/>
    </row>
    <row r="105" spans="1:8" ht="17.25" customHeight="1" thickBot="1">
      <c r="A105" s="381">
        <v>758</v>
      </c>
      <c r="B105" s="382"/>
      <c r="C105" s="382"/>
      <c r="D105" s="383" t="s">
        <v>446</v>
      </c>
      <c r="E105" s="384">
        <f>E106</f>
        <v>1079997</v>
      </c>
      <c r="F105" s="384"/>
      <c r="G105" s="384"/>
      <c r="H105" s="384"/>
    </row>
    <row r="106" spans="1:8" s="1" customFormat="1" ht="19.5" customHeight="1">
      <c r="A106" s="2"/>
      <c r="B106" s="3">
        <v>75814</v>
      </c>
      <c r="C106" s="105"/>
      <c r="D106" s="37" t="s">
        <v>384</v>
      </c>
      <c r="E106" s="34">
        <f>E107+E109</f>
        <v>1079997</v>
      </c>
      <c r="F106" s="34"/>
      <c r="G106" s="34"/>
      <c r="H106" s="34"/>
    </row>
    <row r="107" spans="1:8" s="1" customFormat="1" ht="19.5" customHeight="1">
      <c r="A107" s="86"/>
      <c r="B107" s="28"/>
      <c r="C107" s="106"/>
      <c r="D107" s="87" t="s">
        <v>281</v>
      </c>
      <c r="E107" s="66">
        <f>E108</f>
        <v>1000000</v>
      </c>
      <c r="F107" s="66"/>
      <c r="G107" s="66"/>
      <c r="H107" s="66"/>
    </row>
    <row r="108" spans="1:8" s="1" customFormat="1" ht="19.5" customHeight="1">
      <c r="A108" s="86"/>
      <c r="B108" s="30"/>
      <c r="C108" s="68" t="s">
        <v>1080</v>
      </c>
      <c r="D108" s="69" t="s">
        <v>282</v>
      </c>
      <c r="E108" s="98">
        <v>1000000</v>
      </c>
      <c r="F108" s="98"/>
      <c r="G108" s="98"/>
      <c r="H108" s="98"/>
    </row>
    <row r="109" spans="1:8" s="1" customFormat="1" ht="16.5" customHeight="1">
      <c r="A109" s="86"/>
      <c r="B109" s="30"/>
      <c r="C109" s="106"/>
      <c r="D109" s="87" t="s">
        <v>113</v>
      </c>
      <c r="E109" s="66">
        <f>E110</f>
        <v>79997</v>
      </c>
      <c r="F109" s="66"/>
      <c r="G109" s="66"/>
      <c r="H109" s="66"/>
    </row>
    <row r="110" spans="1:8" s="1" customFormat="1" ht="17.25" customHeight="1">
      <c r="A110" s="107"/>
      <c r="B110" s="108"/>
      <c r="C110" s="68" t="s">
        <v>1064</v>
      </c>
      <c r="D110" s="69" t="s">
        <v>882</v>
      </c>
      <c r="E110" s="98">
        <v>79997</v>
      </c>
      <c r="F110" s="98"/>
      <c r="G110" s="98"/>
      <c r="H110" s="98"/>
    </row>
    <row r="111" spans="1:8" ht="17.25" customHeight="1" thickBot="1">
      <c r="A111" s="381">
        <v>852</v>
      </c>
      <c r="B111" s="382"/>
      <c r="C111" s="382"/>
      <c r="D111" s="383" t="s">
        <v>129</v>
      </c>
      <c r="E111" s="384">
        <f>E112+E115</f>
        <v>6700</v>
      </c>
      <c r="F111" s="384"/>
      <c r="G111" s="384"/>
      <c r="H111" s="384"/>
    </row>
    <row r="112" spans="1:8" s="1" customFormat="1" ht="19.5" customHeight="1">
      <c r="A112" s="109"/>
      <c r="B112" s="110">
        <v>85203</v>
      </c>
      <c r="C112" s="110"/>
      <c r="D112" s="111" t="s">
        <v>126</v>
      </c>
      <c r="E112" s="112">
        <f>E113</f>
        <v>1500</v>
      </c>
      <c r="F112" s="112"/>
      <c r="G112" s="112"/>
      <c r="H112" s="112"/>
    </row>
    <row r="113" spans="1:8" s="1" customFormat="1" ht="25.5" customHeight="1">
      <c r="A113" s="109"/>
      <c r="B113" s="109"/>
      <c r="C113" s="109"/>
      <c r="D113" s="113" t="s">
        <v>275</v>
      </c>
      <c r="E113" s="114">
        <f>E114</f>
        <v>1500</v>
      </c>
      <c r="F113" s="114"/>
      <c r="G113" s="114"/>
      <c r="H113" s="114"/>
    </row>
    <row r="114" spans="1:8" s="1" customFormat="1" ht="25.5" customHeight="1">
      <c r="A114" s="110"/>
      <c r="B114" s="110"/>
      <c r="C114" s="19">
        <v>2360</v>
      </c>
      <c r="D114" s="20" t="s">
        <v>454</v>
      </c>
      <c r="E114" s="115">
        <v>1500</v>
      </c>
      <c r="F114" s="115"/>
      <c r="G114" s="115"/>
      <c r="H114" s="115"/>
    </row>
    <row r="115" spans="1:8" s="1" customFormat="1" ht="19.5" customHeight="1">
      <c r="A115" s="1023"/>
      <c r="B115" s="116">
        <v>85228</v>
      </c>
      <c r="C115" s="116"/>
      <c r="D115" s="117" t="s">
        <v>616</v>
      </c>
      <c r="E115" s="118">
        <f>E116</f>
        <v>5200</v>
      </c>
      <c r="F115" s="118"/>
      <c r="G115" s="118"/>
      <c r="H115" s="118"/>
    </row>
    <row r="116" spans="1:8" s="1" customFormat="1" ht="19.5" customHeight="1">
      <c r="A116" s="109"/>
      <c r="B116" s="109"/>
      <c r="C116" s="109"/>
      <c r="D116" s="119" t="s">
        <v>276</v>
      </c>
      <c r="E116" s="120">
        <f>E117</f>
        <v>5200</v>
      </c>
      <c r="F116" s="120"/>
      <c r="G116" s="120"/>
      <c r="H116" s="120"/>
    </row>
    <row r="117" spans="1:8" s="1" customFormat="1" ht="25.5" customHeight="1">
      <c r="A117" s="109"/>
      <c r="B117" s="109"/>
      <c r="C117" s="19">
        <v>2360</v>
      </c>
      <c r="D117" s="20" t="s">
        <v>454</v>
      </c>
      <c r="E117" s="121">
        <v>5200</v>
      </c>
      <c r="F117" s="121"/>
      <c r="G117" s="115"/>
      <c r="H117" s="115"/>
    </row>
    <row r="118" spans="1:8" s="8" customFormat="1" ht="21.75" customHeight="1" thickBot="1">
      <c r="A118" s="45"/>
      <c r="B118" s="45"/>
      <c r="C118" s="45"/>
      <c r="D118" s="46" t="s">
        <v>565</v>
      </c>
      <c r="E118" s="24">
        <f>E119+E123</f>
        <v>115171669</v>
      </c>
      <c r="F118" s="24"/>
      <c r="G118" s="24"/>
      <c r="H118" s="24"/>
    </row>
    <row r="119" spans="1:8" ht="27" thickBot="1" thickTop="1">
      <c r="A119" s="381">
        <v>756</v>
      </c>
      <c r="B119" s="382"/>
      <c r="C119" s="382"/>
      <c r="D119" s="383" t="s">
        <v>380</v>
      </c>
      <c r="E119" s="384">
        <f>E120</f>
        <v>1100000</v>
      </c>
      <c r="F119" s="384"/>
      <c r="G119" s="384"/>
      <c r="H119" s="384"/>
    </row>
    <row r="120" spans="1:8" s="1" customFormat="1" ht="38.25">
      <c r="A120" s="2"/>
      <c r="B120" s="3">
        <v>75615</v>
      </c>
      <c r="C120" s="35"/>
      <c r="D120" s="67" t="s">
        <v>1102</v>
      </c>
      <c r="E120" s="43">
        <f>E121</f>
        <v>1100000</v>
      </c>
      <c r="F120" s="43"/>
      <c r="G120" s="43"/>
      <c r="H120" s="43"/>
    </row>
    <row r="121" spans="1:8" s="1" customFormat="1" ht="18.75" customHeight="1">
      <c r="A121" s="86"/>
      <c r="B121" s="122"/>
      <c r="C121" s="122"/>
      <c r="D121" s="95" t="s">
        <v>1103</v>
      </c>
      <c r="E121" s="44">
        <f>E122</f>
        <v>1100000</v>
      </c>
      <c r="F121" s="44"/>
      <c r="G121" s="44"/>
      <c r="H121" s="44"/>
    </row>
    <row r="122" spans="1:8" s="1" customFormat="1" ht="19.5" customHeight="1">
      <c r="A122" s="22"/>
      <c r="B122" s="22"/>
      <c r="C122" s="22">
        <v>2680</v>
      </c>
      <c r="D122" s="27" t="s">
        <v>656</v>
      </c>
      <c r="E122" s="98">
        <v>1100000</v>
      </c>
      <c r="F122" s="98"/>
      <c r="G122" s="98"/>
      <c r="H122" s="98"/>
    </row>
    <row r="123" spans="1:8" ht="19.5" customHeight="1" thickBot="1">
      <c r="A123" s="381">
        <v>758</v>
      </c>
      <c r="B123" s="382"/>
      <c r="C123" s="382"/>
      <c r="D123" s="383" t="s">
        <v>456</v>
      </c>
      <c r="E123" s="384">
        <f>E124+E127</f>
        <v>114071669</v>
      </c>
      <c r="F123" s="384"/>
      <c r="G123" s="384"/>
      <c r="H123" s="384"/>
    </row>
    <row r="124" spans="1:8" s="1" customFormat="1" ht="15.75" customHeight="1">
      <c r="A124" s="2"/>
      <c r="B124" s="3">
        <v>75801</v>
      </c>
      <c r="C124" s="35"/>
      <c r="D124" s="23" t="s">
        <v>662</v>
      </c>
      <c r="E124" s="43">
        <f>E125</f>
        <v>109206347</v>
      </c>
      <c r="F124" s="43"/>
      <c r="G124" s="43"/>
      <c r="H124" s="43"/>
    </row>
    <row r="125" spans="1:8" s="1" customFormat="1" ht="19.5" customHeight="1">
      <c r="A125" s="86"/>
      <c r="B125" s="122"/>
      <c r="C125" s="122"/>
      <c r="D125" s="95" t="s">
        <v>663</v>
      </c>
      <c r="E125" s="44">
        <f>E126</f>
        <v>109206347</v>
      </c>
      <c r="F125" s="44"/>
      <c r="G125" s="44"/>
      <c r="H125" s="44"/>
    </row>
    <row r="126" spans="1:8" s="1" customFormat="1" ht="19.5" customHeight="1">
      <c r="A126" s="18"/>
      <c r="B126" s="18"/>
      <c r="C126" s="18">
        <v>2920</v>
      </c>
      <c r="D126" s="352" t="s">
        <v>664</v>
      </c>
      <c r="E126" s="127">
        <v>109206347</v>
      </c>
      <c r="F126" s="127"/>
      <c r="G126" s="127"/>
      <c r="H126" s="127"/>
    </row>
    <row r="127" spans="1:8" s="1" customFormat="1" ht="19.5" customHeight="1">
      <c r="A127" s="2"/>
      <c r="B127" s="13">
        <v>75831</v>
      </c>
      <c r="C127" s="365"/>
      <c r="D127" s="60" t="s">
        <v>1104</v>
      </c>
      <c r="E127" s="49">
        <f>E128</f>
        <v>4865322</v>
      </c>
      <c r="F127" s="49"/>
      <c r="G127" s="49"/>
      <c r="H127" s="49"/>
    </row>
    <row r="128" spans="1:8" s="1" customFormat="1" ht="19.5" customHeight="1">
      <c r="A128" s="86"/>
      <c r="B128" s="122"/>
      <c r="C128" s="122"/>
      <c r="D128" s="95" t="s">
        <v>1105</v>
      </c>
      <c r="E128" s="44">
        <f>E129</f>
        <v>4865322</v>
      </c>
      <c r="F128" s="44"/>
      <c r="G128" s="44"/>
      <c r="H128" s="44"/>
    </row>
    <row r="129" spans="1:8" s="1" customFormat="1" ht="19.5" customHeight="1">
      <c r="A129" s="18"/>
      <c r="B129" s="18"/>
      <c r="C129" s="22">
        <v>2920</v>
      </c>
      <c r="D129" s="26" t="s">
        <v>664</v>
      </c>
      <c r="E129" s="98">
        <f>5022142-156820</f>
        <v>4865322</v>
      </c>
      <c r="F129" s="98"/>
      <c r="G129" s="98"/>
      <c r="H129" s="98"/>
    </row>
    <row r="130" spans="1:8" s="8" customFormat="1" ht="19.5" customHeight="1" thickBot="1">
      <c r="A130" s="45"/>
      <c r="B130" s="45"/>
      <c r="C130" s="123"/>
      <c r="D130" s="124" t="s">
        <v>403</v>
      </c>
      <c r="E130" s="125">
        <f>E131+E135+E139+E145+E159+E178+E205+E209+E216+E201</f>
        <v>31609737</v>
      </c>
      <c r="F130" s="125"/>
      <c r="G130" s="125"/>
      <c r="H130" s="125"/>
    </row>
    <row r="131" spans="1:8" ht="19.5" customHeight="1" thickBot="1" thickTop="1">
      <c r="A131" s="381">
        <v>600</v>
      </c>
      <c r="B131" s="382"/>
      <c r="C131" s="382"/>
      <c r="D131" s="383" t="s">
        <v>525</v>
      </c>
      <c r="E131" s="384">
        <f>E132</f>
        <v>4444207</v>
      </c>
      <c r="F131" s="384"/>
      <c r="G131" s="384"/>
      <c r="H131" s="384"/>
    </row>
    <row r="132" spans="1:8" s="1" customFormat="1" ht="19.5" customHeight="1">
      <c r="A132" s="2"/>
      <c r="B132" s="25">
        <v>60004</v>
      </c>
      <c r="C132" s="3"/>
      <c r="D132" s="67" t="s">
        <v>647</v>
      </c>
      <c r="E132" s="43">
        <f>E133</f>
        <v>4444207</v>
      </c>
      <c r="F132" s="43"/>
      <c r="G132" s="43"/>
      <c r="H132" s="43"/>
    </row>
    <row r="133" spans="1:8" s="1" customFormat="1" ht="27.75" customHeight="1">
      <c r="A133" s="2"/>
      <c r="B133" s="2"/>
      <c r="C133" s="40"/>
      <c r="D133" s="16" t="s">
        <v>705</v>
      </c>
      <c r="E133" s="44">
        <f>E134</f>
        <v>4444207</v>
      </c>
      <c r="F133" s="44"/>
      <c r="G133" s="44"/>
      <c r="H133" s="44"/>
    </row>
    <row r="134" spans="1:8" s="1" customFormat="1" ht="28.5" customHeight="1">
      <c r="A134" s="3"/>
      <c r="B134" s="3"/>
      <c r="C134" s="26">
        <v>6298</v>
      </c>
      <c r="D134" s="27" t="s">
        <v>931</v>
      </c>
      <c r="E134" s="98">
        <v>4444207</v>
      </c>
      <c r="F134" s="98"/>
      <c r="G134" s="98"/>
      <c r="H134" s="98"/>
    </row>
    <row r="135" spans="1:8" ht="19.5" customHeight="1" thickBot="1">
      <c r="A135" s="381">
        <v>630</v>
      </c>
      <c r="B135" s="382"/>
      <c r="C135" s="382"/>
      <c r="D135" s="383" t="s">
        <v>430</v>
      </c>
      <c r="E135" s="384">
        <f>E136</f>
        <v>439057</v>
      </c>
      <c r="F135" s="384"/>
      <c r="G135" s="384"/>
      <c r="H135" s="384"/>
    </row>
    <row r="136" spans="1:8" s="1" customFormat="1" ht="18.75" customHeight="1">
      <c r="A136" s="2"/>
      <c r="B136" s="25">
        <v>63003</v>
      </c>
      <c r="C136" s="3"/>
      <c r="D136" s="67" t="s">
        <v>432</v>
      </c>
      <c r="E136" s="43">
        <f>E137</f>
        <v>439057</v>
      </c>
      <c r="F136" s="43"/>
      <c r="G136" s="43"/>
      <c r="H136" s="43"/>
    </row>
    <row r="137" spans="1:8" s="1" customFormat="1" ht="27.75" customHeight="1">
      <c r="A137" s="2"/>
      <c r="B137" s="2"/>
      <c r="C137" s="28"/>
      <c r="D137" s="29" t="s">
        <v>880</v>
      </c>
      <c r="E137" s="44">
        <f>E138</f>
        <v>439057</v>
      </c>
      <c r="F137" s="44"/>
      <c r="G137" s="44"/>
      <c r="H137" s="44"/>
    </row>
    <row r="138" spans="1:8" s="1" customFormat="1" ht="30" customHeight="1">
      <c r="A138" s="3"/>
      <c r="B138" s="3"/>
      <c r="C138" s="26">
        <v>2708</v>
      </c>
      <c r="D138" s="27" t="s">
        <v>741</v>
      </c>
      <c r="E138" s="98">
        <v>439057</v>
      </c>
      <c r="F138" s="98"/>
      <c r="G138" s="98"/>
      <c r="H138" s="98"/>
    </row>
    <row r="139" spans="1:8" ht="21.75" customHeight="1" thickBot="1">
      <c r="A139" s="425">
        <v>750</v>
      </c>
      <c r="B139" s="405"/>
      <c r="C139" s="405"/>
      <c r="D139" s="426" t="s">
        <v>439</v>
      </c>
      <c r="E139" s="406">
        <f>E140</f>
        <v>2162613</v>
      </c>
      <c r="F139" s="406"/>
      <c r="G139" s="406"/>
      <c r="H139" s="406"/>
    </row>
    <row r="140" spans="1:8" s="1" customFormat="1" ht="18.75" customHeight="1">
      <c r="A140" s="2"/>
      <c r="B140" s="25">
        <v>75023</v>
      </c>
      <c r="C140" s="3"/>
      <c r="D140" s="67" t="s">
        <v>1061</v>
      </c>
      <c r="E140" s="43">
        <f>E141+E143</f>
        <v>2162613</v>
      </c>
      <c r="F140" s="43"/>
      <c r="G140" s="43"/>
      <c r="H140" s="43"/>
    </row>
    <row r="141" spans="1:8" s="1" customFormat="1" ht="38.25">
      <c r="A141" s="2"/>
      <c r="B141" s="2"/>
      <c r="C141" s="28"/>
      <c r="D141" s="29" t="s">
        <v>272</v>
      </c>
      <c r="E141" s="44">
        <f>E142</f>
        <v>1799128</v>
      </c>
      <c r="F141" s="44"/>
      <c r="G141" s="44"/>
      <c r="H141" s="44"/>
    </row>
    <row r="142" spans="1:8" s="1" customFormat="1" ht="25.5" customHeight="1">
      <c r="A142" s="2"/>
      <c r="B142" s="2"/>
      <c r="C142" s="26">
        <v>6298</v>
      </c>
      <c r="D142" s="27" t="s">
        <v>931</v>
      </c>
      <c r="E142" s="98">
        <v>1799128</v>
      </c>
      <c r="F142" s="98"/>
      <c r="G142" s="98"/>
      <c r="H142" s="98"/>
    </row>
    <row r="143" spans="1:8" s="1" customFormat="1" ht="38.25">
      <c r="A143" s="2"/>
      <c r="B143" s="2"/>
      <c r="C143" s="30"/>
      <c r="D143" s="29" t="s">
        <v>737</v>
      </c>
      <c r="E143" s="126">
        <f>E144</f>
        <v>363485</v>
      </c>
      <c r="F143" s="126"/>
      <c r="G143" s="126"/>
      <c r="H143" s="126"/>
    </row>
    <row r="144" spans="1:8" s="1" customFormat="1" ht="25.5" customHeight="1">
      <c r="A144" s="3"/>
      <c r="B144" s="3"/>
      <c r="C144" s="26">
        <v>6298</v>
      </c>
      <c r="D144" s="27" t="s">
        <v>931</v>
      </c>
      <c r="E144" s="98">
        <v>363485</v>
      </c>
      <c r="F144" s="98"/>
      <c r="G144" s="98"/>
      <c r="H144" s="98"/>
    </row>
    <row r="145" spans="1:8" ht="19.5" customHeight="1" thickBot="1">
      <c r="A145" s="381">
        <v>758</v>
      </c>
      <c r="B145" s="382"/>
      <c r="C145" s="382"/>
      <c r="D145" s="383" t="s">
        <v>456</v>
      </c>
      <c r="E145" s="384">
        <f>E146</f>
        <v>487631</v>
      </c>
      <c r="F145" s="384"/>
      <c r="G145" s="384"/>
      <c r="H145" s="384"/>
    </row>
    <row r="146" spans="1:8" s="1" customFormat="1" ht="18.75" customHeight="1">
      <c r="A146" s="2"/>
      <c r="B146" s="25">
        <v>75860</v>
      </c>
      <c r="C146" s="3"/>
      <c r="D146" s="67" t="s">
        <v>309</v>
      </c>
      <c r="E146" s="43">
        <f>E147+E150+E153+E156</f>
        <v>487631</v>
      </c>
      <c r="F146" s="43"/>
      <c r="G146" s="43"/>
      <c r="H146" s="43"/>
    </row>
    <row r="147" spans="1:8" s="1" customFormat="1" ht="33" customHeight="1">
      <c r="A147" s="2"/>
      <c r="B147" s="2"/>
      <c r="C147" s="28"/>
      <c r="D147" s="29" t="s">
        <v>738</v>
      </c>
      <c r="E147" s="44">
        <f>SUM(E148:E149)</f>
        <v>114653</v>
      </c>
      <c r="F147" s="44"/>
      <c r="G147" s="44"/>
      <c r="H147" s="44"/>
    </row>
    <row r="148" spans="1:8" s="1" customFormat="1" ht="25.5" customHeight="1">
      <c r="A148" s="2"/>
      <c r="B148" s="2"/>
      <c r="C148" s="26">
        <v>2708</v>
      </c>
      <c r="D148" s="27" t="s">
        <v>741</v>
      </c>
      <c r="E148" s="98">
        <v>101163</v>
      </c>
      <c r="F148" s="98"/>
      <c r="G148" s="98"/>
      <c r="H148" s="98"/>
    </row>
    <row r="149" spans="1:8" s="1" customFormat="1" ht="25.5" customHeight="1">
      <c r="A149" s="2"/>
      <c r="B149" s="2"/>
      <c r="C149" s="31">
        <v>2709</v>
      </c>
      <c r="D149" s="27" t="s">
        <v>741</v>
      </c>
      <c r="E149" s="262">
        <v>13490</v>
      </c>
      <c r="F149" s="262"/>
      <c r="G149" s="262"/>
      <c r="H149" s="262"/>
    </row>
    <row r="150" spans="1:8" s="1" customFormat="1" ht="38.25">
      <c r="A150" s="2"/>
      <c r="B150" s="2"/>
      <c r="C150" s="128"/>
      <c r="D150" s="29" t="s">
        <v>970</v>
      </c>
      <c r="E150" s="126">
        <f>SUM(E151:E152)</f>
        <v>120770</v>
      </c>
      <c r="F150" s="126"/>
      <c r="G150" s="126"/>
      <c r="H150" s="126"/>
    </row>
    <row r="151" spans="1:8" s="1" customFormat="1" ht="25.5" customHeight="1">
      <c r="A151" s="2"/>
      <c r="B151" s="2"/>
      <c r="C151" s="26">
        <v>2708</v>
      </c>
      <c r="D151" s="27" t="s">
        <v>741</v>
      </c>
      <c r="E151" s="98">
        <v>106562</v>
      </c>
      <c r="F151" s="98"/>
      <c r="G151" s="98"/>
      <c r="H151" s="98"/>
    </row>
    <row r="152" spans="1:8" s="1" customFormat="1" ht="25.5" customHeight="1">
      <c r="A152" s="2"/>
      <c r="B152" s="2"/>
      <c r="C152" s="31">
        <v>2709</v>
      </c>
      <c r="D152" s="27" t="s">
        <v>741</v>
      </c>
      <c r="E152" s="98">
        <v>14208</v>
      </c>
      <c r="F152" s="98"/>
      <c r="G152" s="98"/>
      <c r="H152" s="98"/>
    </row>
    <row r="153" spans="1:8" s="1" customFormat="1" ht="38.25">
      <c r="A153" s="2"/>
      <c r="B153" s="2"/>
      <c r="C153" s="128"/>
      <c r="D153" s="29" t="s">
        <v>495</v>
      </c>
      <c r="E153" s="126">
        <f>SUM(E154:E155)</f>
        <v>129787</v>
      </c>
      <c r="F153" s="126"/>
      <c r="G153" s="126"/>
      <c r="H153" s="126"/>
    </row>
    <row r="154" spans="1:8" s="1" customFormat="1" ht="25.5" customHeight="1">
      <c r="A154" s="2"/>
      <c r="B154" s="2"/>
      <c r="C154" s="26">
        <v>2708</v>
      </c>
      <c r="D154" s="27" t="s">
        <v>741</v>
      </c>
      <c r="E154" s="98">
        <v>114518</v>
      </c>
      <c r="F154" s="98"/>
      <c r="G154" s="98"/>
      <c r="H154" s="98"/>
    </row>
    <row r="155" spans="1:8" s="1" customFormat="1" ht="25.5" customHeight="1">
      <c r="A155" s="2"/>
      <c r="B155" s="2"/>
      <c r="C155" s="31">
        <v>2709</v>
      </c>
      <c r="D155" s="27" t="s">
        <v>741</v>
      </c>
      <c r="E155" s="98">
        <v>15269</v>
      </c>
      <c r="F155" s="98"/>
      <c r="G155" s="98"/>
      <c r="H155" s="98"/>
    </row>
    <row r="156" spans="1:8" s="1" customFormat="1" ht="39" customHeight="1">
      <c r="A156" s="2"/>
      <c r="B156" s="2"/>
      <c r="C156" s="128"/>
      <c r="D156" s="29" t="s">
        <v>349</v>
      </c>
      <c r="E156" s="126">
        <f>SUM(E157:E158)</f>
        <v>122421</v>
      </c>
      <c r="F156" s="126"/>
      <c r="G156" s="126"/>
      <c r="H156" s="126"/>
    </row>
    <row r="157" spans="1:8" s="1" customFormat="1" ht="25.5" customHeight="1">
      <c r="A157" s="2"/>
      <c r="B157" s="2"/>
      <c r="C157" s="26">
        <v>2708</v>
      </c>
      <c r="D157" s="27" t="s">
        <v>741</v>
      </c>
      <c r="E157" s="98">
        <v>108020</v>
      </c>
      <c r="F157" s="98"/>
      <c r="G157" s="98"/>
      <c r="H157" s="98"/>
    </row>
    <row r="158" spans="1:8" s="1" customFormat="1" ht="25.5" customHeight="1">
      <c r="A158" s="3"/>
      <c r="B158" s="3"/>
      <c r="C158" s="32">
        <v>2709</v>
      </c>
      <c r="D158" s="27" t="s">
        <v>741</v>
      </c>
      <c r="E158" s="98">
        <v>14401</v>
      </c>
      <c r="F158" s="98"/>
      <c r="G158" s="98"/>
      <c r="H158" s="98"/>
    </row>
    <row r="159" spans="1:8" ht="19.5" customHeight="1" thickBot="1">
      <c r="A159" s="425">
        <v>801</v>
      </c>
      <c r="B159" s="405"/>
      <c r="C159" s="405"/>
      <c r="D159" s="426" t="s">
        <v>448</v>
      </c>
      <c r="E159" s="406">
        <f>E160+E169+E175</f>
        <v>2116116</v>
      </c>
      <c r="F159" s="406"/>
      <c r="G159" s="406"/>
      <c r="H159" s="406"/>
    </row>
    <row r="160" spans="1:8" s="1" customFormat="1" ht="17.25" customHeight="1">
      <c r="A160" s="2"/>
      <c r="B160" s="3">
        <v>80101</v>
      </c>
      <c r="C160" s="3"/>
      <c r="D160" s="53" t="s">
        <v>449</v>
      </c>
      <c r="E160" s="43">
        <f>E161+E163+E165+E167</f>
        <v>1800550</v>
      </c>
      <c r="F160" s="43"/>
      <c r="G160" s="43"/>
      <c r="H160" s="43"/>
    </row>
    <row r="161" spans="1:8" s="1" customFormat="1" ht="25.5">
      <c r="A161" s="2"/>
      <c r="B161" s="2"/>
      <c r="C161" s="128"/>
      <c r="D161" s="129" t="s">
        <v>971</v>
      </c>
      <c r="E161" s="44">
        <f>E162</f>
        <v>300000</v>
      </c>
      <c r="F161" s="44"/>
      <c r="G161" s="126"/>
      <c r="H161" s="126"/>
    </row>
    <row r="162" spans="1:8" s="1" customFormat="1" ht="38.25">
      <c r="A162" s="2"/>
      <c r="B162" s="2"/>
      <c r="C162" s="52">
        <v>6260</v>
      </c>
      <c r="D162" s="130" t="s">
        <v>515</v>
      </c>
      <c r="E162" s="98">
        <v>300000</v>
      </c>
      <c r="F162" s="98"/>
      <c r="G162" s="98"/>
      <c r="H162" s="98"/>
    </row>
    <row r="163" spans="1:8" s="1" customFormat="1" ht="25.5">
      <c r="A163" s="2"/>
      <c r="B163" s="2"/>
      <c r="C163" s="18"/>
      <c r="D163" s="129" t="s">
        <v>933</v>
      </c>
      <c r="E163" s="44">
        <f>E164</f>
        <v>4400</v>
      </c>
      <c r="F163" s="44"/>
      <c r="G163" s="44"/>
      <c r="H163" s="44"/>
    </row>
    <row r="164" spans="1:8" s="1" customFormat="1" ht="25.5">
      <c r="A164" s="2"/>
      <c r="B164" s="2"/>
      <c r="C164" s="22">
        <v>2707</v>
      </c>
      <c r="D164" s="121" t="s">
        <v>741</v>
      </c>
      <c r="E164" s="98">
        <v>4400</v>
      </c>
      <c r="F164" s="98"/>
      <c r="G164" s="98"/>
      <c r="H164" s="98"/>
    </row>
    <row r="165" spans="1:8" s="1" customFormat="1" ht="17.25" customHeight="1">
      <c r="A165" s="2"/>
      <c r="B165" s="2"/>
      <c r="C165" s="18"/>
      <c r="D165" s="129" t="s">
        <v>932</v>
      </c>
      <c r="E165" s="44">
        <f>E166</f>
        <v>1113880</v>
      </c>
      <c r="F165" s="44"/>
      <c r="G165" s="44"/>
      <c r="H165" s="44"/>
    </row>
    <row r="166" spans="1:8" s="1" customFormat="1" ht="25.5">
      <c r="A166" s="2"/>
      <c r="B166" s="2"/>
      <c r="C166" s="52">
        <v>6295</v>
      </c>
      <c r="D166" s="130" t="s">
        <v>931</v>
      </c>
      <c r="E166" s="98">
        <v>1113880</v>
      </c>
      <c r="F166" s="98"/>
      <c r="G166" s="98"/>
      <c r="H166" s="98"/>
    </row>
    <row r="167" spans="1:8" s="1" customFormat="1" ht="25.5">
      <c r="A167" s="2"/>
      <c r="B167" s="2"/>
      <c r="C167" s="18"/>
      <c r="D167" s="129" t="s">
        <v>574</v>
      </c>
      <c r="E167" s="44">
        <f>E168</f>
        <v>382270</v>
      </c>
      <c r="F167" s="44"/>
      <c r="G167" s="44"/>
      <c r="H167" s="44"/>
    </row>
    <row r="168" spans="1:8" s="1" customFormat="1" ht="25.5">
      <c r="A168" s="2"/>
      <c r="B168" s="2"/>
      <c r="C168" s="52">
        <v>2030</v>
      </c>
      <c r="D168" s="27" t="s">
        <v>1037</v>
      </c>
      <c r="E168" s="98">
        <v>382270</v>
      </c>
      <c r="F168" s="98"/>
      <c r="G168" s="98"/>
      <c r="H168" s="98"/>
    </row>
    <row r="169" spans="1:8" s="1" customFormat="1" ht="16.5" customHeight="1">
      <c r="A169" s="2"/>
      <c r="B169" s="13">
        <v>80110</v>
      </c>
      <c r="C169" s="13"/>
      <c r="D169" s="131" t="s">
        <v>450</v>
      </c>
      <c r="E169" s="49">
        <f>E170+E172</f>
        <v>305869</v>
      </c>
      <c r="F169" s="49"/>
      <c r="G169" s="49"/>
      <c r="H169" s="49"/>
    </row>
    <row r="170" spans="1:8" s="1" customFormat="1" ht="25.5">
      <c r="A170" s="2"/>
      <c r="B170" s="2"/>
      <c r="C170" s="18"/>
      <c r="D170" s="129" t="s">
        <v>933</v>
      </c>
      <c r="E170" s="44">
        <f>E171</f>
        <v>5869</v>
      </c>
      <c r="F170" s="44"/>
      <c r="G170" s="44"/>
      <c r="H170" s="44"/>
    </row>
    <row r="171" spans="1:8" s="1" customFormat="1" ht="25.5">
      <c r="A171" s="2"/>
      <c r="B171" s="2"/>
      <c r="C171" s="22">
        <v>2707</v>
      </c>
      <c r="D171" s="121" t="s">
        <v>741</v>
      </c>
      <c r="E171" s="98">
        <v>5869</v>
      </c>
      <c r="F171" s="98"/>
      <c r="G171" s="98"/>
      <c r="H171" s="98"/>
    </row>
    <row r="172" spans="1:8" s="1" customFormat="1" ht="27.75" customHeight="1">
      <c r="A172" s="2"/>
      <c r="B172" s="2"/>
      <c r="C172" s="128"/>
      <c r="D172" s="129" t="s">
        <v>114</v>
      </c>
      <c r="E172" s="44">
        <f>E173+E174</f>
        <v>300000</v>
      </c>
      <c r="F172" s="44"/>
      <c r="G172" s="126"/>
      <c r="H172" s="126"/>
    </row>
    <row r="173" spans="1:8" s="1" customFormat="1" ht="38.25">
      <c r="A173" s="2"/>
      <c r="B173" s="2"/>
      <c r="C173" s="52">
        <v>6260</v>
      </c>
      <c r="D173" s="130" t="s">
        <v>515</v>
      </c>
      <c r="E173" s="98">
        <v>100000</v>
      </c>
      <c r="F173" s="98"/>
      <c r="G173" s="98"/>
      <c r="H173" s="98"/>
    </row>
    <row r="174" spans="1:8" s="1" customFormat="1" ht="25.5">
      <c r="A174" s="2"/>
      <c r="B174" s="2"/>
      <c r="C174" s="449">
        <v>6290</v>
      </c>
      <c r="D174" s="130" t="s">
        <v>931</v>
      </c>
      <c r="E174" s="98">
        <v>200000</v>
      </c>
      <c r="F174" s="98"/>
      <c r="G174" s="98"/>
      <c r="H174" s="98"/>
    </row>
    <row r="175" spans="1:8" ht="15" customHeight="1">
      <c r="A175" s="948"/>
      <c r="B175" s="977">
        <v>80195</v>
      </c>
      <c r="C175" s="977"/>
      <c r="D175" s="972" t="s">
        <v>100</v>
      </c>
      <c r="E175" s="949">
        <f>E176</f>
        <v>9697</v>
      </c>
      <c r="F175" s="949"/>
      <c r="G175" s="972"/>
      <c r="H175" s="972"/>
    </row>
    <row r="176" spans="1:8" ht="25.5" customHeight="1">
      <c r="A176" s="901"/>
      <c r="B176" s="901"/>
      <c r="C176" s="28"/>
      <c r="D176" s="101" t="s">
        <v>804</v>
      </c>
      <c r="E176" s="974">
        <f>E177</f>
        <v>9697</v>
      </c>
      <c r="F176" s="974"/>
      <c r="G176" s="973"/>
      <c r="H176" s="973"/>
    </row>
    <row r="177" spans="1:8" ht="25.5" customHeight="1">
      <c r="A177" s="910"/>
      <c r="B177" s="910"/>
      <c r="C177" s="26">
        <v>2030</v>
      </c>
      <c r="D177" s="78" t="s">
        <v>1037</v>
      </c>
      <c r="E177" s="976">
        <v>9697</v>
      </c>
      <c r="F177" s="976"/>
      <c r="G177" s="975"/>
      <c r="H177" s="975"/>
    </row>
    <row r="178" spans="1:8" ht="19.5" customHeight="1" thickBot="1">
      <c r="A178" s="425">
        <v>852</v>
      </c>
      <c r="B178" s="405"/>
      <c r="C178" s="382"/>
      <c r="D178" s="383" t="s">
        <v>129</v>
      </c>
      <c r="E178" s="384">
        <f>E179+E182+E195+E198</f>
        <v>13476214</v>
      </c>
      <c r="F178" s="384"/>
      <c r="G178" s="384"/>
      <c r="H178" s="384"/>
    </row>
    <row r="179" spans="1:8" s="1" customFormat="1" ht="18" customHeight="1">
      <c r="A179" s="2"/>
      <c r="B179" s="25">
        <v>85214</v>
      </c>
      <c r="C179" s="33"/>
      <c r="D179" s="23" t="s">
        <v>459</v>
      </c>
      <c r="E179" s="43">
        <f>E180</f>
        <v>4731000</v>
      </c>
      <c r="F179" s="43"/>
      <c r="G179" s="43"/>
      <c r="H179" s="43"/>
    </row>
    <row r="180" spans="1:8" s="1" customFormat="1" ht="25.5" customHeight="1">
      <c r="A180" s="86"/>
      <c r="B180" s="122"/>
      <c r="C180" s="122"/>
      <c r="D180" s="16" t="s">
        <v>54</v>
      </c>
      <c r="E180" s="132">
        <f>E181</f>
        <v>4731000</v>
      </c>
      <c r="F180" s="132"/>
      <c r="G180" s="132"/>
      <c r="H180" s="132"/>
    </row>
    <row r="181" spans="1:8" s="1" customFormat="1" ht="25.5">
      <c r="A181" s="22"/>
      <c r="B181" s="22"/>
      <c r="C181" s="22">
        <v>2030</v>
      </c>
      <c r="D181" s="27" t="s">
        <v>1037</v>
      </c>
      <c r="E181" s="98">
        <v>4731000</v>
      </c>
      <c r="F181" s="98"/>
      <c r="G181" s="98"/>
      <c r="H181" s="98"/>
    </row>
    <row r="182" spans="1:8" s="1" customFormat="1" ht="18.75" customHeight="1">
      <c r="A182" s="5"/>
      <c r="B182" s="104">
        <v>85219</v>
      </c>
      <c r="C182" s="48"/>
      <c r="D182" s="60" t="s">
        <v>1020</v>
      </c>
      <c r="E182" s="49">
        <f>E183+E185+E187+E189+E191+E193</f>
        <v>4450682</v>
      </c>
      <c r="F182" s="49"/>
      <c r="G182" s="49"/>
      <c r="H182" s="49"/>
    </row>
    <row r="183" spans="1:8" s="1" customFormat="1" ht="25.5" customHeight="1">
      <c r="A183" s="86"/>
      <c r="B183" s="122"/>
      <c r="C183" s="122"/>
      <c r="D183" s="16" t="s">
        <v>960</v>
      </c>
      <c r="E183" s="132">
        <f>E184</f>
        <v>3682000</v>
      </c>
      <c r="F183" s="132"/>
      <c r="G183" s="132"/>
      <c r="H183" s="132"/>
    </row>
    <row r="184" spans="1:8" s="1" customFormat="1" ht="25.5">
      <c r="A184" s="18"/>
      <c r="B184" s="18"/>
      <c r="C184" s="22">
        <v>2030</v>
      </c>
      <c r="D184" s="27" t="s">
        <v>1037</v>
      </c>
      <c r="E184" s="98">
        <v>3682000</v>
      </c>
      <c r="F184" s="98"/>
      <c r="G184" s="98"/>
      <c r="H184" s="98"/>
    </row>
    <row r="185" spans="1:8" s="1" customFormat="1" ht="25.5">
      <c r="A185" s="86"/>
      <c r="B185" s="86"/>
      <c r="C185" s="38"/>
      <c r="D185" s="29" t="s">
        <v>496</v>
      </c>
      <c r="E185" s="132">
        <f>E186</f>
        <v>72748</v>
      </c>
      <c r="F185" s="132"/>
      <c r="G185" s="132"/>
      <c r="H185" s="132"/>
    </row>
    <row r="186" spans="1:8" s="1" customFormat="1" ht="27" customHeight="1">
      <c r="A186" s="18"/>
      <c r="B186" s="18"/>
      <c r="C186" s="26">
        <v>2708</v>
      </c>
      <c r="D186" s="27" t="s">
        <v>741</v>
      </c>
      <c r="E186" s="98">
        <v>72748</v>
      </c>
      <c r="F186" s="98"/>
      <c r="G186" s="98"/>
      <c r="H186" s="98"/>
    </row>
    <row r="187" spans="1:8" s="1" customFormat="1" ht="27" customHeight="1">
      <c r="A187" s="86"/>
      <c r="B187" s="86"/>
      <c r="C187" s="38"/>
      <c r="D187" s="29" t="s">
        <v>1024</v>
      </c>
      <c r="E187" s="132">
        <f>E188</f>
        <v>42067</v>
      </c>
      <c r="F187" s="132"/>
      <c r="G187" s="132"/>
      <c r="H187" s="132"/>
    </row>
    <row r="188" spans="1:8" s="1" customFormat="1" ht="27" customHeight="1">
      <c r="A188" s="18"/>
      <c r="B188" s="18"/>
      <c r="C188" s="26">
        <v>2708</v>
      </c>
      <c r="D188" s="27" t="s">
        <v>741</v>
      </c>
      <c r="E188" s="98">
        <v>42067</v>
      </c>
      <c r="F188" s="98"/>
      <c r="G188" s="98"/>
      <c r="H188" s="98"/>
    </row>
    <row r="189" spans="1:8" s="1" customFormat="1" ht="27" customHeight="1">
      <c r="A189" s="86"/>
      <c r="B189" s="86"/>
      <c r="C189" s="38"/>
      <c r="D189" s="29" t="s">
        <v>1025</v>
      </c>
      <c r="E189" s="132">
        <f>E190</f>
        <v>7200</v>
      </c>
      <c r="F189" s="132"/>
      <c r="G189" s="132"/>
      <c r="H189" s="132"/>
    </row>
    <row r="190" spans="1:8" s="1" customFormat="1" ht="27" customHeight="1">
      <c r="A190" s="18"/>
      <c r="B190" s="18"/>
      <c r="C190" s="26">
        <v>2707</v>
      </c>
      <c r="D190" s="27" t="s">
        <v>741</v>
      </c>
      <c r="E190" s="98">
        <v>7200</v>
      </c>
      <c r="F190" s="98"/>
      <c r="G190" s="98"/>
      <c r="H190" s="98"/>
    </row>
    <row r="191" spans="1:8" s="1" customFormat="1" ht="27" customHeight="1">
      <c r="A191" s="86"/>
      <c r="B191" s="86"/>
      <c r="C191" s="38"/>
      <c r="D191" s="29" t="s">
        <v>99</v>
      </c>
      <c r="E191" s="132">
        <f>E192</f>
        <v>438855</v>
      </c>
      <c r="F191" s="132"/>
      <c r="G191" s="132"/>
      <c r="H191" s="132"/>
    </row>
    <row r="192" spans="1:8" s="1" customFormat="1" ht="27" customHeight="1">
      <c r="A192" s="18"/>
      <c r="B192" s="18"/>
      <c r="C192" s="26">
        <v>2708</v>
      </c>
      <c r="D192" s="27" t="s">
        <v>741</v>
      </c>
      <c r="E192" s="98">
        <v>438855</v>
      </c>
      <c r="F192" s="98"/>
      <c r="G192" s="98"/>
      <c r="H192" s="98"/>
    </row>
    <row r="193" spans="1:8" s="1" customFormat="1" ht="25.5" customHeight="1">
      <c r="A193" s="86"/>
      <c r="B193" s="86"/>
      <c r="C193" s="122"/>
      <c r="D193" s="16" t="s">
        <v>376</v>
      </c>
      <c r="E193" s="132">
        <f>E194</f>
        <v>207812</v>
      </c>
      <c r="F193" s="132"/>
      <c r="G193" s="132"/>
      <c r="H193" s="132"/>
    </row>
    <row r="194" spans="1:8" s="1" customFormat="1" ht="25.5">
      <c r="A194" s="18"/>
      <c r="B194" s="22"/>
      <c r="C194" s="22">
        <v>2030</v>
      </c>
      <c r="D194" s="27" t="s">
        <v>1037</v>
      </c>
      <c r="E194" s="98">
        <v>207812</v>
      </c>
      <c r="F194" s="98"/>
      <c r="G194" s="98"/>
      <c r="H194" s="98"/>
    </row>
    <row r="195" spans="1:8" s="1" customFormat="1" ht="14.25" customHeight="1">
      <c r="A195" s="18"/>
      <c r="B195" s="3">
        <v>85232</v>
      </c>
      <c r="C195" s="35"/>
      <c r="D195" s="23" t="s">
        <v>708</v>
      </c>
      <c r="E195" s="43">
        <f>E196</f>
        <v>1134632</v>
      </c>
      <c r="F195" s="43"/>
      <c r="G195" s="43"/>
      <c r="H195" s="43"/>
    </row>
    <row r="196" spans="1:8" s="1" customFormat="1" ht="25.5">
      <c r="A196" s="18"/>
      <c r="B196" s="18"/>
      <c r="C196" s="122"/>
      <c r="D196" s="16" t="s">
        <v>52</v>
      </c>
      <c r="E196" s="132">
        <f>E197</f>
        <v>1134632</v>
      </c>
      <c r="F196" s="132"/>
      <c r="G196" s="132"/>
      <c r="H196" s="132"/>
    </row>
    <row r="197" spans="1:8" s="1" customFormat="1" ht="27" customHeight="1">
      <c r="A197" s="18"/>
      <c r="B197" s="22"/>
      <c r="C197" s="26">
        <v>2708</v>
      </c>
      <c r="D197" s="27" t="s">
        <v>741</v>
      </c>
      <c r="E197" s="98">
        <f>1143906-9274</f>
        <v>1134632</v>
      </c>
      <c r="F197" s="98"/>
      <c r="G197" s="98"/>
      <c r="H197" s="98"/>
    </row>
    <row r="198" spans="1:8" s="1" customFormat="1" ht="18.75" customHeight="1">
      <c r="A198" s="18"/>
      <c r="B198" s="3">
        <v>85295</v>
      </c>
      <c r="C198" s="35"/>
      <c r="D198" s="23" t="s">
        <v>100</v>
      </c>
      <c r="E198" s="43">
        <f>E199</f>
        <v>3159900</v>
      </c>
      <c r="F198" s="43"/>
      <c r="G198" s="43"/>
      <c r="H198" s="43"/>
    </row>
    <row r="199" spans="1:8" s="1" customFormat="1" ht="27" customHeight="1">
      <c r="A199" s="18"/>
      <c r="B199" s="18"/>
      <c r="C199" s="122"/>
      <c r="D199" s="16" t="s">
        <v>415</v>
      </c>
      <c r="E199" s="132">
        <f>E200</f>
        <v>3159900</v>
      </c>
      <c r="F199" s="132"/>
      <c r="G199" s="132"/>
      <c r="H199" s="132"/>
    </row>
    <row r="200" spans="1:8" s="1" customFormat="1" ht="25.5">
      <c r="A200" s="22"/>
      <c r="B200" s="22"/>
      <c r="C200" s="22">
        <v>2030</v>
      </c>
      <c r="D200" s="27" t="s">
        <v>1037</v>
      </c>
      <c r="E200" s="98">
        <v>3159900</v>
      </c>
      <c r="F200" s="98"/>
      <c r="G200" s="98"/>
      <c r="H200" s="98"/>
    </row>
    <row r="201" spans="1:8" ht="16.5" customHeight="1" thickBot="1">
      <c r="A201" s="381">
        <v>854</v>
      </c>
      <c r="B201" s="382"/>
      <c r="C201" s="382"/>
      <c r="D201" s="383" t="s">
        <v>618</v>
      </c>
      <c r="E201" s="384">
        <f>E202</f>
        <v>1016758</v>
      </c>
      <c r="F201" s="384"/>
      <c r="G201" s="384"/>
      <c r="H201" s="384"/>
    </row>
    <row r="202" spans="1:8" s="1" customFormat="1" ht="14.25" customHeight="1">
      <c r="A202" s="2"/>
      <c r="B202" s="25">
        <v>85415</v>
      </c>
      <c r="C202" s="33"/>
      <c r="D202" s="33" t="s">
        <v>396</v>
      </c>
      <c r="E202" s="43">
        <f>E203</f>
        <v>1016758</v>
      </c>
      <c r="F202" s="43"/>
      <c r="G202" s="43"/>
      <c r="H202" s="43"/>
    </row>
    <row r="203" spans="1:8" s="1" customFormat="1" ht="25.5">
      <c r="A203" s="86"/>
      <c r="B203" s="122"/>
      <c r="C203" s="133"/>
      <c r="D203" s="134" t="s">
        <v>575</v>
      </c>
      <c r="E203" s="132">
        <f>E204</f>
        <v>1016758</v>
      </c>
      <c r="F203" s="132"/>
      <c r="G203" s="132"/>
      <c r="H203" s="132"/>
    </row>
    <row r="204" spans="1:8" s="1" customFormat="1" ht="25.5" customHeight="1">
      <c r="A204" s="22"/>
      <c r="B204" s="22"/>
      <c r="C204" s="22">
        <v>2030</v>
      </c>
      <c r="D204" s="27" t="s">
        <v>1037</v>
      </c>
      <c r="E204" s="98">
        <v>1016758</v>
      </c>
      <c r="F204" s="98"/>
      <c r="G204" s="98"/>
      <c r="H204" s="98"/>
    </row>
    <row r="205" spans="1:8" ht="19.5" customHeight="1" thickBot="1">
      <c r="A205" s="425">
        <v>900</v>
      </c>
      <c r="B205" s="405"/>
      <c r="C205" s="405"/>
      <c r="D205" s="426" t="s">
        <v>1048</v>
      </c>
      <c r="E205" s="406">
        <f>E206</f>
        <v>1255587</v>
      </c>
      <c r="F205" s="406"/>
      <c r="G205" s="406"/>
      <c r="H205" s="406"/>
    </row>
    <row r="206" spans="1:8" s="1" customFormat="1" ht="18.75" customHeight="1">
      <c r="A206" s="2"/>
      <c r="B206" s="25">
        <v>90002</v>
      </c>
      <c r="C206" s="33"/>
      <c r="D206" s="33" t="s">
        <v>176</v>
      </c>
      <c r="E206" s="43">
        <f>E207</f>
        <v>1255587</v>
      </c>
      <c r="F206" s="43"/>
      <c r="G206" s="43"/>
      <c r="H206" s="43"/>
    </row>
    <row r="207" spans="1:8" s="1" customFormat="1" ht="38.25">
      <c r="A207" s="86"/>
      <c r="B207" s="122"/>
      <c r="C207" s="133"/>
      <c r="D207" s="134" t="s">
        <v>904</v>
      </c>
      <c r="E207" s="132">
        <f>E208</f>
        <v>1255587</v>
      </c>
      <c r="F207" s="132"/>
      <c r="G207" s="132"/>
      <c r="H207" s="132"/>
    </row>
    <row r="208" spans="1:8" s="1" customFormat="1" ht="25.5" customHeight="1">
      <c r="A208" s="22"/>
      <c r="B208" s="22"/>
      <c r="C208" s="26">
        <v>6298</v>
      </c>
      <c r="D208" s="27" t="s">
        <v>931</v>
      </c>
      <c r="E208" s="98">
        <v>1255587</v>
      </c>
      <c r="F208" s="98"/>
      <c r="G208" s="98"/>
      <c r="H208" s="98"/>
    </row>
    <row r="209" spans="1:8" ht="19.5" customHeight="1" thickBot="1">
      <c r="A209" s="381">
        <v>921</v>
      </c>
      <c r="B209" s="382"/>
      <c r="C209" s="382"/>
      <c r="D209" s="383" t="s">
        <v>401</v>
      </c>
      <c r="E209" s="384">
        <f>E210+E213</f>
        <v>22533</v>
      </c>
      <c r="F209" s="384"/>
      <c r="G209" s="384"/>
      <c r="H209" s="384"/>
    </row>
    <row r="210" spans="1:8" s="1" customFormat="1" ht="18.75" customHeight="1">
      <c r="A210" s="2"/>
      <c r="B210" s="25">
        <v>92105</v>
      </c>
      <c r="C210" s="33"/>
      <c r="D210" s="33" t="s">
        <v>397</v>
      </c>
      <c r="E210" s="43">
        <f>E211</f>
        <v>17991</v>
      </c>
      <c r="F210" s="43"/>
      <c r="G210" s="43"/>
      <c r="H210" s="43"/>
    </row>
    <row r="211" spans="1:8" s="1" customFormat="1" ht="19.5" customHeight="1">
      <c r="A211" s="86"/>
      <c r="B211" s="122"/>
      <c r="C211" s="133"/>
      <c r="D211" s="134" t="s">
        <v>350</v>
      </c>
      <c r="E211" s="132">
        <f>E212</f>
        <v>17991</v>
      </c>
      <c r="F211" s="132"/>
      <c r="G211" s="132"/>
      <c r="H211" s="132"/>
    </row>
    <row r="212" spans="1:8" s="1" customFormat="1" ht="25.5" customHeight="1">
      <c r="A212" s="18"/>
      <c r="B212" s="22"/>
      <c r="C212" s="26">
        <v>2707</v>
      </c>
      <c r="D212" s="27" t="s">
        <v>741</v>
      </c>
      <c r="E212" s="98">
        <v>17991</v>
      </c>
      <c r="F212" s="98"/>
      <c r="G212" s="98"/>
      <c r="H212" s="98"/>
    </row>
    <row r="213" spans="1:8" s="1" customFormat="1" ht="18.75" customHeight="1">
      <c r="A213" s="2"/>
      <c r="B213" s="25">
        <v>92109</v>
      </c>
      <c r="C213" s="48"/>
      <c r="D213" s="48" t="s">
        <v>1043</v>
      </c>
      <c r="E213" s="43">
        <f>E214</f>
        <v>4542</v>
      </c>
      <c r="F213" s="43"/>
      <c r="G213" s="43"/>
      <c r="H213" s="43"/>
    </row>
    <row r="214" spans="1:8" s="1" customFormat="1" ht="25.5">
      <c r="A214" s="86"/>
      <c r="B214" s="122"/>
      <c r="C214" s="133"/>
      <c r="D214" s="134" t="s">
        <v>972</v>
      </c>
      <c r="E214" s="132">
        <f>E215</f>
        <v>4542</v>
      </c>
      <c r="F214" s="132"/>
      <c r="G214" s="132"/>
      <c r="H214" s="132"/>
    </row>
    <row r="215" spans="1:8" s="1" customFormat="1" ht="25.5" customHeight="1">
      <c r="A215" s="22"/>
      <c r="B215" s="22"/>
      <c r="C215" s="26">
        <v>2707</v>
      </c>
      <c r="D215" s="27" t="s">
        <v>741</v>
      </c>
      <c r="E215" s="98">
        <v>4542</v>
      </c>
      <c r="F215" s="98"/>
      <c r="G215" s="98"/>
      <c r="H215" s="98"/>
    </row>
    <row r="216" spans="1:8" ht="19.5" customHeight="1" thickBot="1">
      <c r="A216" s="381">
        <v>926</v>
      </c>
      <c r="B216" s="382"/>
      <c r="C216" s="382"/>
      <c r="D216" s="383" t="s">
        <v>1045</v>
      </c>
      <c r="E216" s="384">
        <f>E217+E220</f>
        <v>6189021</v>
      </c>
      <c r="F216" s="384"/>
      <c r="G216" s="384"/>
      <c r="H216" s="384"/>
    </row>
    <row r="217" spans="1:8" s="1" customFormat="1" ht="18.75" customHeight="1">
      <c r="A217" s="2"/>
      <c r="B217" s="25">
        <v>92604</v>
      </c>
      <c r="C217" s="33"/>
      <c r="D217" s="33" t="s">
        <v>1047</v>
      </c>
      <c r="E217" s="43">
        <f>E218</f>
        <v>6089021</v>
      </c>
      <c r="F217" s="43"/>
      <c r="G217" s="43"/>
      <c r="H217" s="43"/>
    </row>
    <row r="218" spans="1:8" s="1" customFormat="1" ht="38.25">
      <c r="A218" s="86"/>
      <c r="B218" s="122"/>
      <c r="C218" s="133"/>
      <c r="D218" s="134" t="s">
        <v>973</v>
      </c>
      <c r="E218" s="132">
        <f>E219</f>
        <v>6089021</v>
      </c>
      <c r="F218" s="132"/>
      <c r="G218" s="132"/>
      <c r="H218" s="132"/>
    </row>
    <row r="219" spans="1:8" s="1" customFormat="1" ht="25.5" customHeight="1">
      <c r="A219" s="18"/>
      <c r="B219" s="18"/>
      <c r="C219" s="26">
        <v>6298</v>
      </c>
      <c r="D219" s="27" t="s">
        <v>931</v>
      </c>
      <c r="E219" s="98">
        <v>6089021</v>
      </c>
      <c r="F219" s="98"/>
      <c r="G219" s="98"/>
      <c r="H219" s="98"/>
    </row>
    <row r="220" spans="1:8" s="1" customFormat="1" ht="18.75" customHeight="1">
      <c r="A220" s="2"/>
      <c r="B220" s="104">
        <v>92695</v>
      </c>
      <c r="C220" s="33"/>
      <c r="D220" s="33" t="s">
        <v>100</v>
      </c>
      <c r="E220" s="43">
        <f>E221</f>
        <v>100000</v>
      </c>
      <c r="F220" s="43"/>
      <c r="G220" s="43"/>
      <c r="H220" s="43"/>
    </row>
    <row r="221" spans="1:8" s="1" customFormat="1" ht="25.5">
      <c r="A221" s="86"/>
      <c r="B221" s="122"/>
      <c r="C221" s="133"/>
      <c r="D221" s="134" t="s">
        <v>115</v>
      </c>
      <c r="E221" s="132">
        <f>E222</f>
        <v>100000</v>
      </c>
      <c r="F221" s="132"/>
      <c r="G221" s="132"/>
      <c r="H221" s="132"/>
    </row>
    <row r="222" spans="1:8" s="1" customFormat="1" ht="25.5" customHeight="1">
      <c r="A222" s="18"/>
      <c r="B222" s="18"/>
      <c r="C222" s="26">
        <v>2440</v>
      </c>
      <c r="D222" s="27" t="s">
        <v>116</v>
      </c>
      <c r="E222" s="98">
        <v>100000</v>
      </c>
      <c r="F222" s="98"/>
      <c r="G222" s="98"/>
      <c r="H222" s="98"/>
    </row>
    <row r="223" spans="1:8" s="1" customFormat="1" ht="29.25" thickBot="1">
      <c r="A223" s="45"/>
      <c r="B223" s="45"/>
      <c r="C223" s="123"/>
      <c r="D223" s="135" t="s">
        <v>974</v>
      </c>
      <c r="E223" s="125">
        <f>E224+E233+E229</f>
        <v>847216</v>
      </c>
      <c r="F223" s="125"/>
      <c r="G223" s="125"/>
      <c r="H223" s="125"/>
    </row>
    <row r="224" spans="1:8" ht="19.5" customHeight="1" thickBot="1" thickTop="1">
      <c r="A224" s="381">
        <v>150</v>
      </c>
      <c r="B224" s="382"/>
      <c r="C224" s="382"/>
      <c r="D224" s="383" t="s">
        <v>905</v>
      </c>
      <c r="E224" s="384">
        <f>E225</f>
        <v>806216</v>
      </c>
      <c r="F224" s="384"/>
      <c r="G224" s="384"/>
      <c r="H224" s="384"/>
    </row>
    <row r="225" spans="1:8" s="1" customFormat="1" ht="19.5" customHeight="1">
      <c r="A225" s="2"/>
      <c r="B225" s="25">
        <v>15011</v>
      </c>
      <c r="C225" s="33"/>
      <c r="D225" s="23" t="s">
        <v>416</v>
      </c>
      <c r="E225" s="34">
        <f>E226</f>
        <v>806216</v>
      </c>
      <c r="F225" s="34"/>
      <c r="G225" s="34"/>
      <c r="H225" s="34"/>
    </row>
    <row r="226" spans="1:8" s="1" customFormat="1" ht="27" customHeight="1">
      <c r="A226" s="107"/>
      <c r="B226" s="107"/>
      <c r="C226" s="1024"/>
      <c r="D226" s="1025" t="s">
        <v>903</v>
      </c>
      <c r="E226" s="1026">
        <f>SUM(E227:E228)</f>
        <v>806216</v>
      </c>
      <c r="F226" s="1026"/>
      <c r="G226" s="1026"/>
      <c r="H226" s="1026"/>
    </row>
    <row r="227" spans="1:8" s="1" customFormat="1" ht="38.25">
      <c r="A227" s="128"/>
      <c r="B227" s="128"/>
      <c r="C227" s="1027">
        <v>2888</v>
      </c>
      <c r="D227" s="1028" t="s">
        <v>975</v>
      </c>
      <c r="E227" s="262">
        <v>604662</v>
      </c>
      <c r="F227" s="262"/>
      <c r="G227" s="262"/>
      <c r="H227" s="262"/>
    </row>
    <row r="228" spans="1:8" s="1" customFormat="1" ht="38.25">
      <c r="A228" s="22"/>
      <c r="B228" s="22"/>
      <c r="C228" s="68">
        <v>2889</v>
      </c>
      <c r="D228" s="78" t="s">
        <v>975</v>
      </c>
      <c r="E228" s="98">
        <v>201554</v>
      </c>
      <c r="F228" s="98"/>
      <c r="G228" s="98"/>
      <c r="H228" s="98"/>
    </row>
    <row r="229" spans="1:8" ht="19.5" customHeight="1" thickBot="1">
      <c r="A229" s="381">
        <v>710</v>
      </c>
      <c r="B229" s="382"/>
      <c r="C229" s="382"/>
      <c r="D229" s="383" t="s">
        <v>436</v>
      </c>
      <c r="E229" s="384">
        <f>E230</f>
        <v>25000</v>
      </c>
      <c r="F229" s="384"/>
      <c r="G229" s="384"/>
      <c r="H229" s="384"/>
    </row>
    <row r="230" spans="1:8" s="1" customFormat="1" ht="17.25" customHeight="1">
      <c r="A230" s="2"/>
      <c r="B230" s="25">
        <v>71035</v>
      </c>
      <c r="C230" s="33"/>
      <c r="D230" s="23" t="s">
        <v>191</v>
      </c>
      <c r="E230" s="34">
        <f>E231</f>
        <v>25000</v>
      </c>
      <c r="F230" s="34"/>
      <c r="G230" s="34"/>
      <c r="H230" s="34"/>
    </row>
    <row r="231" spans="1:8" s="1" customFormat="1" ht="25.5">
      <c r="A231" s="86"/>
      <c r="B231" s="86"/>
      <c r="C231" s="122"/>
      <c r="D231" s="29" t="s">
        <v>377</v>
      </c>
      <c r="E231" s="44">
        <f>E232</f>
        <v>25000</v>
      </c>
      <c r="F231" s="44"/>
      <c r="G231" s="44"/>
      <c r="H231" s="44"/>
    </row>
    <row r="232" spans="1:8" s="1" customFormat="1" ht="25.5">
      <c r="A232" s="18"/>
      <c r="B232" s="18"/>
      <c r="C232" s="68">
        <v>2020</v>
      </c>
      <c r="D232" s="27" t="s">
        <v>378</v>
      </c>
      <c r="E232" s="127">
        <v>25000</v>
      </c>
      <c r="F232" s="127"/>
      <c r="G232" s="127"/>
      <c r="H232" s="127"/>
    </row>
    <row r="233" spans="1:8" ht="19.5" customHeight="1" thickBot="1">
      <c r="A233" s="425">
        <v>801</v>
      </c>
      <c r="B233" s="405"/>
      <c r="C233" s="382"/>
      <c r="D233" s="383" t="s">
        <v>448</v>
      </c>
      <c r="E233" s="406">
        <f>E234</f>
        <v>16000</v>
      </c>
      <c r="F233" s="406"/>
      <c r="G233" s="406"/>
      <c r="H233" s="406"/>
    </row>
    <row r="234" spans="1:8" s="1" customFormat="1" ht="19.5" customHeight="1">
      <c r="A234" s="2"/>
      <c r="B234" s="25">
        <v>80195</v>
      </c>
      <c r="C234" s="33"/>
      <c r="D234" s="23" t="s">
        <v>100</v>
      </c>
      <c r="E234" s="34">
        <f>E235</f>
        <v>16000</v>
      </c>
      <c r="F234" s="34"/>
      <c r="G234" s="34"/>
      <c r="H234" s="34"/>
    </row>
    <row r="235" spans="1:8" s="1" customFormat="1" ht="18.75" customHeight="1">
      <c r="A235" s="86"/>
      <c r="B235" s="86"/>
      <c r="C235" s="122"/>
      <c r="D235" s="29" t="s">
        <v>996</v>
      </c>
      <c r="E235" s="44">
        <f>E236</f>
        <v>16000</v>
      </c>
      <c r="F235" s="44"/>
      <c r="G235" s="44"/>
      <c r="H235" s="44"/>
    </row>
    <row r="236" spans="1:8" s="1" customFormat="1" ht="27" customHeight="1">
      <c r="A236" s="18"/>
      <c r="B236" s="18"/>
      <c r="C236" s="68">
        <v>2310</v>
      </c>
      <c r="D236" s="27" t="s">
        <v>995</v>
      </c>
      <c r="E236" s="127">
        <v>16000</v>
      </c>
      <c r="F236" s="127"/>
      <c r="G236" s="127"/>
      <c r="H236" s="127"/>
    </row>
    <row r="237" spans="1:8" s="8" customFormat="1" ht="30" customHeight="1" thickBot="1">
      <c r="A237" s="45"/>
      <c r="B237" s="45"/>
      <c r="C237" s="123"/>
      <c r="D237" s="135" t="s">
        <v>964</v>
      </c>
      <c r="E237" s="125">
        <f>E242+E246+E250+E258+E262+E238+E254+E281+E285</f>
        <v>87767485</v>
      </c>
      <c r="F237" s="125"/>
      <c r="G237" s="125"/>
      <c r="H237" s="125"/>
    </row>
    <row r="238" spans="1:8" ht="17.25" customHeight="1" thickBot="1" thickTop="1">
      <c r="A238" s="445" t="s">
        <v>1022</v>
      </c>
      <c r="B238" s="382"/>
      <c r="C238" s="382"/>
      <c r="D238" s="383" t="s">
        <v>1023</v>
      </c>
      <c r="E238" s="384">
        <f>E239</f>
        <v>4548</v>
      </c>
      <c r="F238" s="384"/>
      <c r="G238" s="384"/>
      <c r="H238" s="384"/>
    </row>
    <row r="239" spans="1:8" s="1" customFormat="1" ht="18" customHeight="1">
      <c r="A239" s="2"/>
      <c r="B239" s="63" t="s">
        <v>743</v>
      </c>
      <c r="C239" s="33"/>
      <c r="D239" s="23" t="s">
        <v>100</v>
      </c>
      <c r="E239" s="34">
        <f>E240</f>
        <v>4548</v>
      </c>
      <c r="F239" s="34"/>
      <c r="G239" s="34"/>
      <c r="H239" s="34"/>
    </row>
    <row r="240" spans="1:8" s="1" customFormat="1" ht="27" customHeight="1">
      <c r="A240" s="86"/>
      <c r="B240" s="86"/>
      <c r="C240" s="122"/>
      <c r="D240" s="16" t="s">
        <v>379</v>
      </c>
      <c r="E240" s="132">
        <f>E241</f>
        <v>4548</v>
      </c>
      <c r="F240" s="132"/>
      <c r="G240" s="132"/>
      <c r="H240" s="132"/>
    </row>
    <row r="241" spans="1:8" s="1" customFormat="1" ht="27" customHeight="1">
      <c r="A241" s="22"/>
      <c r="B241" s="22"/>
      <c r="C241" s="22">
        <v>2010</v>
      </c>
      <c r="D241" s="27" t="s">
        <v>965</v>
      </c>
      <c r="E241" s="97">
        <v>4548</v>
      </c>
      <c r="F241" s="97"/>
      <c r="G241" s="97"/>
      <c r="H241" s="97"/>
    </row>
    <row r="242" spans="1:8" ht="16.5" customHeight="1" thickBot="1">
      <c r="A242" s="381">
        <v>750</v>
      </c>
      <c r="B242" s="382"/>
      <c r="C242" s="382"/>
      <c r="D242" s="383" t="s">
        <v>439</v>
      </c>
      <c r="E242" s="384">
        <f>E243</f>
        <v>1568923</v>
      </c>
      <c r="F242" s="384"/>
      <c r="G242" s="384"/>
      <c r="H242" s="384"/>
    </row>
    <row r="243" spans="1:8" s="1" customFormat="1" ht="17.25" customHeight="1">
      <c r="A243" s="2"/>
      <c r="B243" s="25">
        <v>75011</v>
      </c>
      <c r="C243" s="33"/>
      <c r="D243" s="23" t="s">
        <v>1049</v>
      </c>
      <c r="E243" s="34">
        <f>E244</f>
        <v>1568923</v>
      </c>
      <c r="F243" s="34"/>
      <c r="G243" s="34"/>
      <c r="H243" s="34"/>
    </row>
    <row r="244" spans="1:8" s="1" customFormat="1" ht="27" customHeight="1">
      <c r="A244" s="86"/>
      <c r="B244" s="86"/>
      <c r="C244" s="122"/>
      <c r="D244" s="16" t="s">
        <v>244</v>
      </c>
      <c r="E244" s="132">
        <f>E245</f>
        <v>1568923</v>
      </c>
      <c r="F244" s="132"/>
      <c r="G244" s="132"/>
      <c r="H244" s="132"/>
    </row>
    <row r="245" spans="1:8" s="1" customFormat="1" ht="27" customHeight="1">
      <c r="A245" s="22"/>
      <c r="B245" s="22"/>
      <c r="C245" s="22">
        <v>2010</v>
      </c>
      <c r="D245" s="27" t="s">
        <v>965</v>
      </c>
      <c r="E245" s="97">
        <v>1568923</v>
      </c>
      <c r="F245" s="97"/>
      <c r="G245" s="97"/>
      <c r="H245" s="97"/>
    </row>
    <row r="246" spans="1:8" ht="26.25" thickBot="1">
      <c r="A246" s="381">
        <v>751</v>
      </c>
      <c r="B246" s="382"/>
      <c r="C246" s="382"/>
      <c r="D246" s="383" t="s">
        <v>387</v>
      </c>
      <c r="E246" s="384">
        <f>E247</f>
        <v>28672</v>
      </c>
      <c r="F246" s="384"/>
      <c r="G246" s="384"/>
      <c r="H246" s="384"/>
    </row>
    <row r="247" spans="1:8" s="1" customFormat="1" ht="19.5" customHeight="1">
      <c r="A247" s="36"/>
      <c r="B247" s="25">
        <v>75101</v>
      </c>
      <c r="C247" s="33"/>
      <c r="D247" s="37" t="s">
        <v>966</v>
      </c>
      <c r="E247" s="4">
        <f>E248</f>
        <v>28672</v>
      </c>
      <c r="F247" s="4"/>
      <c r="G247" s="4"/>
      <c r="H247" s="4"/>
    </row>
    <row r="248" spans="1:8" s="1" customFormat="1" ht="27" customHeight="1">
      <c r="A248" s="86"/>
      <c r="B248" s="86"/>
      <c r="C248" s="86"/>
      <c r="D248" s="93" t="s">
        <v>426</v>
      </c>
      <c r="E248" s="136">
        <f>E249</f>
        <v>28672</v>
      </c>
      <c r="F248" s="136"/>
      <c r="G248" s="136"/>
      <c r="H248" s="136"/>
    </row>
    <row r="249" spans="1:8" s="1" customFormat="1" ht="27" customHeight="1">
      <c r="A249" s="22"/>
      <c r="B249" s="22"/>
      <c r="C249" s="22">
        <v>2010</v>
      </c>
      <c r="D249" s="27" t="s">
        <v>965</v>
      </c>
      <c r="E249" s="97">
        <v>28672</v>
      </c>
      <c r="F249" s="97"/>
      <c r="G249" s="97"/>
      <c r="H249" s="97"/>
    </row>
    <row r="250" spans="1:8" ht="19.5" customHeight="1" thickBot="1">
      <c r="A250" s="425">
        <v>754</v>
      </c>
      <c r="B250" s="405"/>
      <c r="C250" s="405"/>
      <c r="D250" s="426" t="s">
        <v>441</v>
      </c>
      <c r="E250" s="406">
        <f>E251</f>
        <v>1700</v>
      </c>
      <c r="F250" s="406"/>
      <c r="G250" s="406"/>
      <c r="H250" s="406"/>
    </row>
    <row r="251" spans="1:8" s="1" customFormat="1" ht="19.5" customHeight="1">
      <c r="A251" s="36"/>
      <c r="B251" s="25">
        <v>75414</v>
      </c>
      <c r="C251" s="33"/>
      <c r="D251" s="37" t="s">
        <v>545</v>
      </c>
      <c r="E251" s="4">
        <f>E252</f>
        <v>1700</v>
      </c>
      <c r="F251" s="4"/>
      <c r="G251" s="4"/>
      <c r="H251" s="4"/>
    </row>
    <row r="252" spans="1:8" s="1" customFormat="1" ht="18" customHeight="1">
      <c r="A252" s="86"/>
      <c r="B252" s="86"/>
      <c r="C252" s="86"/>
      <c r="D252" s="16" t="s">
        <v>175</v>
      </c>
      <c r="E252" s="132">
        <f>E253</f>
        <v>1700</v>
      </c>
      <c r="F252" s="132"/>
      <c r="G252" s="132"/>
      <c r="H252" s="132"/>
    </row>
    <row r="253" spans="1:8" s="1" customFormat="1" ht="29.25" customHeight="1">
      <c r="A253" s="22"/>
      <c r="B253" s="22"/>
      <c r="C253" s="22">
        <v>2010</v>
      </c>
      <c r="D253" s="27" t="s">
        <v>965</v>
      </c>
      <c r="E253" s="97">
        <v>1700</v>
      </c>
      <c r="F253" s="97"/>
      <c r="G253" s="97"/>
      <c r="H253" s="97"/>
    </row>
    <row r="254" spans="1:8" ht="19.5" customHeight="1" thickBot="1">
      <c r="A254" s="381">
        <v>801</v>
      </c>
      <c r="B254" s="382"/>
      <c r="C254" s="382"/>
      <c r="D254" s="383" t="s">
        <v>448</v>
      </c>
      <c r="E254" s="384">
        <f>E255</f>
        <v>6048</v>
      </c>
      <c r="F254" s="384"/>
      <c r="G254" s="384"/>
      <c r="H254" s="384"/>
    </row>
    <row r="255" spans="1:8" s="1" customFormat="1" ht="19.5" customHeight="1">
      <c r="A255" s="36"/>
      <c r="B255" s="25">
        <v>80195</v>
      </c>
      <c r="C255" s="33"/>
      <c r="D255" s="37" t="s">
        <v>100</v>
      </c>
      <c r="E255" s="4">
        <f>E256</f>
        <v>6048</v>
      </c>
      <c r="F255" s="4"/>
      <c r="G255" s="4"/>
      <c r="H255" s="4"/>
    </row>
    <row r="256" spans="1:8" s="1" customFormat="1" ht="27" customHeight="1">
      <c r="A256" s="86"/>
      <c r="B256" s="86"/>
      <c r="C256" s="38"/>
      <c r="D256" s="29" t="s">
        <v>60</v>
      </c>
      <c r="E256" s="132">
        <f>E257</f>
        <v>6048</v>
      </c>
      <c r="F256" s="132"/>
      <c r="G256" s="132"/>
      <c r="H256" s="132"/>
    </row>
    <row r="257" spans="1:8" s="1" customFormat="1" ht="27.75" customHeight="1">
      <c r="A257" s="22"/>
      <c r="B257" s="22"/>
      <c r="C257" s="26">
        <v>2010</v>
      </c>
      <c r="D257" s="27" t="s">
        <v>965</v>
      </c>
      <c r="E257" s="97">
        <v>6048</v>
      </c>
      <c r="F257" s="97"/>
      <c r="G257" s="97"/>
      <c r="H257" s="97"/>
    </row>
    <row r="258" spans="1:8" ht="19.5" customHeight="1" thickBot="1">
      <c r="A258" s="381">
        <v>851</v>
      </c>
      <c r="B258" s="382"/>
      <c r="C258" s="382"/>
      <c r="D258" s="383" t="s">
        <v>106</v>
      </c>
      <c r="E258" s="384">
        <f>E259</f>
        <v>8000</v>
      </c>
      <c r="F258" s="384"/>
      <c r="G258" s="384"/>
      <c r="H258" s="384"/>
    </row>
    <row r="259" spans="1:8" s="1" customFormat="1" ht="19.5" customHeight="1">
      <c r="A259" s="36"/>
      <c r="B259" s="25">
        <v>85195</v>
      </c>
      <c r="C259" s="33"/>
      <c r="D259" s="37" t="s">
        <v>100</v>
      </c>
      <c r="E259" s="4">
        <f>E260</f>
        <v>8000</v>
      </c>
      <c r="F259" s="4"/>
      <c r="G259" s="4"/>
      <c r="H259" s="4"/>
    </row>
    <row r="260" spans="1:8" s="1" customFormat="1" ht="27.75" customHeight="1">
      <c r="A260" s="86"/>
      <c r="B260" s="86"/>
      <c r="C260" s="38"/>
      <c r="D260" s="29" t="s">
        <v>981</v>
      </c>
      <c r="E260" s="132">
        <f>E261</f>
        <v>8000</v>
      </c>
      <c r="F260" s="132"/>
      <c r="G260" s="132"/>
      <c r="H260" s="132"/>
    </row>
    <row r="261" spans="1:8" s="1" customFormat="1" ht="30" customHeight="1">
      <c r="A261" s="22"/>
      <c r="B261" s="22"/>
      <c r="C261" s="26">
        <v>2010</v>
      </c>
      <c r="D261" s="39" t="s">
        <v>965</v>
      </c>
      <c r="E261" s="97">
        <v>8000</v>
      </c>
      <c r="F261" s="97"/>
      <c r="G261" s="97"/>
      <c r="H261" s="97"/>
    </row>
    <row r="262" spans="1:8" ht="19.5" customHeight="1" thickBot="1">
      <c r="A262" s="381">
        <v>852</v>
      </c>
      <c r="B262" s="382"/>
      <c r="C262" s="382"/>
      <c r="D262" s="383" t="s">
        <v>129</v>
      </c>
      <c r="E262" s="384">
        <f>E263+E266+E269+E272+E275+E278</f>
        <v>86058152</v>
      </c>
      <c r="F262" s="384"/>
      <c r="G262" s="384"/>
      <c r="H262" s="384"/>
    </row>
    <row r="263" spans="1:8" s="1" customFormat="1" ht="19.5" customHeight="1">
      <c r="A263" s="2"/>
      <c r="B263" s="3">
        <v>85203</v>
      </c>
      <c r="C263" s="40"/>
      <c r="D263" s="41" t="s">
        <v>126</v>
      </c>
      <c r="E263" s="42">
        <f>E264</f>
        <v>271000</v>
      </c>
      <c r="F263" s="42"/>
      <c r="G263" s="42"/>
      <c r="H263" s="42"/>
    </row>
    <row r="264" spans="1:8" s="1" customFormat="1" ht="26.25" customHeight="1">
      <c r="A264" s="86"/>
      <c r="B264" s="86"/>
      <c r="C264" s="122"/>
      <c r="D264" s="16" t="s">
        <v>665</v>
      </c>
      <c r="E264" s="132">
        <f>E265</f>
        <v>271000</v>
      </c>
      <c r="F264" s="132"/>
      <c r="G264" s="132"/>
      <c r="H264" s="132"/>
    </row>
    <row r="265" spans="1:8" s="1" customFormat="1" ht="27" customHeight="1">
      <c r="A265" s="18"/>
      <c r="B265" s="22"/>
      <c r="C265" s="22">
        <v>2010</v>
      </c>
      <c r="D265" s="27" t="s">
        <v>965</v>
      </c>
      <c r="E265" s="97">
        <v>271000</v>
      </c>
      <c r="F265" s="97"/>
      <c r="G265" s="97"/>
      <c r="H265" s="97"/>
    </row>
    <row r="266" spans="1:8" s="1" customFormat="1" ht="28.5" customHeight="1">
      <c r="A266" s="18"/>
      <c r="B266" s="3">
        <v>85212</v>
      </c>
      <c r="C266" s="52"/>
      <c r="D266" s="23" t="s">
        <v>976</v>
      </c>
      <c r="E266" s="34">
        <f>E267</f>
        <v>74451000</v>
      </c>
      <c r="F266" s="34"/>
      <c r="G266" s="34"/>
      <c r="H266" s="34"/>
    </row>
    <row r="267" spans="1:8" s="1" customFormat="1" ht="27" customHeight="1">
      <c r="A267" s="18"/>
      <c r="B267" s="128"/>
      <c r="C267" s="128"/>
      <c r="D267" s="29" t="s">
        <v>622</v>
      </c>
      <c r="E267" s="132">
        <f>E268</f>
        <v>74451000</v>
      </c>
      <c r="F267" s="132"/>
      <c r="G267" s="132"/>
      <c r="H267" s="132"/>
    </row>
    <row r="268" spans="1:8" s="1" customFormat="1" ht="27.75" customHeight="1">
      <c r="A268" s="18"/>
      <c r="B268" s="22"/>
      <c r="C268" s="22">
        <v>2010</v>
      </c>
      <c r="D268" s="27" t="s">
        <v>965</v>
      </c>
      <c r="E268" s="97">
        <v>74451000</v>
      </c>
      <c r="F268" s="97"/>
      <c r="G268" s="97"/>
      <c r="H268" s="97"/>
    </row>
    <row r="269" spans="1:8" s="1" customFormat="1" ht="27" customHeight="1">
      <c r="A269" s="2"/>
      <c r="B269" s="3">
        <v>85213</v>
      </c>
      <c r="C269" s="35"/>
      <c r="D269" s="23" t="s">
        <v>221</v>
      </c>
      <c r="E269" s="43">
        <f>E270</f>
        <v>729000</v>
      </c>
      <c r="F269" s="43"/>
      <c r="G269" s="43"/>
      <c r="H269" s="43"/>
    </row>
    <row r="270" spans="1:8" s="1" customFormat="1" ht="28.5" customHeight="1">
      <c r="A270" s="86"/>
      <c r="B270" s="86"/>
      <c r="C270" s="122"/>
      <c r="D270" s="16" t="s">
        <v>348</v>
      </c>
      <c r="E270" s="132">
        <f>E271</f>
        <v>729000</v>
      </c>
      <c r="F270" s="132"/>
      <c r="G270" s="132"/>
      <c r="H270" s="132"/>
    </row>
    <row r="271" spans="1:8" s="1" customFormat="1" ht="28.5" customHeight="1">
      <c r="A271" s="22"/>
      <c r="B271" s="22"/>
      <c r="C271" s="22">
        <v>2010</v>
      </c>
      <c r="D271" s="27" t="s">
        <v>965</v>
      </c>
      <c r="E271" s="97">
        <v>729000</v>
      </c>
      <c r="F271" s="97"/>
      <c r="G271" s="97"/>
      <c r="H271" s="97"/>
    </row>
    <row r="272" spans="1:8" s="1" customFormat="1" ht="19.5" customHeight="1">
      <c r="A272" s="5"/>
      <c r="B272" s="13">
        <v>85214</v>
      </c>
      <c r="C272" s="365"/>
      <c r="D272" s="60" t="s">
        <v>459</v>
      </c>
      <c r="E272" s="49">
        <f>E273</f>
        <v>9268000</v>
      </c>
      <c r="F272" s="49"/>
      <c r="G272" s="49"/>
      <c r="H272" s="49"/>
    </row>
    <row r="273" spans="1:8" s="1" customFormat="1" ht="25.5">
      <c r="A273" s="86"/>
      <c r="B273" s="86"/>
      <c r="C273" s="122"/>
      <c r="D273" s="16" t="s">
        <v>54</v>
      </c>
      <c r="E273" s="132">
        <f>E274</f>
        <v>9268000</v>
      </c>
      <c r="F273" s="132"/>
      <c r="G273" s="132"/>
      <c r="H273" s="132"/>
    </row>
    <row r="274" spans="1:8" s="1" customFormat="1" ht="27" customHeight="1">
      <c r="A274" s="18"/>
      <c r="B274" s="22"/>
      <c r="C274" s="22">
        <v>2010</v>
      </c>
      <c r="D274" s="27" t="s">
        <v>965</v>
      </c>
      <c r="E274" s="97">
        <v>9268000</v>
      </c>
      <c r="F274" s="97"/>
      <c r="G274" s="97"/>
      <c r="H274" s="97"/>
    </row>
    <row r="275" spans="1:8" s="1" customFormat="1" ht="19.5" customHeight="1">
      <c r="A275" s="2"/>
      <c r="B275" s="3">
        <v>85228</v>
      </c>
      <c r="C275" s="35"/>
      <c r="D275" s="23" t="s">
        <v>616</v>
      </c>
      <c r="E275" s="34">
        <f>E276</f>
        <v>1278000</v>
      </c>
      <c r="F275" s="34"/>
      <c r="G275" s="34"/>
      <c r="H275" s="34"/>
    </row>
    <row r="276" spans="1:8" s="1" customFormat="1" ht="19.5" customHeight="1">
      <c r="A276" s="86"/>
      <c r="B276" s="86"/>
      <c r="C276" s="122"/>
      <c r="D276" s="16" t="s">
        <v>427</v>
      </c>
      <c r="E276" s="132">
        <f>E277</f>
        <v>1278000</v>
      </c>
      <c r="F276" s="132"/>
      <c r="G276" s="132"/>
      <c r="H276" s="132"/>
    </row>
    <row r="277" spans="1:8" s="1" customFormat="1" ht="27" customHeight="1">
      <c r="A277" s="18"/>
      <c r="B277" s="18"/>
      <c r="C277" s="22">
        <v>2010</v>
      </c>
      <c r="D277" s="27" t="s">
        <v>965</v>
      </c>
      <c r="E277" s="97">
        <v>1278000</v>
      </c>
      <c r="F277" s="97"/>
      <c r="G277" s="97"/>
      <c r="H277" s="97"/>
    </row>
    <row r="278" spans="1:8" s="1" customFormat="1" ht="19.5" customHeight="1">
      <c r="A278" s="2"/>
      <c r="B278" s="13">
        <v>85278</v>
      </c>
      <c r="C278" s="35"/>
      <c r="D278" s="23" t="s">
        <v>671</v>
      </c>
      <c r="E278" s="34">
        <f>E279</f>
        <v>61152</v>
      </c>
      <c r="F278" s="34"/>
      <c r="G278" s="34"/>
      <c r="H278" s="34"/>
    </row>
    <row r="279" spans="1:8" s="1" customFormat="1" ht="28.5" customHeight="1">
      <c r="A279" s="86"/>
      <c r="B279" s="86"/>
      <c r="C279" s="122"/>
      <c r="D279" s="16" t="s">
        <v>623</v>
      </c>
      <c r="E279" s="132">
        <f>E280</f>
        <v>61152</v>
      </c>
      <c r="F279" s="132"/>
      <c r="G279" s="132"/>
      <c r="H279" s="132"/>
    </row>
    <row r="280" spans="1:8" s="1" customFormat="1" ht="28.5" customHeight="1">
      <c r="A280" s="18"/>
      <c r="B280" s="18"/>
      <c r="C280" s="18">
        <v>2010</v>
      </c>
      <c r="D280" s="360" t="s">
        <v>965</v>
      </c>
      <c r="E280" s="353">
        <f>37552+23600</f>
        <v>61152</v>
      </c>
      <c r="F280" s="353"/>
      <c r="G280" s="353"/>
      <c r="H280" s="353"/>
    </row>
    <row r="281" spans="1:8" ht="21.75" customHeight="1" thickBot="1">
      <c r="A281" s="425">
        <v>854</v>
      </c>
      <c r="B281" s="405"/>
      <c r="C281" s="405"/>
      <c r="D281" s="426" t="s">
        <v>618</v>
      </c>
      <c r="E281" s="406">
        <f>E282</f>
        <v>57442</v>
      </c>
      <c r="F281" s="406"/>
      <c r="G281" s="406"/>
      <c r="H281" s="406"/>
    </row>
    <row r="282" spans="1:8" s="1" customFormat="1" ht="25.5">
      <c r="A282" s="2"/>
      <c r="B282" s="3">
        <v>85412</v>
      </c>
      <c r="C282" s="40"/>
      <c r="D282" s="457" t="s">
        <v>929</v>
      </c>
      <c r="E282" s="42">
        <f>E283</f>
        <v>57442</v>
      </c>
      <c r="F282" s="42"/>
      <c r="G282" s="42"/>
      <c r="H282" s="42"/>
    </row>
    <row r="283" spans="1:8" s="1" customFormat="1" ht="26.25" customHeight="1">
      <c r="A283" s="86"/>
      <c r="B283" s="86"/>
      <c r="C283" s="122"/>
      <c r="D283" s="29" t="s">
        <v>60</v>
      </c>
      <c r="E283" s="132">
        <f>E284</f>
        <v>57442</v>
      </c>
      <c r="F283" s="132"/>
      <c r="G283" s="132"/>
      <c r="H283" s="132"/>
    </row>
    <row r="284" spans="1:8" s="1" customFormat="1" ht="27" customHeight="1">
      <c r="A284" s="18"/>
      <c r="B284" s="22"/>
      <c r="C284" s="22">
        <v>2010</v>
      </c>
      <c r="D284" s="27" t="s">
        <v>965</v>
      </c>
      <c r="E284" s="97">
        <v>57442</v>
      </c>
      <c r="F284" s="97"/>
      <c r="G284" s="97"/>
      <c r="H284" s="97"/>
    </row>
    <row r="285" spans="1:8" ht="21.75" customHeight="1" thickBot="1">
      <c r="A285" s="425">
        <v>921</v>
      </c>
      <c r="B285" s="382"/>
      <c r="C285" s="382"/>
      <c r="D285" s="383" t="s">
        <v>401</v>
      </c>
      <c r="E285" s="384">
        <f>E286</f>
        <v>34000</v>
      </c>
      <c r="F285" s="384"/>
      <c r="G285" s="384"/>
      <c r="H285" s="384"/>
    </row>
    <row r="286" spans="1:8" s="1" customFormat="1" ht="21.75" customHeight="1">
      <c r="A286" s="2"/>
      <c r="B286" s="3">
        <v>92109</v>
      </c>
      <c r="C286" s="40"/>
      <c r="D286" s="48" t="s">
        <v>1043</v>
      </c>
      <c r="E286" s="42">
        <f>E287</f>
        <v>34000</v>
      </c>
      <c r="F286" s="42"/>
      <c r="G286" s="42"/>
      <c r="H286" s="42"/>
    </row>
    <row r="287" spans="1:8" s="1" customFormat="1" ht="25.5">
      <c r="A287" s="86"/>
      <c r="B287" s="86"/>
      <c r="C287" s="122"/>
      <c r="D287" s="29" t="s">
        <v>60</v>
      </c>
      <c r="E287" s="132">
        <f>E288</f>
        <v>34000</v>
      </c>
      <c r="F287" s="132"/>
      <c r="G287" s="132"/>
      <c r="H287" s="132"/>
    </row>
    <row r="288" spans="1:8" s="1" customFormat="1" ht="27" customHeight="1">
      <c r="A288" s="18"/>
      <c r="B288" s="18"/>
      <c r="C288" s="22">
        <v>2010</v>
      </c>
      <c r="D288" s="27" t="s">
        <v>965</v>
      </c>
      <c r="E288" s="97">
        <v>34000</v>
      </c>
      <c r="F288" s="97"/>
      <c r="G288" s="97"/>
      <c r="H288" s="97"/>
    </row>
    <row r="289" spans="1:8" s="8" customFormat="1" ht="21" customHeight="1">
      <c r="A289" s="50"/>
      <c r="B289" s="50"/>
      <c r="C289" s="47"/>
      <c r="D289" s="137" t="s">
        <v>242</v>
      </c>
      <c r="E289" s="138">
        <f>E290+E309+E320+E393+E414</f>
        <v>268438313</v>
      </c>
      <c r="F289" s="138"/>
      <c r="G289" s="138"/>
      <c r="H289" s="138"/>
    </row>
    <row r="290" spans="1:8" s="8" customFormat="1" ht="21" customHeight="1" thickBot="1">
      <c r="A290" s="45"/>
      <c r="B290" s="45"/>
      <c r="C290" s="45"/>
      <c r="D290" s="139" t="s">
        <v>967</v>
      </c>
      <c r="E290" s="125">
        <f>E291+E295+E299+E305</f>
        <v>65468928</v>
      </c>
      <c r="F290" s="125"/>
      <c r="G290" s="125"/>
      <c r="H290" s="125"/>
    </row>
    <row r="291" spans="1:8" ht="22.5" customHeight="1" thickBot="1" thickTop="1">
      <c r="A291" s="381">
        <v>700</v>
      </c>
      <c r="B291" s="382"/>
      <c r="C291" s="382"/>
      <c r="D291" s="383" t="s">
        <v>433</v>
      </c>
      <c r="E291" s="384">
        <f>E292</f>
        <v>2100000</v>
      </c>
      <c r="F291" s="384"/>
      <c r="G291" s="384"/>
      <c r="H291" s="384"/>
    </row>
    <row r="292" spans="1:8" s="1" customFormat="1" ht="19.5" customHeight="1">
      <c r="A292" s="2"/>
      <c r="B292" s="3">
        <v>70005</v>
      </c>
      <c r="C292" s="3"/>
      <c r="D292" s="67" t="s">
        <v>435</v>
      </c>
      <c r="E292" s="43">
        <f>E293</f>
        <v>2100000</v>
      </c>
      <c r="F292" s="43"/>
      <c r="G292" s="43"/>
      <c r="H292" s="43"/>
    </row>
    <row r="293" spans="1:8" s="1" customFormat="1" ht="17.25" customHeight="1">
      <c r="A293" s="2"/>
      <c r="B293" s="2"/>
      <c r="C293" s="2"/>
      <c r="D293" s="101" t="s">
        <v>906</v>
      </c>
      <c r="E293" s="44">
        <f>E294</f>
        <v>2100000</v>
      </c>
      <c r="F293" s="44"/>
      <c r="G293" s="44"/>
      <c r="H293" s="44"/>
    </row>
    <row r="294" spans="1:8" s="1" customFormat="1" ht="27.75" customHeight="1">
      <c r="A294" s="22"/>
      <c r="B294" s="22"/>
      <c r="C294" s="19">
        <v>2360</v>
      </c>
      <c r="D294" s="20" t="s">
        <v>454</v>
      </c>
      <c r="E294" s="97">
        <v>2100000</v>
      </c>
      <c r="F294" s="97"/>
      <c r="G294" s="97"/>
      <c r="H294" s="97"/>
    </row>
    <row r="295" spans="1:8" ht="21.75" customHeight="1" thickBot="1">
      <c r="A295" s="425">
        <v>754</v>
      </c>
      <c r="B295" s="405"/>
      <c r="C295" s="405"/>
      <c r="D295" s="426" t="s">
        <v>441</v>
      </c>
      <c r="E295" s="406">
        <f>E296</f>
        <v>5000</v>
      </c>
      <c r="F295" s="406"/>
      <c r="G295" s="406"/>
      <c r="H295" s="406"/>
    </row>
    <row r="296" spans="1:8" s="1" customFormat="1" ht="18.75" customHeight="1">
      <c r="A296" s="2"/>
      <c r="B296" s="3">
        <v>75411</v>
      </c>
      <c r="C296" s="3"/>
      <c r="D296" s="67" t="s">
        <v>442</v>
      </c>
      <c r="E296" s="43">
        <f>E297</f>
        <v>5000</v>
      </c>
      <c r="F296" s="43"/>
      <c r="G296" s="43"/>
      <c r="H296" s="43"/>
    </row>
    <row r="297" spans="1:8" s="1" customFormat="1" ht="18" customHeight="1">
      <c r="A297" s="2"/>
      <c r="B297" s="2"/>
      <c r="C297" s="5"/>
      <c r="D297" s="101" t="s">
        <v>666</v>
      </c>
      <c r="E297" s="44">
        <f>E298</f>
        <v>5000</v>
      </c>
      <c r="F297" s="44"/>
      <c r="G297" s="44"/>
      <c r="H297" s="44"/>
    </row>
    <row r="298" spans="1:8" s="1" customFormat="1" ht="27" customHeight="1">
      <c r="A298" s="22"/>
      <c r="B298" s="22"/>
      <c r="C298" s="19">
        <v>2360</v>
      </c>
      <c r="D298" s="20" t="s">
        <v>454</v>
      </c>
      <c r="E298" s="97">
        <v>5000</v>
      </c>
      <c r="F298" s="97"/>
      <c r="G298" s="97"/>
      <c r="H298" s="97"/>
    </row>
    <row r="299" spans="1:8" ht="29.25" customHeight="1" thickBot="1">
      <c r="A299" s="381">
        <v>756</v>
      </c>
      <c r="B299" s="382"/>
      <c r="C299" s="382"/>
      <c r="D299" s="383" t="s">
        <v>380</v>
      </c>
      <c r="E299" s="384">
        <f>E300</f>
        <v>63358928</v>
      </c>
      <c r="F299" s="384"/>
      <c r="G299" s="384"/>
      <c r="H299" s="384"/>
    </row>
    <row r="300" spans="1:8" s="1" customFormat="1" ht="19.5" customHeight="1">
      <c r="A300" s="2"/>
      <c r="B300" s="3">
        <v>75622</v>
      </c>
      <c r="C300" s="3"/>
      <c r="D300" s="67" t="s">
        <v>968</v>
      </c>
      <c r="E300" s="43">
        <f>E301+E303</f>
        <v>63358928</v>
      </c>
      <c r="F300" s="43"/>
      <c r="G300" s="43"/>
      <c r="H300" s="43"/>
    </row>
    <row r="301" spans="1:8" s="1" customFormat="1" ht="19.5" customHeight="1">
      <c r="A301" s="2"/>
      <c r="B301" s="2"/>
      <c r="C301" s="5"/>
      <c r="D301" s="101" t="s">
        <v>879</v>
      </c>
      <c r="E301" s="44">
        <f>E302</f>
        <v>59358928</v>
      </c>
      <c r="F301" s="44"/>
      <c r="G301" s="44"/>
      <c r="H301" s="44"/>
    </row>
    <row r="302" spans="1:8" s="1" customFormat="1" ht="19.5" customHeight="1">
      <c r="A302" s="18"/>
      <c r="B302" s="18"/>
      <c r="C302" s="68" t="s">
        <v>1078</v>
      </c>
      <c r="D302" s="69" t="s">
        <v>381</v>
      </c>
      <c r="E302" s="97">
        <v>59358928</v>
      </c>
      <c r="F302" s="97"/>
      <c r="G302" s="97"/>
      <c r="H302" s="97"/>
    </row>
    <row r="303" spans="1:8" s="1" customFormat="1" ht="19.5" customHeight="1">
      <c r="A303" s="18"/>
      <c r="B303" s="18"/>
      <c r="C303" s="21"/>
      <c r="D303" s="101" t="s">
        <v>382</v>
      </c>
      <c r="E303" s="44">
        <f>E304</f>
        <v>4000000</v>
      </c>
      <c r="F303" s="44"/>
      <c r="G303" s="44"/>
      <c r="H303" s="44"/>
    </row>
    <row r="304" spans="1:8" s="1" customFormat="1" ht="19.5" customHeight="1">
      <c r="A304" s="22"/>
      <c r="B304" s="22"/>
      <c r="C304" s="68" t="s">
        <v>1079</v>
      </c>
      <c r="D304" s="69" t="s">
        <v>840</v>
      </c>
      <c r="E304" s="97">
        <v>4000000</v>
      </c>
      <c r="F304" s="97"/>
      <c r="G304" s="97"/>
      <c r="H304" s="97"/>
    </row>
    <row r="305" spans="1:8" ht="19.5" customHeight="1" thickBot="1">
      <c r="A305" s="381">
        <v>852</v>
      </c>
      <c r="B305" s="382"/>
      <c r="C305" s="382"/>
      <c r="D305" s="383" t="s">
        <v>129</v>
      </c>
      <c r="E305" s="384">
        <f>E306</f>
        <v>5000</v>
      </c>
      <c r="F305" s="384"/>
      <c r="G305" s="384"/>
      <c r="H305" s="384"/>
    </row>
    <row r="306" spans="1:8" s="1" customFormat="1" ht="19.5" customHeight="1">
      <c r="A306" s="2"/>
      <c r="B306" s="3">
        <v>85203</v>
      </c>
      <c r="C306" s="3"/>
      <c r="D306" s="67" t="s">
        <v>126</v>
      </c>
      <c r="E306" s="43">
        <f>E307</f>
        <v>5000</v>
      </c>
      <c r="F306" s="43"/>
      <c r="G306" s="43"/>
      <c r="H306" s="43"/>
    </row>
    <row r="307" spans="1:8" s="1" customFormat="1" ht="28.5" customHeight="1">
      <c r="A307" s="2"/>
      <c r="B307" s="2"/>
      <c r="C307" s="5"/>
      <c r="D307" s="101" t="s">
        <v>275</v>
      </c>
      <c r="E307" s="44">
        <f>E308</f>
        <v>5000</v>
      </c>
      <c r="F307" s="44"/>
      <c r="G307" s="44"/>
      <c r="H307" s="44"/>
    </row>
    <row r="308" spans="1:8" s="1" customFormat="1" ht="27" customHeight="1">
      <c r="A308" s="18"/>
      <c r="B308" s="18"/>
      <c r="C308" s="19">
        <v>2360</v>
      </c>
      <c r="D308" s="20" t="s">
        <v>454</v>
      </c>
      <c r="E308" s="97">
        <v>5000</v>
      </c>
      <c r="F308" s="97"/>
      <c r="G308" s="97"/>
      <c r="H308" s="97"/>
    </row>
    <row r="309" spans="1:8" s="8" customFormat="1" ht="21" customHeight="1" thickBot="1">
      <c r="A309" s="45"/>
      <c r="B309" s="45"/>
      <c r="C309" s="45"/>
      <c r="D309" s="46" t="s">
        <v>455</v>
      </c>
      <c r="E309" s="24">
        <f>E310</f>
        <v>142173147</v>
      </c>
      <c r="F309" s="24"/>
      <c r="G309" s="24"/>
      <c r="H309" s="24"/>
    </row>
    <row r="310" spans="1:8" ht="21" customHeight="1" thickBot="1" thickTop="1">
      <c r="A310" s="381">
        <v>758</v>
      </c>
      <c r="B310" s="382"/>
      <c r="C310" s="382"/>
      <c r="D310" s="383" t="s">
        <v>446</v>
      </c>
      <c r="E310" s="384">
        <f>E311+E317+E314</f>
        <v>142173147</v>
      </c>
      <c r="F310" s="384"/>
      <c r="G310" s="384"/>
      <c r="H310" s="384"/>
    </row>
    <row r="311" spans="1:8" s="1" customFormat="1" ht="21" customHeight="1">
      <c r="A311" s="2"/>
      <c r="B311" s="3">
        <v>75801</v>
      </c>
      <c r="C311" s="35"/>
      <c r="D311" s="23" t="s">
        <v>662</v>
      </c>
      <c r="E311" s="34">
        <f>E312</f>
        <v>132976929</v>
      </c>
      <c r="F311" s="34"/>
      <c r="G311" s="34"/>
      <c r="H311" s="34"/>
    </row>
    <row r="312" spans="1:8" s="1" customFormat="1" ht="21" customHeight="1">
      <c r="A312" s="86"/>
      <c r="B312" s="122"/>
      <c r="C312" s="122"/>
      <c r="D312" s="29" t="s">
        <v>663</v>
      </c>
      <c r="E312" s="17">
        <f>E313</f>
        <v>132976929</v>
      </c>
      <c r="F312" s="17"/>
      <c r="G312" s="17"/>
      <c r="H312" s="17"/>
    </row>
    <row r="313" spans="1:8" s="1" customFormat="1" ht="21" customHeight="1">
      <c r="A313" s="18"/>
      <c r="B313" s="22"/>
      <c r="C313" s="52">
        <v>2920</v>
      </c>
      <c r="D313" s="27" t="s">
        <v>664</v>
      </c>
      <c r="E313" s="6">
        <f>132731929+245000</f>
        <v>132976929</v>
      </c>
      <c r="F313" s="6"/>
      <c r="G313" s="6"/>
      <c r="H313" s="6"/>
    </row>
    <row r="314" spans="1:8" s="1" customFormat="1" ht="21" customHeight="1">
      <c r="A314" s="2"/>
      <c r="B314" s="3">
        <v>75802</v>
      </c>
      <c r="C314" s="35"/>
      <c r="D314" s="23" t="s">
        <v>117</v>
      </c>
      <c r="E314" s="34">
        <f>E315</f>
        <v>3200000</v>
      </c>
      <c r="F314" s="34"/>
      <c r="G314" s="34"/>
      <c r="H314" s="34"/>
    </row>
    <row r="315" spans="1:8" s="1" customFormat="1" ht="21" customHeight="1">
      <c r="A315" s="86"/>
      <c r="B315" s="122"/>
      <c r="C315" s="122"/>
      <c r="D315" s="29" t="s">
        <v>118</v>
      </c>
      <c r="E315" s="17">
        <f>E316</f>
        <v>3200000</v>
      </c>
      <c r="F315" s="17"/>
      <c r="G315" s="17"/>
      <c r="H315" s="17"/>
    </row>
    <row r="316" spans="1:8" s="1" customFormat="1" ht="21" customHeight="1">
      <c r="A316" s="18"/>
      <c r="B316" s="18"/>
      <c r="C316" s="52">
        <v>2780</v>
      </c>
      <c r="D316" s="27" t="s">
        <v>119</v>
      </c>
      <c r="E316" s="6">
        <v>3200000</v>
      </c>
      <c r="F316" s="6"/>
      <c r="G316" s="6"/>
      <c r="H316" s="6"/>
    </row>
    <row r="317" spans="1:8" s="1" customFormat="1" ht="21" customHeight="1">
      <c r="A317" s="2"/>
      <c r="B317" s="13">
        <v>75832</v>
      </c>
      <c r="C317" s="35"/>
      <c r="D317" s="23" t="s">
        <v>1039</v>
      </c>
      <c r="E317" s="34">
        <f>E318</f>
        <v>5996218</v>
      </c>
      <c r="F317" s="34"/>
      <c r="G317" s="34"/>
      <c r="H317" s="34"/>
    </row>
    <row r="318" spans="1:8" s="1" customFormat="1" ht="21" customHeight="1">
      <c r="A318" s="86"/>
      <c r="B318" s="122"/>
      <c r="C318" s="122"/>
      <c r="D318" s="29" t="s">
        <v>1105</v>
      </c>
      <c r="E318" s="17">
        <f>E319</f>
        <v>5996218</v>
      </c>
      <c r="F318" s="17"/>
      <c r="G318" s="17"/>
      <c r="H318" s="17"/>
    </row>
    <row r="319" spans="1:8" s="1" customFormat="1" ht="21" customHeight="1">
      <c r="A319" s="22"/>
      <c r="B319" s="22"/>
      <c r="C319" s="52">
        <v>2920</v>
      </c>
      <c r="D319" s="27" t="s">
        <v>664</v>
      </c>
      <c r="E319" s="6">
        <v>5996218</v>
      </c>
      <c r="F319" s="6"/>
      <c r="G319" s="6"/>
      <c r="H319" s="6"/>
    </row>
    <row r="320" spans="1:8" s="8" customFormat="1" ht="21" customHeight="1" thickBot="1">
      <c r="A320" s="123"/>
      <c r="B320" s="123"/>
      <c r="C320" s="123"/>
      <c r="D320" s="1029" t="s">
        <v>403</v>
      </c>
      <c r="E320" s="125">
        <f>E321+E328+E354+E373+E386</f>
        <v>30593287</v>
      </c>
      <c r="F320" s="125"/>
      <c r="G320" s="125"/>
      <c r="H320" s="125"/>
    </row>
    <row r="321" spans="1:8" ht="21" customHeight="1" thickBot="1" thickTop="1">
      <c r="A321" s="381">
        <v>600</v>
      </c>
      <c r="B321" s="382"/>
      <c r="C321" s="382"/>
      <c r="D321" s="383" t="s">
        <v>525</v>
      </c>
      <c r="E321" s="384">
        <f>E322+E325</f>
        <v>20687527</v>
      </c>
      <c r="F321" s="384"/>
      <c r="G321" s="384"/>
      <c r="H321" s="384"/>
    </row>
    <row r="322" spans="1:8" s="8" customFormat="1" ht="21" customHeight="1">
      <c r="A322" s="50"/>
      <c r="B322" s="3">
        <v>60015</v>
      </c>
      <c r="C322" s="3"/>
      <c r="D322" s="33" t="s">
        <v>1113</v>
      </c>
      <c r="E322" s="43">
        <f>E323</f>
        <v>19545291</v>
      </c>
      <c r="F322" s="43"/>
      <c r="G322" s="43"/>
      <c r="H322" s="43"/>
    </row>
    <row r="323" spans="1:8" s="8" customFormat="1" ht="24.75" customHeight="1">
      <c r="A323" s="50"/>
      <c r="B323" s="50"/>
      <c r="C323" s="30"/>
      <c r="D323" s="29" t="s">
        <v>458</v>
      </c>
      <c r="E323" s="44">
        <f>E324</f>
        <v>19545291</v>
      </c>
      <c r="F323" s="44"/>
      <c r="G323" s="44"/>
      <c r="H323" s="44"/>
    </row>
    <row r="324" spans="1:8" s="8" customFormat="1" ht="24.75" customHeight="1">
      <c r="A324" s="50"/>
      <c r="B324" s="45"/>
      <c r="C324" s="26">
        <v>6298</v>
      </c>
      <c r="D324" s="27" t="s">
        <v>931</v>
      </c>
      <c r="E324" s="98">
        <v>19545291</v>
      </c>
      <c r="F324" s="98"/>
      <c r="G324" s="51"/>
      <c r="H324" s="51"/>
    </row>
    <row r="325" spans="1:8" s="8" customFormat="1" ht="18.75" customHeight="1">
      <c r="A325" s="50"/>
      <c r="B325" s="13">
        <v>60095</v>
      </c>
      <c r="C325" s="13"/>
      <c r="D325" s="48" t="s">
        <v>100</v>
      </c>
      <c r="E325" s="49">
        <f>E326</f>
        <v>1142236</v>
      </c>
      <c r="F325" s="49"/>
      <c r="G325" s="49"/>
      <c r="H325" s="49"/>
    </row>
    <row r="326" spans="1:8" s="8" customFormat="1" ht="38.25">
      <c r="A326" s="50"/>
      <c r="B326" s="50"/>
      <c r="C326" s="30"/>
      <c r="D326" s="29" t="s">
        <v>907</v>
      </c>
      <c r="E326" s="44">
        <f>E327</f>
        <v>1142236</v>
      </c>
      <c r="F326" s="44"/>
      <c r="G326" s="44"/>
      <c r="H326" s="44"/>
    </row>
    <row r="327" spans="1:8" s="8" customFormat="1" ht="27" customHeight="1">
      <c r="A327" s="45"/>
      <c r="B327" s="45"/>
      <c r="C327" s="26">
        <v>6430</v>
      </c>
      <c r="D327" s="27" t="s">
        <v>48</v>
      </c>
      <c r="E327" s="98">
        <v>1142236</v>
      </c>
      <c r="F327" s="98"/>
      <c r="G327" s="51"/>
      <c r="H327" s="51"/>
    </row>
    <row r="328" spans="1:8" ht="19.5" customHeight="1" thickBot="1">
      <c r="A328" s="381">
        <v>801</v>
      </c>
      <c r="B328" s="382"/>
      <c r="C328" s="382"/>
      <c r="D328" s="383" t="s">
        <v>448</v>
      </c>
      <c r="E328" s="384">
        <f>E332+E335+E345+E348+E329</f>
        <v>1956456</v>
      </c>
      <c r="F328" s="384"/>
      <c r="G328" s="384"/>
      <c r="H328" s="384"/>
    </row>
    <row r="329" spans="1:8" s="8" customFormat="1" ht="19.5" customHeight="1">
      <c r="A329" s="50"/>
      <c r="B329" s="3">
        <v>80102</v>
      </c>
      <c r="C329" s="3"/>
      <c r="D329" s="33" t="s">
        <v>247</v>
      </c>
      <c r="E329" s="43">
        <f>E330</f>
        <v>3010</v>
      </c>
      <c r="F329" s="43"/>
      <c r="G329" s="43"/>
      <c r="H329" s="43"/>
    </row>
    <row r="330" spans="1:8" s="8" customFormat="1" ht="27" customHeight="1">
      <c r="A330" s="50"/>
      <c r="B330" s="50"/>
      <c r="C330" s="18"/>
      <c r="D330" s="129" t="s">
        <v>574</v>
      </c>
      <c r="E330" s="44">
        <f>E331</f>
        <v>3010</v>
      </c>
      <c r="F330" s="44"/>
      <c r="G330" s="44"/>
      <c r="H330" s="44"/>
    </row>
    <row r="331" spans="1:8" s="8" customFormat="1" ht="27" customHeight="1">
      <c r="A331" s="50"/>
      <c r="B331" s="45"/>
      <c r="C331" s="22">
        <v>2130</v>
      </c>
      <c r="D331" s="27" t="s">
        <v>969</v>
      </c>
      <c r="E331" s="98">
        <v>3010</v>
      </c>
      <c r="F331" s="98"/>
      <c r="G331" s="51"/>
      <c r="H331" s="51"/>
    </row>
    <row r="332" spans="1:8" s="8" customFormat="1" ht="19.5" customHeight="1">
      <c r="A332" s="50"/>
      <c r="B332" s="3">
        <v>80120</v>
      </c>
      <c r="C332" s="3"/>
      <c r="D332" s="33" t="s">
        <v>814</v>
      </c>
      <c r="E332" s="43">
        <f>E333</f>
        <v>4852</v>
      </c>
      <c r="F332" s="43"/>
      <c r="G332" s="43"/>
      <c r="H332" s="43"/>
    </row>
    <row r="333" spans="1:8" s="8" customFormat="1" ht="27" customHeight="1">
      <c r="A333" s="50"/>
      <c r="B333" s="50"/>
      <c r="C333" s="18"/>
      <c r="D333" s="129" t="s">
        <v>933</v>
      </c>
      <c r="E333" s="44">
        <f>E334</f>
        <v>4852</v>
      </c>
      <c r="F333" s="44"/>
      <c r="G333" s="44"/>
      <c r="H333" s="44"/>
    </row>
    <row r="334" spans="1:8" s="8" customFormat="1" ht="27" customHeight="1">
      <c r="A334" s="50"/>
      <c r="B334" s="45"/>
      <c r="C334" s="22">
        <v>2707</v>
      </c>
      <c r="D334" s="121" t="s">
        <v>741</v>
      </c>
      <c r="E334" s="98">
        <v>4852</v>
      </c>
      <c r="F334" s="98"/>
      <c r="G334" s="51"/>
      <c r="H334" s="51"/>
    </row>
    <row r="335" spans="1:8" s="8" customFormat="1" ht="18.75" customHeight="1">
      <c r="A335" s="50"/>
      <c r="B335" s="3">
        <v>80130</v>
      </c>
      <c r="C335" s="140"/>
      <c r="D335" s="53" t="s">
        <v>494</v>
      </c>
      <c r="E335" s="43">
        <f>E336+E338+E340+E342</f>
        <v>1815939</v>
      </c>
      <c r="F335" s="43"/>
      <c r="G335" s="43"/>
      <c r="H335" s="43"/>
    </row>
    <row r="336" spans="1:8" s="8" customFormat="1" ht="18.75" customHeight="1">
      <c r="A336" s="50"/>
      <c r="B336" s="50"/>
      <c r="C336" s="18"/>
      <c r="D336" s="129" t="s">
        <v>932</v>
      </c>
      <c r="E336" s="44">
        <f>E337</f>
        <v>1700000</v>
      </c>
      <c r="F336" s="44"/>
      <c r="G336" s="44"/>
      <c r="H336" s="44"/>
    </row>
    <row r="337" spans="1:8" s="8" customFormat="1" ht="27" customHeight="1">
      <c r="A337" s="50"/>
      <c r="B337" s="50"/>
      <c r="C337" s="52">
        <v>6295</v>
      </c>
      <c r="D337" s="130" t="s">
        <v>931</v>
      </c>
      <c r="E337" s="98">
        <v>1700000</v>
      </c>
      <c r="F337" s="98"/>
      <c r="G337" s="51"/>
      <c r="H337" s="51"/>
    </row>
    <row r="338" spans="1:8" s="8" customFormat="1" ht="27" customHeight="1">
      <c r="A338" s="50"/>
      <c r="B338" s="50"/>
      <c r="C338" s="18"/>
      <c r="D338" s="129" t="s">
        <v>933</v>
      </c>
      <c r="E338" s="44">
        <f>E339</f>
        <v>3939</v>
      </c>
      <c r="F338" s="44"/>
      <c r="G338" s="44"/>
      <c r="H338" s="44"/>
    </row>
    <row r="339" spans="1:8" s="8" customFormat="1" ht="27" customHeight="1">
      <c r="A339" s="50"/>
      <c r="B339" s="50"/>
      <c r="C339" s="22">
        <v>2707</v>
      </c>
      <c r="D339" s="121" t="s">
        <v>741</v>
      </c>
      <c r="E339" s="98">
        <v>3939</v>
      </c>
      <c r="F339" s="98"/>
      <c r="G339" s="51"/>
      <c r="H339" s="51"/>
    </row>
    <row r="340" spans="1:8" ht="27" customHeight="1">
      <c r="A340" s="56"/>
      <c r="B340" s="56"/>
      <c r="C340" s="1054"/>
      <c r="D340" s="1055" t="s">
        <v>908</v>
      </c>
      <c r="E340" s="57">
        <f>E341</f>
        <v>12000</v>
      </c>
      <c r="F340" s="57"/>
      <c r="G340" s="57"/>
      <c r="H340" s="57"/>
    </row>
    <row r="341" spans="1:8" s="8" customFormat="1" ht="27" customHeight="1">
      <c r="A341" s="45"/>
      <c r="B341" s="45"/>
      <c r="C341" s="26">
        <v>2707</v>
      </c>
      <c r="D341" s="27" t="s">
        <v>741</v>
      </c>
      <c r="E341" s="98">
        <v>12000</v>
      </c>
      <c r="F341" s="98"/>
      <c r="G341" s="54"/>
      <c r="H341" s="54"/>
    </row>
    <row r="342" spans="1:8" s="1" customFormat="1" ht="41.25" customHeight="1">
      <c r="A342" s="1030"/>
      <c r="B342" s="947"/>
      <c r="C342" s="903"/>
      <c r="D342" s="904" t="s">
        <v>120</v>
      </c>
      <c r="E342" s="905">
        <f>E343+E344</f>
        <v>100000</v>
      </c>
      <c r="F342" s="905"/>
      <c r="G342" s="905"/>
      <c r="H342" s="905"/>
    </row>
    <row r="343" spans="1:8" s="1" customFormat="1" ht="29.25" customHeight="1">
      <c r="A343" s="906"/>
      <c r="B343" s="907"/>
      <c r="C343" s="908">
        <v>2708</v>
      </c>
      <c r="D343" s="78" t="s">
        <v>741</v>
      </c>
      <c r="E343" s="130">
        <v>75000</v>
      </c>
      <c r="F343" s="130"/>
      <c r="G343" s="130"/>
      <c r="H343" s="909"/>
    </row>
    <row r="344" spans="1:8" s="1" customFormat="1" ht="28.5" customHeight="1">
      <c r="A344" s="906"/>
      <c r="B344" s="907"/>
      <c r="C344" s="910">
        <v>2709</v>
      </c>
      <c r="D344" s="911" t="s">
        <v>741</v>
      </c>
      <c r="E344" s="912">
        <v>25000</v>
      </c>
      <c r="F344" s="912"/>
      <c r="G344" s="912"/>
      <c r="H344" s="913"/>
    </row>
    <row r="345" spans="1:8" s="8" customFormat="1" ht="21" customHeight="1">
      <c r="A345" s="50"/>
      <c r="B345" s="13">
        <v>80132</v>
      </c>
      <c r="C345" s="914"/>
      <c r="D345" s="915" t="s">
        <v>1112</v>
      </c>
      <c r="E345" s="49">
        <f>E346</f>
        <v>27312</v>
      </c>
      <c r="F345" s="49"/>
      <c r="G345" s="49"/>
      <c r="H345" s="49"/>
    </row>
    <row r="346" spans="1:8" s="8" customFormat="1" ht="29.25" customHeight="1">
      <c r="A346" s="50"/>
      <c r="B346" s="50"/>
      <c r="C346" s="30"/>
      <c r="D346" s="29" t="s">
        <v>624</v>
      </c>
      <c r="E346" s="44">
        <f>E347</f>
        <v>27312</v>
      </c>
      <c r="F346" s="44"/>
      <c r="G346" s="44"/>
      <c r="H346" s="44"/>
    </row>
    <row r="347" spans="1:8" s="8" customFormat="1" ht="30" customHeight="1">
      <c r="A347" s="50"/>
      <c r="B347" s="50"/>
      <c r="C347" s="26">
        <v>2708</v>
      </c>
      <c r="D347" s="27" t="s">
        <v>741</v>
      </c>
      <c r="E347" s="98">
        <v>27312</v>
      </c>
      <c r="F347" s="98"/>
      <c r="G347" s="51"/>
      <c r="H347" s="51"/>
    </row>
    <row r="348" spans="1:8" s="8" customFormat="1" ht="27.75" customHeight="1">
      <c r="A348" s="50"/>
      <c r="B348" s="13">
        <v>80140</v>
      </c>
      <c r="C348" s="13"/>
      <c r="D348" s="60" t="s">
        <v>43</v>
      </c>
      <c r="E348" s="49">
        <f>E349+E351</f>
        <v>105343</v>
      </c>
      <c r="F348" s="49"/>
      <c r="G348" s="49"/>
      <c r="H348" s="49"/>
    </row>
    <row r="349" spans="1:8" s="8" customFormat="1" ht="29.25" customHeight="1">
      <c r="A349" s="50"/>
      <c r="B349" s="50"/>
      <c r="C349" s="18"/>
      <c r="D349" s="129" t="s">
        <v>933</v>
      </c>
      <c r="E349" s="44">
        <f>E350</f>
        <v>5343</v>
      </c>
      <c r="F349" s="44"/>
      <c r="G349" s="44"/>
      <c r="H349" s="44"/>
    </row>
    <row r="350" spans="1:8" s="8" customFormat="1" ht="29.25" customHeight="1">
      <c r="A350" s="50"/>
      <c r="B350" s="50"/>
      <c r="C350" s="22">
        <v>2707</v>
      </c>
      <c r="D350" s="121" t="s">
        <v>741</v>
      </c>
      <c r="E350" s="98">
        <v>5343</v>
      </c>
      <c r="F350" s="98"/>
      <c r="G350" s="51"/>
      <c r="H350" s="51"/>
    </row>
    <row r="351" spans="1:8" s="1" customFormat="1" ht="43.5" customHeight="1">
      <c r="A351" s="901"/>
      <c r="B351" s="917"/>
      <c r="C351" s="903"/>
      <c r="D351" s="904" t="s">
        <v>120</v>
      </c>
      <c r="E351" s="905">
        <f>E352+E353</f>
        <v>100000</v>
      </c>
      <c r="F351" s="905"/>
      <c r="G351" s="905"/>
      <c r="H351" s="905"/>
    </row>
    <row r="352" spans="1:8" s="1" customFormat="1" ht="30.75" customHeight="1">
      <c r="A352" s="906"/>
      <c r="B352" s="916"/>
      <c r="C352" s="908">
        <v>2708</v>
      </c>
      <c r="D352" s="78" t="s">
        <v>741</v>
      </c>
      <c r="E352" s="130">
        <v>75000</v>
      </c>
      <c r="F352" s="130"/>
      <c r="G352" s="130"/>
      <c r="H352" s="121"/>
    </row>
    <row r="353" spans="1:8" s="1" customFormat="1" ht="31.5" customHeight="1">
      <c r="A353" s="918"/>
      <c r="B353" s="919"/>
      <c r="C353" s="908">
        <v>2709</v>
      </c>
      <c r="D353" s="78" t="s">
        <v>741</v>
      </c>
      <c r="E353" s="130">
        <v>25000</v>
      </c>
      <c r="F353" s="130"/>
      <c r="G353" s="130"/>
      <c r="H353" s="909"/>
    </row>
    <row r="354" spans="1:8" ht="21" customHeight="1" thickBot="1">
      <c r="A354" s="381">
        <v>852</v>
      </c>
      <c r="B354" s="382"/>
      <c r="C354" s="382"/>
      <c r="D354" s="383" t="s">
        <v>129</v>
      </c>
      <c r="E354" s="384">
        <f>E355+E360+E367+E370</f>
        <v>7217912</v>
      </c>
      <c r="F354" s="384"/>
      <c r="G354" s="384"/>
      <c r="H354" s="384"/>
    </row>
    <row r="355" spans="1:8" s="1" customFormat="1" ht="21.75" customHeight="1">
      <c r="A355" s="2"/>
      <c r="B355" s="3">
        <v>85201</v>
      </c>
      <c r="C355" s="58"/>
      <c r="D355" s="59" t="s">
        <v>55</v>
      </c>
      <c r="E355" s="43">
        <f>E356+E358</f>
        <v>81037</v>
      </c>
      <c r="F355" s="43"/>
      <c r="G355" s="43"/>
      <c r="H355" s="43"/>
    </row>
    <row r="356" spans="1:8" s="1" customFormat="1" ht="40.5" customHeight="1">
      <c r="A356" s="86"/>
      <c r="B356" s="122"/>
      <c r="C356" s="142"/>
      <c r="D356" s="129" t="s">
        <v>977</v>
      </c>
      <c r="E356" s="17">
        <f>E357</f>
        <v>76787</v>
      </c>
      <c r="F356" s="17"/>
      <c r="G356" s="17"/>
      <c r="H356" s="17"/>
    </row>
    <row r="357" spans="1:8" s="1" customFormat="1" ht="29.25" customHeight="1">
      <c r="A357" s="18"/>
      <c r="B357" s="18"/>
      <c r="C357" s="26">
        <v>6430</v>
      </c>
      <c r="D357" s="27" t="s">
        <v>48</v>
      </c>
      <c r="E357" s="6">
        <v>76787</v>
      </c>
      <c r="F357" s="6"/>
      <c r="G357" s="6"/>
      <c r="H357" s="6"/>
    </row>
    <row r="358" spans="1:8" s="1" customFormat="1" ht="27.75" customHeight="1">
      <c r="A358" s="86"/>
      <c r="B358" s="86"/>
      <c r="C358" s="142"/>
      <c r="D358" s="129" t="s">
        <v>376</v>
      </c>
      <c r="E358" s="17">
        <f>E359</f>
        <v>4250</v>
      </c>
      <c r="F358" s="17"/>
      <c r="G358" s="17"/>
      <c r="H358" s="17"/>
    </row>
    <row r="359" spans="1:8" s="1" customFormat="1" ht="29.25" customHeight="1">
      <c r="A359" s="22"/>
      <c r="B359" s="22"/>
      <c r="C359" s="26">
        <v>2130</v>
      </c>
      <c r="D359" s="27" t="s">
        <v>969</v>
      </c>
      <c r="E359" s="6">
        <v>4250</v>
      </c>
      <c r="F359" s="6"/>
      <c r="G359" s="6"/>
      <c r="H359" s="6"/>
    </row>
    <row r="360" spans="1:8" s="1" customFormat="1" ht="21.75" customHeight="1">
      <c r="A360" s="5"/>
      <c r="B360" s="13">
        <v>85202</v>
      </c>
      <c r="C360" s="365"/>
      <c r="D360" s="60" t="s">
        <v>125</v>
      </c>
      <c r="E360" s="49">
        <f>E361+E363+E365</f>
        <v>7133000</v>
      </c>
      <c r="F360" s="49"/>
      <c r="G360" s="49"/>
      <c r="H360" s="49"/>
    </row>
    <row r="361" spans="1:8" s="1" customFormat="1" ht="18" customHeight="1">
      <c r="A361" s="86"/>
      <c r="B361" s="122"/>
      <c r="C361" s="122"/>
      <c r="D361" s="29" t="s">
        <v>657</v>
      </c>
      <c r="E361" s="17">
        <f>E362</f>
        <v>6990000</v>
      </c>
      <c r="F361" s="17"/>
      <c r="G361" s="17"/>
      <c r="H361" s="17"/>
    </row>
    <row r="362" spans="1:8" s="1" customFormat="1" ht="25.5">
      <c r="A362" s="18"/>
      <c r="B362" s="18"/>
      <c r="C362" s="52">
        <v>2130</v>
      </c>
      <c r="D362" s="27" t="s">
        <v>969</v>
      </c>
      <c r="E362" s="6">
        <v>6990000</v>
      </c>
      <c r="F362" s="6"/>
      <c r="G362" s="6"/>
      <c r="H362" s="6"/>
    </row>
    <row r="363" spans="1:8" s="1" customFormat="1" ht="25.5" customHeight="1">
      <c r="A363" s="86"/>
      <c r="B363" s="86"/>
      <c r="C363" s="142"/>
      <c r="D363" s="129" t="s">
        <v>678</v>
      </c>
      <c r="E363" s="17">
        <f>E364</f>
        <v>130000</v>
      </c>
      <c r="F363" s="17"/>
      <c r="G363" s="17"/>
      <c r="H363" s="17"/>
    </row>
    <row r="364" spans="1:8" s="1" customFormat="1" ht="25.5" customHeight="1">
      <c r="A364" s="18"/>
      <c r="B364" s="18"/>
      <c r="C364" s="26">
        <v>6430</v>
      </c>
      <c r="D364" s="27" t="s">
        <v>48</v>
      </c>
      <c r="E364" s="6">
        <v>130000</v>
      </c>
      <c r="F364" s="6"/>
      <c r="G364" s="6"/>
      <c r="H364" s="6"/>
    </row>
    <row r="365" spans="1:8" s="1" customFormat="1" ht="25.5">
      <c r="A365" s="86"/>
      <c r="B365" s="86"/>
      <c r="C365" s="142"/>
      <c r="D365" s="129" t="s">
        <v>376</v>
      </c>
      <c r="E365" s="17">
        <f>E366</f>
        <v>13000</v>
      </c>
      <c r="F365" s="17"/>
      <c r="G365" s="17"/>
      <c r="H365" s="17"/>
    </row>
    <row r="366" spans="1:8" s="1" customFormat="1" ht="27" customHeight="1">
      <c r="A366" s="18"/>
      <c r="B366" s="22"/>
      <c r="C366" s="26">
        <v>2130</v>
      </c>
      <c r="D366" s="27" t="s">
        <v>969</v>
      </c>
      <c r="E366" s="6">
        <v>13000</v>
      </c>
      <c r="F366" s="6"/>
      <c r="G366" s="6"/>
      <c r="H366" s="6"/>
    </row>
    <row r="367" spans="1:8" s="1" customFormat="1" ht="25.5">
      <c r="A367" s="2"/>
      <c r="B367" s="13">
        <v>85220</v>
      </c>
      <c r="C367" s="35"/>
      <c r="D367" s="23" t="s">
        <v>222</v>
      </c>
      <c r="E367" s="43">
        <f>E368</f>
        <v>2375</v>
      </c>
      <c r="F367" s="43"/>
      <c r="G367" s="43"/>
      <c r="H367" s="43"/>
    </row>
    <row r="368" spans="1:8" s="1" customFormat="1" ht="25.5">
      <c r="A368" s="86"/>
      <c r="B368" s="122"/>
      <c r="C368" s="142"/>
      <c r="D368" s="129" t="s">
        <v>376</v>
      </c>
      <c r="E368" s="17">
        <f>E369</f>
        <v>2375</v>
      </c>
      <c r="F368" s="17"/>
      <c r="G368" s="17"/>
      <c r="H368" s="17"/>
    </row>
    <row r="369" spans="1:8" s="1" customFormat="1" ht="25.5">
      <c r="A369" s="18"/>
      <c r="B369" s="18"/>
      <c r="C369" s="26">
        <v>2130</v>
      </c>
      <c r="D369" s="27" t="s">
        <v>969</v>
      </c>
      <c r="E369" s="6">
        <v>2375</v>
      </c>
      <c r="F369" s="6"/>
      <c r="G369" s="6"/>
      <c r="H369" s="6"/>
    </row>
    <row r="370" spans="1:8" s="1" customFormat="1" ht="18.75" customHeight="1">
      <c r="A370" s="2"/>
      <c r="B370" s="13">
        <v>85226</v>
      </c>
      <c r="C370" s="35"/>
      <c r="D370" s="23" t="s">
        <v>576</v>
      </c>
      <c r="E370" s="43">
        <f>E371</f>
        <v>1500</v>
      </c>
      <c r="F370" s="43"/>
      <c r="G370" s="43"/>
      <c r="H370" s="43"/>
    </row>
    <row r="371" spans="1:8" s="1" customFormat="1" ht="25.5">
      <c r="A371" s="86"/>
      <c r="B371" s="122"/>
      <c r="C371" s="142"/>
      <c r="D371" s="129" t="s">
        <v>376</v>
      </c>
      <c r="E371" s="17">
        <f>E372</f>
        <v>1500</v>
      </c>
      <c r="F371" s="17"/>
      <c r="G371" s="17"/>
      <c r="H371" s="17"/>
    </row>
    <row r="372" spans="1:8" s="1" customFormat="1" ht="25.5">
      <c r="A372" s="22"/>
      <c r="B372" s="22"/>
      <c r="C372" s="26">
        <v>2130</v>
      </c>
      <c r="D372" s="27" t="s">
        <v>969</v>
      </c>
      <c r="E372" s="6">
        <v>1500</v>
      </c>
      <c r="F372" s="6"/>
      <c r="G372" s="6"/>
      <c r="H372" s="6"/>
    </row>
    <row r="373" spans="1:8" ht="18.75" customHeight="1" thickBot="1">
      <c r="A373" s="381">
        <v>853</v>
      </c>
      <c r="B373" s="382"/>
      <c r="C373" s="382"/>
      <c r="D373" s="383" t="s">
        <v>277</v>
      </c>
      <c r="E373" s="384">
        <f>E374+E377</f>
        <v>708592</v>
      </c>
      <c r="F373" s="384"/>
      <c r="G373" s="384"/>
      <c r="H373" s="384"/>
    </row>
    <row r="374" spans="1:8" s="1" customFormat="1" ht="19.5" customHeight="1">
      <c r="A374" s="2"/>
      <c r="B374" s="3">
        <v>85322</v>
      </c>
      <c r="C374" s="35"/>
      <c r="D374" s="23" t="s">
        <v>893</v>
      </c>
      <c r="E374" s="43">
        <f>E375</f>
        <v>518000</v>
      </c>
      <c r="F374" s="43"/>
      <c r="G374" s="43"/>
      <c r="H374" s="43"/>
    </row>
    <row r="375" spans="1:8" s="1" customFormat="1" ht="27" customHeight="1">
      <c r="A375" s="86"/>
      <c r="B375" s="122"/>
      <c r="C375" s="122"/>
      <c r="D375" s="29" t="s">
        <v>894</v>
      </c>
      <c r="E375" s="17">
        <f>E376</f>
        <v>518000</v>
      </c>
      <c r="F375" s="17"/>
      <c r="G375" s="17"/>
      <c r="H375" s="17"/>
    </row>
    <row r="376" spans="1:8" s="1" customFormat="1" ht="38.25">
      <c r="A376" s="86"/>
      <c r="B376" s="107"/>
      <c r="C376" s="143">
        <v>2690</v>
      </c>
      <c r="D376" s="27" t="s">
        <v>460</v>
      </c>
      <c r="E376" s="6">
        <v>518000</v>
      </c>
      <c r="F376" s="6"/>
      <c r="G376" s="6"/>
      <c r="H376" s="6"/>
    </row>
    <row r="377" spans="1:8" s="1" customFormat="1" ht="18.75" customHeight="1">
      <c r="A377" s="86"/>
      <c r="B377" s="3">
        <v>85333</v>
      </c>
      <c r="C377" s="3"/>
      <c r="D377" s="23" t="s">
        <v>617</v>
      </c>
      <c r="E377" s="4">
        <f>E378+E380+E382+E384</f>
        <v>190592</v>
      </c>
      <c r="F377" s="4"/>
      <c r="G377" s="4"/>
      <c r="H377" s="4"/>
    </row>
    <row r="378" spans="1:8" s="1" customFormat="1" ht="16.5" customHeight="1">
      <c r="A378" s="86"/>
      <c r="B378" s="86"/>
      <c r="C378" s="18"/>
      <c r="D378" s="29" t="s">
        <v>224</v>
      </c>
      <c r="E378" s="17">
        <f>E379</f>
        <v>22088</v>
      </c>
      <c r="F378" s="17"/>
      <c r="G378" s="17"/>
      <c r="H378" s="17"/>
    </row>
    <row r="379" spans="1:8" s="1" customFormat="1" ht="29.25" customHeight="1">
      <c r="A379" s="86"/>
      <c r="B379" s="86"/>
      <c r="C379" s="22">
        <v>2708</v>
      </c>
      <c r="D379" s="121" t="s">
        <v>741</v>
      </c>
      <c r="E379" s="6">
        <v>22088</v>
      </c>
      <c r="F379" s="6"/>
      <c r="G379" s="61"/>
      <c r="H379" s="61"/>
    </row>
    <row r="380" spans="1:8" s="1" customFormat="1" ht="28.5" customHeight="1">
      <c r="A380" s="86"/>
      <c r="B380" s="86"/>
      <c r="C380" s="18"/>
      <c r="D380" s="29" t="s">
        <v>679</v>
      </c>
      <c r="E380" s="17">
        <f>E381</f>
        <v>64385</v>
      </c>
      <c r="F380" s="17"/>
      <c r="G380" s="17"/>
      <c r="H380" s="17"/>
    </row>
    <row r="381" spans="1:8" s="1" customFormat="1" ht="30" customHeight="1">
      <c r="A381" s="107"/>
      <c r="B381" s="107"/>
      <c r="C381" s="22">
        <v>2708</v>
      </c>
      <c r="D381" s="121" t="s">
        <v>741</v>
      </c>
      <c r="E381" s="6">
        <v>64385</v>
      </c>
      <c r="F381" s="6"/>
      <c r="G381" s="61"/>
      <c r="H381" s="61"/>
    </row>
    <row r="382" spans="1:8" s="1" customFormat="1" ht="18.75" customHeight="1">
      <c r="A382" s="122"/>
      <c r="B382" s="122"/>
      <c r="C382" s="128"/>
      <c r="D382" s="29" t="s">
        <v>680</v>
      </c>
      <c r="E382" s="17">
        <f>E383</f>
        <v>46068</v>
      </c>
      <c r="F382" s="17"/>
      <c r="G382" s="17"/>
      <c r="H382" s="17"/>
    </row>
    <row r="383" spans="1:8" s="1" customFormat="1" ht="25.5">
      <c r="A383" s="86"/>
      <c r="B383" s="86"/>
      <c r="C383" s="22">
        <v>2708</v>
      </c>
      <c r="D383" s="121" t="s">
        <v>741</v>
      </c>
      <c r="E383" s="6">
        <v>46068</v>
      </c>
      <c r="F383" s="6"/>
      <c r="G383" s="61"/>
      <c r="H383" s="61"/>
    </row>
    <row r="384" spans="1:8" s="1" customFormat="1" ht="25.5" customHeight="1">
      <c r="A384" s="86"/>
      <c r="B384" s="86"/>
      <c r="C384" s="18"/>
      <c r="D384" s="29" t="s">
        <v>706</v>
      </c>
      <c r="E384" s="17">
        <f>E385</f>
        <v>58051</v>
      </c>
      <c r="F384" s="17"/>
      <c r="G384" s="17"/>
      <c r="H384" s="17"/>
    </row>
    <row r="385" spans="1:8" s="1" customFormat="1" ht="25.5" customHeight="1">
      <c r="A385" s="107"/>
      <c r="B385" s="107"/>
      <c r="C385" s="22">
        <v>2708</v>
      </c>
      <c r="D385" s="121" t="s">
        <v>741</v>
      </c>
      <c r="E385" s="6">
        <v>58051</v>
      </c>
      <c r="F385" s="6"/>
      <c r="G385" s="61"/>
      <c r="H385" s="61"/>
    </row>
    <row r="386" spans="1:8" s="1" customFormat="1" ht="19.5" customHeight="1" thickBot="1">
      <c r="A386" s="385">
        <v>854</v>
      </c>
      <c r="B386" s="374"/>
      <c r="C386" s="386"/>
      <c r="D386" s="387" t="s">
        <v>618</v>
      </c>
      <c r="E386" s="388">
        <f>E387+E390</f>
        <v>22800</v>
      </c>
      <c r="F386" s="388"/>
      <c r="G386" s="388"/>
      <c r="H386" s="388"/>
    </row>
    <row r="387" spans="1:8" s="8" customFormat="1" ht="17.25" customHeight="1">
      <c r="A387" s="50"/>
      <c r="B387" s="3">
        <v>85403</v>
      </c>
      <c r="C387" s="3"/>
      <c r="D387" s="33" t="s">
        <v>677</v>
      </c>
      <c r="E387" s="43">
        <f>E388</f>
        <v>2000</v>
      </c>
      <c r="F387" s="43"/>
      <c r="G387" s="43"/>
      <c r="H387" s="43"/>
    </row>
    <row r="388" spans="1:8" s="8" customFormat="1" ht="25.5">
      <c r="A388" s="50"/>
      <c r="B388" s="50"/>
      <c r="C388" s="18"/>
      <c r="D388" s="129" t="s">
        <v>707</v>
      </c>
      <c r="E388" s="44">
        <f>E389</f>
        <v>2000</v>
      </c>
      <c r="F388" s="44"/>
      <c r="G388" s="44"/>
      <c r="H388" s="44"/>
    </row>
    <row r="389" spans="1:8" s="8" customFormat="1" ht="25.5">
      <c r="A389" s="50"/>
      <c r="B389" s="50"/>
      <c r="C389" s="22">
        <v>2707</v>
      </c>
      <c r="D389" s="121" t="s">
        <v>741</v>
      </c>
      <c r="E389" s="98">
        <v>2000</v>
      </c>
      <c r="F389" s="98"/>
      <c r="G389" s="51"/>
      <c r="H389" s="51"/>
    </row>
    <row r="390" spans="1:8" s="8" customFormat="1" ht="16.5" customHeight="1">
      <c r="A390" s="50"/>
      <c r="B390" s="13">
        <v>85415</v>
      </c>
      <c r="C390" s="3"/>
      <c r="D390" s="33" t="s">
        <v>396</v>
      </c>
      <c r="E390" s="43">
        <f>E391</f>
        <v>20800</v>
      </c>
      <c r="F390" s="43"/>
      <c r="G390" s="43"/>
      <c r="H390" s="43"/>
    </row>
    <row r="391" spans="1:8" s="8" customFormat="1" ht="25.5">
      <c r="A391" s="50"/>
      <c r="B391" s="50"/>
      <c r="C391" s="18"/>
      <c r="D391" s="129" t="s">
        <v>660</v>
      </c>
      <c r="E391" s="44">
        <f>E392</f>
        <v>20800</v>
      </c>
      <c r="F391" s="44"/>
      <c r="G391" s="44"/>
      <c r="H391" s="44"/>
    </row>
    <row r="392" spans="1:8" s="8" customFormat="1" ht="25.5">
      <c r="A392" s="50"/>
      <c r="B392" s="50"/>
      <c r="C392" s="22">
        <v>2130</v>
      </c>
      <c r="D392" s="27" t="s">
        <v>969</v>
      </c>
      <c r="E392" s="98">
        <v>20800</v>
      </c>
      <c r="F392" s="98"/>
      <c r="G392" s="51"/>
      <c r="H392" s="51"/>
    </row>
    <row r="393" spans="1:8" s="8" customFormat="1" ht="29.25" thickBot="1">
      <c r="A393" s="45"/>
      <c r="B393" s="45"/>
      <c r="C393" s="45"/>
      <c r="D393" s="64" t="s">
        <v>974</v>
      </c>
      <c r="E393" s="24">
        <f>E394+E398+E409+E405</f>
        <v>4853973</v>
      </c>
      <c r="F393" s="24"/>
      <c r="G393" s="24"/>
      <c r="H393" s="24"/>
    </row>
    <row r="394" spans="1:8" s="1" customFormat="1" ht="16.5" customHeight="1" thickBot="1" thickTop="1">
      <c r="A394" s="385">
        <v>600</v>
      </c>
      <c r="B394" s="374"/>
      <c r="C394" s="386"/>
      <c r="D394" s="387" t="s">
        <v>525</v>
      </c>
      <c r="E394" s="388">
        <f>E395</f>
        <v>1544500</v>
      </c>
      <c r="F394" s="388"/>
      <c r="G394" s="388"/>
      <c r="H394" s="388"/>
    </row>
    <row r="395" spans="1:8" s="8" customFormat="1" ht="19.5" customHeight="1">
      <c r="A395" s="50"/>
      <c r="B395" s="3">
        <v>60015</v>
      </c>
      <c r="C395" s="58"/>
      <c r="D395" s="59" t="s">
        <v>1113</v>
      </c>
      <c r="E395" s="43">
        <f>E396</f>
        <v>1544500</v>
      </c>
      <c r="F395" s="43"/>
      <c r="G395" s="43"/>
      <c r="H395" s="43"/>
    </row>
    <row r="396" spans="1:8" s="8" customFormat="1" ht="25.5">
      <c r="A396" s="50"/>
      <c r="B396" s="50"/>
      <c r="C396" s="30"/>
      <c r="D396" s="29" t="s">
        <v>978</v>
      </c>
      <c r="E396" s="44">
        <f>E397</f>
        <v>1544500</v>
      </c>
      <c r="F396" s="44"/>
      <c r="G396" s="44"/>
      <c r="H396" s="44"/>
    </row>
    <row r="397" spans="1:8" s="8" customFormat="1" ht="38.25">
      <c r="A397" s="50"/>
      <c r="B397" s="45"/>
      <c r="C397" s="26">
        <v>6423</v>
      </c>
      <c r="D397" s="20" t="s">
        <v>178</v>
      </c>
      <c r="E397" s="98">
        <v>1544500</v>
      </c>
      <c r="F397" s="98"/>
      <c r="G397" s="51"/>
      <c r="H397" s="51"/>
    </row>
    <row r="398" spans="1:8" s="1" customFormat="1" ht="19.5" customHeight="1" thickBot="1">
      <c r="A398" s="385">
        <v>852</v>
      </c>
      <c r="B398" s="374"/>
      <c r="C398" s="386"/>
      <c r="D398" s="387" t="s">
        <v>129</v>
      </c>
      <c r="E398" s="388">
        <f>E399+E402</f>
        <v>2460000</v>
      </c>
      <c r="F398" s="388"/>
      <c r="G398" s="388"/>
      <c r="H398" s="388"/>
    </row>
    <row r="399" spans="1:8" s="1" customFormat="1" ht="19.5" customHeight="1">
      <c r="A399" s="2"/>
      <c r="B399" s="63">
        <v>85201</v>
      </c>
      <c r="C399" s="33"/>
      <c r="D399" s="37" t="s">
        <v>773</v>
      </c>
      <c r="E399" s="34">
        <f>E400</f>
        <v>2160000</v>
      </c>
      <c r="F399" s="34"/>
      <c r="G399" s="34"/>
      <c r="H399" s="34"/>
    </row>
    <row r="400" spans="1:8" s="1" customFormat="1" ht="27.75" customHeight="1">
      <c r="A400" s="86"/>
      <c r="B400" s="86"/>
      <c r="C400" s="122"/>
      <c r="D400" s="29" t="s">
        <v>667</v>
      </c>
      <c r="E400" s="17">
        <f>E401</f>
        <v>2160000</v>
      </c>
      <c r="F400" s="17"/>
      <c r="G400" s="17"/>
      <c r="H400" s="17"/>
    </row>
    <row r="401" spans="1:8" s="1" customFormat="1" ht="27.75" customHeight="1">
      <c r="A401" s="18"/>
      <c r="B401" s="22"/>
      <c r="C401" s="22">
        <v>2320</v>
      </c>
      <c r="D401" s="27" t="s">
        <v>668</v>
      </c>
      <c r="E401" s="6">
        <v>2160000</v>
      </c>
      <c r="F401" s="6"/>
      <c r="G401" s="6"/>
      <c r="H401" s="6"/>
    </row>
    <row r="402" spans="1:8" s="1" customFormat="1" ht="14.25" customHeight="1">
      <c r="A402" s="2"/>
      <c r="B402" s="63">
        <v>85204</v>
      </c>
      <c r="C402" s="33"/>
      <c r="D402" s="37" t="s">
        <v>289</v>
      </c>
      <c r="E402" s="34">
        <f>E403</f>
        <v>300000</v>
      </c>
      <c r="F402" s="34"/>
      <c r="G402" s="34"/>
      <c r="H402" s="34"/>
    </row>
    <row r="403" spans="1:8" s="1" customFormat="1" ht="27.75" customHeight="1">
      <c r="A403" s="86"/>
      <c r="B403" s="86"/>
      <c r="C403" s="122"/>
      <c r="D403" s="29" t="s">
        <v>404</v>
      </c>
      <c r="E403" s="17">
        <f>E404</f>
        <v>300000</v>
      </c>
      <c r="F403" s="17"/>
      <c r="G403" s="17"/>
      <c r="H403" s="17"/>
    </row>
    <row r="404" spans="1:8" s="1" customFormat="1" ht="27.75" customHeight="1">
      <c r="A404" s="22"/>
      <c r="B404" s="22"/>
      <c r="C404" s="22">
        <v>2320</v>
      </c>
      <c r="D404" s="27" t="s">
        <v>668</v>
      </c>
      <c r="E404" s="6">
        <v>300000</v>
      </c>
      <c r="F404" s="6"/>
      <c r="G404" s="6"/>
      <c r="H404" s="6"/>
    </row>
    <row r="405" spans="1:8" ht="18" customHeight="1" thickBot="1">
      <c r="A405" s="932">
        <v>853</v>
      </c>
      <c r="B405" s="932"/>
      <c r="C405" s="932"/>
      <c r="D405" s="978" t="s">
        <v>277</v>
      </c>
      <c r="E405" s="979">
        <f>E406</f>
        <v>11558</v>
      </c>
      <c r="F405" s="979"/>
      <c r="G405" s="978"/>
      <c r="H405" s="978"/>
    </row>
    <row r="406" spans="1:8" ht="18" customHeight="1">
      <c r="A406" s="934"/>
      <c r="B406" s="935">
        <v>85311</v>
      </c>
      <c r="C406" s="935"/>
      <c r="D406" s="980" t="s">
        <v>785</v>
      </c>
      <c r="E406" s="937">
        <f>E407</f>
        <v>11558</v>
      </c>
      <c r="F406" s="937"/>
      <c r="G406" s="936"/>
      <c r="H406" s="936"/>
    </row>
    <row r="407" spans="1:8" ht="25.5">
      <c r="A407" s="938"/>
      <c r="B407" s="938"/>
      <c r="C407" s="938"/>
      <c r="D407" s="904" t="s">
        <v>805</v>
      </c>
      <c r="E407" s="939">
        <f>E408</f>
        <v>11558</v>
      </c>
      <c r="F407" s="939"/>
      <c r="G407" s="904"/>
      <c r="H407" s="904"/>
    </row>
    <row r="408" spans="1:8" ht="25.5">
      <c r="A408" s="908"/>
      <c r="B408" s="908"/>
      <c r="C408" s="908">
        <v>2320</v>
      </c>
      <c r="D408" s="77" t="s">
        <v>668</v>
      </c>
      <c r="E408" s="942">
        <v>11558</v>
      </c>
      <c r="F408" s="942"/>
      <c r="G408" s="78"/>
      <c r="H408" s="981"/>
    </row>
    <row r="409" spans="1:8" ht="19.5" customHeight="1" thickBot="1">
      <c r="A409" s="381">
        <v>854</v>
      </c>
      <c r="B409" s="382"/>
      <c r="C409" s="382"/>
      <c r="D409" s="383" t="s">
        <v>618</v>
      </c>
      <c r="E409" s="384">
        <f>E410</f>
        <v>837915</v>
      </c>
      <c r="F409" s="384"/>
      <c r="G409" s="384"/>
      <c r="H409" s="384"/>
    </row>
    <row r="410" spans="1:8" s="1" customFormat="1" ht="19.5" customHeight="1">
      <c r="A410" s="18"/>
      <c r="B410" s="3">
        <v>85415</v>
      </c>
      <c r="C410" s="3"/>
      <c r="D410" s="23" t="s">
        <v>396</v>
      </c>
      <c r="E410" s="4">
        <f>E411</f>
        <v>837915</v>
      </c>
      <c r="F410" s="4"/>
      <c r="G410" s="4"/>
      <c r="H410" s="4"/>
    </row>
    <row r="411" spans="1:8" s="1" customFormat="1" ht="38.25">
      <c r="A411" s="18"/>
      <c r="B411" s="18"/>
      <c r="C411" s="128"/>
      <c r="D411" s="29" t="s">
        <v>179</v>
      </c>
      <c r="E411" s="17">
        <f>SUM(E412:E413)</f>
        <v>837915</v>
      </c>
      <c r="F411" s="17"/>
      <c r="G411" s="9"/>
      <c r="H411" s="9"/>
    </row>
    <row r="412" spans="1:8" s="1" customFormat="1" ht="38.25">
      <c r="A412" s="18"/>
      <c r="B412" s="18"/>
      <c r="C412" s="22">
        <v>2888</v>
      </c>
      <c r="D412" s="69" t="s">
        <v>979</v>
      </c>
      <c r="E412" s="6">
        <f>561528+8674</f>
        <v>570202</v>
      </c>
      <c r="F412" s="6"/>
      <c r="G412" s="6"/>
      <c r="H412" s="6"/>
    </row>
    <row r="413" spans="1:8" s="1" customFormat="1" ht="42" customHeight="1">
      <c r="A413" s="18"/>
      <c r="B413" s="18"/>
      <c r="C413" s="144">
        <v>2889</v>
      </c>
      <c r="D413" s="69" t="s">
        <v>979</v>
      </c>
      <c r="E413" s="65">
        <f>263642+4071</f>
        <v>267713</v>
      </c>
      <c r="F413" s="65"/>
      <c r="G413" s="65"/>
      <c r="H413" s="65"/>
    </row>
    <row r="414" spans="1:8" s="8" customFormat="1" ht="31.5" customHeight="1" thickBot="1">
      <c r="A414" s="45"/>
      <c r="B414" s="45"/>
      <c r="C414" s="45"/>
      <c r="D414" s="64" t="s">
        <v>658</v>
      </c>
      <c r="E414" s="24">
        <f>E415+E419+E428+E435+E441+E447+E461</f>
        <v>25348978</v>
      </c>
      <c r="F414" s="24"/>
      <c r="G414" s="24"/>
      <c r="H414" s="24"/>
    </row>
    <row r="415" spans="1:8" s="1" customFormat="1" ht="21" customHeight="1" thickBot="1" thickTop="1">
      <c r="A415" s="385">
        <v>700</v>
      </c>
      <c r="B415" s="389"/>
      <c r="C415" s="390"/>
      <c r="D415" s="391" t="s">
        <v>433</v>
      </c>
      <c r="E415" s="392">
        <f>E416</f>
        <v>1001150</v>
      </c>
      <c r="F415" s="392"/>
      <c r="G415" s="392"/>
      <c r="H415" s="392"/>
    </row>
    <row r="416" spans="1:8" s="1" customFormat="1" ht="21" customHeight="1">
      <c r="A416" s="2"/>
      <c r="B416" s="63">
        <v>70005</v>
      </c>
      <c r="C416" s="33"/>
      <c r="D416" s="37" t="s">
        <v>435</v>
      </c>
      <c r="E416" s="34">
        <f>E417</f>
        <v>1001150</v>
      </c>
      <c r="F416" s="34"/>
      <c r="G416" s="34"/>
      <c r="H416" s="34"/>
    </row>
    <row r="417" spans="1:8" s="1" customFormat="1" ht="27.75" customHeight="1">
      <c r="A417" s="86"/>
      <c r="B417" s="86"/>
      <c r="C417" s="122"/>
      <c r="D417" s="29" t="s">
        <v>727</v>
      </c>
      <c r="E417" s="17">
        <f>E418</f>
        <v>1001150</v>
      </c>
      <c r="F417" s="17"/>
      <c r="G417" s="17"/>
      <c r="H417" s="17"/>
    </row>
    <row r="418" spans="1:8" s="1" customFormat="1" ht="25.5">
      <c r="A418" s="22"/>
      <c r="B418" s="22"/>
      <c r="C418" s="52">
        <v>2110</v>
      </c>
      <c r="D418" s="27" t="s">
        <v>726</v>
      </c>
      <c r="E418" s="6">
        <f>827500+173650</f>
        <v>1001150</v>
      </c>
      <c r="F418" s="6"/>
      <c r="G418" s="6"/>
      <c r="H418" s="6"/>
    </row>
    <row r="419" spans="1:8" s="1" customFormat="1" ht="19.5" customHeight="1" thickBot="1">
      <c r="A419" s="385">
        <v>710</v>
      </c>
      <c r="B419" s="374"/>
      <c r="C419" s="386"/>
      <c r="D419" s="387" t="s">
        <v>436</v>
      </c>
      <c r="E419" s="388">
        <f>E420+E423</f>
        <v>615661</v>
      </c>
      <c r="F419" s="388"/>
      <c r="G419" s="388"/>
      <c r="H419" s="388"/>
    </row>
    <row r="420" spans="1:8" s="1" customFormat="1" ht="19.5" customHeight="1">
      <c r="A420" s="2"/>
      <c r="B420" s="63">
        <v>71013</v>
      </c>
      <c r="C420" s="33"/>
      <c r="D420" s="37" t="s">
        <v>490</v>
      </c>
      <c r="E420" s="34">
        <f>E421</f>
        <v>100000</v>
      </c>
      <c r="F420" s="34"/>
      <c r="G420" s="34"/>
      <c r="H420" s="34"/>
    </row>
    <row r="421" spans="1:8" s="1" customFormat="1" ht="19.5" customHeight="1">
      <c r="A421" s="86"/>
      <c r="B421" s="86"/>
      <c r="C421" s="122"/>
      <c r="D421" s="29" t="s">
        <v>171</v>
      </c>
      <c r="E421" s="17">
        <f>E422</f>
        <v>100000</v>
      </c>
      <c r="F421" s="17"/>
      <c r="G421" s="17"/>
      <c r="H421" s="17"/>
    </row>
    <row r="422" spans="1:8" s="1" customFormat="1" ht="27.75" customHeight="1">
      <c r="A422" s="18"/>
      <c r="B422" s="22"/>
      <c r="C422" s="52">
        <v>2110</v>
      </c>
      <c r="D422" s="27" t="s">
        <v>726</v>
      </c>
      <c r="E422" s="6">
        <v>100000</v>
      </c>
      <c r="F422" s="6"/>
      <c r="G422" s="6"/>
      <c r="H422" s="6"/>
    </row>
    <row r="423" spans="1:8" s="1" customFormat="1" ht="19.5" customHeight="1">
      <c r="A423" s="2"/>
      <c r="B423" s="25">
        <v>71015</v>
      </c>
      <c r="C423" s="33"/>
      <c r="D423" s="37" t="s">
        <v>290</v>
      </c>
      <c r="E423" s="34">
        <f>E424+E426</f>
        <v>515661</v>
      </c>
      <c r="F423" s="34"/>
      <c r="G423" s="34"/>
      <c r="H423" s="34"/>
    </row>
    <row r="424" spans="1:8" s="1" customFormat="1" ht="27" customHeight="1">
      <c r="A424" s="86"/>
      <c r="B424" s="86"/>
      <c r="C424" s="122"/>
      <c r="D424" s="29" t="s">
        <v>172</v>
      </c>
      <c r="E424" s="17">
        <f>E425</f>
        <v>470661</v>
      </c>
      <c r="F424" s="17"/>
      <c r="G424" s="17"/>
      <c r="H424" s="17"/>
    </row>
    <row r="425" spans="1:8" s="1" customFormat="1" ht="27.75" customHeight="1">
      <c r="A425" s="22"/>
      <c r="B425" s="22"/>
      <c r="C425" s="52">
        <v>2110</v>
      </c>
      <c r="D425" s="27" t="s">
        <v>726</v>
      </c>
      <c r="E425" s="6">
        <v>470661</v>
      </c>
      <c r="F425" s="6"/>
      <c r="G425" s="6"/>
      <c r="H425" s="6"/>
    </row>
    <row r="426" spans="1:8" s="1" customFormat="1" ht="30" customHeight="1">
      <c r="A426" s="122"/>
      <c r="B426" s="122"/>
      <c r="C426" s="145"/>
      <c r="D426" s="101" t="s">
        <v>180</v>
      </c>
      <c r="E426" s="17">
        <f>E427</f>
        <v>45000</v>
      </c>
      <c r="F426" s="17"/>
      <c r="G426" s="17"/>
      <c r="H426" s="17"/>
    </row>
    <row r="427" spans="1:8" s="1" customFormat="1" ht="38.25">
      <c r="A427" s="22"/>
      <c r="B427" s="22"/>
      <c r="C427" s="26">
        <v>6410</v>
      </c>
      <c r="D427" s="27" t="s">
        <v>405</v>
      </c>
      <c r="E427" s="6">
        <v>45000</v>
      </c>
      <c r="F427" s="6"/>
      <c r="G427" s="6"/>
      <c r="H427" s="6"/>
    </row>
    <row r="428" spans="1:8" s="1" customFormat="1" ht="19.5" customHeight="1" thickBot="1">
      <c r="A428" s="385">
        <v>750</v>
      </c>
      <c r="B428" s="374"/>
      <c r="C428" s="386"/>
      <c r="D428" s="387" t="s">
        <v>439</v>
      </c>
      <c r="E428" s="388">
        <f>E429+E432</f>
        <v>924596</v>
      </c>
      <c r="F428" s="388"/>
      <c r="G428" s="388"/>
      <c r="H428" s="388"/>
    </row>
    <row r="429" spans="1:8" s="1" customFormat="1" ht="19.5" customHeight="1">
      <c r="A429" s="2"/>
      <c r="B429" s="25">
        <v>75011</v>
      </c>
      <c r="C429" s="33"/>
      <c r="D429" s="37" t="s">
        <v>1049</v>
      </c>
      <c r="E429" s="34">
        <f>E430</f>
        <v>829596</v>
      </c>
      <c r="F429" s="34"/>
      <c r="G429" s="34"/>
      <c r="H429" s="34"/>
    </row>
    <row r="430" spans="1:8" s="1" customFormat="1" ht="27" customHeight="1">
      <c r="A430" s="86"/>
      <c r="B430" s="86"/>
      <c r="C430" s="122"/>
      <c r="D430" s="29" t="s">
        <v>103</v>
      </c>
      <c r="E430" s="17">
        <f>E431</f>
        <v>829596</v>
      </c>
      <c r="F430" s="17"/>
      <c r="G430" s="17"/>
      <c r="H430" s="17"/>
    </row>
    <row r="431" spans="1:8" s="1" customFormat="1" ht="25.5">
      <c r="A431" s="18"/>
      <c r="B431" s="22"/>
      <c r="C431" s="52">
        <v>2110</v>
      </c>
      <c r="D431" s="27" t="s">
        <v>726</v>
      </c>
      <c r="E431" s="6">
        <v>829596</v>
      </c>
      <c r="F431" s="6"/>
      <c r="G431" s="6"/>
      <c r="H431" s="6"/>
    </row>
    <row r="432" spans="1:8" s="1" customFormat="1" ht="19.5" customHeight="1">
      <c r="A432" s="2"/>
      <c r="B432" s="25">
        <v>75045</v>
      </c>
      <c r="C432" s="33"/>
      <c r="D432" s="37" t="s">
        <v>291</v>
      </c>
      <c r="E432" s="34">
        <f>E433</f>
        <v>95000</v>
      </c>
      <c r="F432" s="34"/>
      <c r="G432" s="34"/>
      <c r="H432" s="34"/>
    </row>
    <row r="433" spans="1:8" s="1" customFormat="1" ht="19.5" customHeight="1">
      <c r="A433" s="86"/>
      <c r="B433" s="122"/>
      <c r="C433" s="122"/>
      <c r="D433" s="101" t="s">
        <v>564</v>
      </c>
      <c r="E433" s="17">
        <f>E434</f>
        <v>95000</v>
      </c>
      <c r="F433" s="17"/>
      <c r="G433" s="17"/>
      <c r="H433" s="17"/>
    </row>
    <row r="434" spans="1:8" s="1" customFormat="1" ht="25.5">
      <c r="A434" s="22"/>
      <c r="B434" s="22"/>
      <c r="C434" s="52">
        <v>2110</v>
      </c>
      <c r="D434" s="27" t="s">
        <v>726</v>
      </c>
      <c r="E434" s="6">
        <v>95000</v>
      </c>
      <c r="F434" s="6"/>
      <c r="G434" s="6"/>
      <c r="H434" s="6"/>
    </row>
    <row r="435" spans="1:8" s="1" customFormat="1" ht="19.5" customHeight="1" thickBot="1">
      <c r="A435" s="393">
        <v>754</v>
      </c>
      <c r="B435" s="389"/>
      <c r="C435" s="390"/>
      <c r="D435" s="391" t="s">
        <v>441</v>
      </c>
      <c r="E435" s="392">
        <f>E436</f>
        <v>14101100</v>
      </c>
      <c r="F435" s="392"/>
      <c r="G435" s="392"/>
      <c r="H435" s="392"/>
    </row>
    <row r="436" spans="1:8" s="1" customFormat="1" ht="19.5" customHeight="1">
      <c r="A436" s="2"/>
      <c r="B436" s="25">
        <v>75411</v>
      </c>
      <c r="C436" s="33"/>
      <c r="D436" s="37" t="s">
        <v>442</v>
      </c>
      <c r="E436" s="34">
        <f>E437+E439</f>
        <v>14101100</v>
      </c>
      <c r="F436" s="34"/>
      <c r="G436" s="34"/>
      <c r="H436" s="34"/>
    </row>
    <row r="437" spans="1:8" s="1" customFormat="1" ht="27" customHeight="1">
      <c r="A437" s="86"/>
      <c r="B437" s="86"/>
      <c r="C437" s="86"/>
      <c r="D437" s="101" t="s">
        <v>742</v>
      </c>
      <c r="E437" s="17">
        <f>E438</f>
        <v>13851100</v>
      </c>
      <c r="F437" s="17"/>
      <c r="G437" s="17"/>
      <c r="H437" s="17"/>
    </row>
    <row r="438" spans="1:8" s="1" customFormat="1" ht="25.5">
      <c r="A438" s="18"/>
      <c r="B438" s="18"/>
      <c r="C438" s="52">
        <v>2110</v>
      </c>
      <c r="D438" s="27" t="s">
        <v>726</v>
      </c>
      <c r="E438" s="6">
        <f>12941000+910100</f>
        <v>13851100</v>
      </c>
      <c r="F438" s="6"/>
      <c r="G438" s="6"/>
      <c r="H438" s="6"/>
    </row>
    <row r="439" spans="1:8" s="1" customFormat="1" ht="27" customHeight="1">
      <c r="A439" s="86"/>
      <c r="B439" s="86"/>
      <c r="C439" s="145"/>
      <c r="D439" s="101" t="s">
        <v>181</v>
      </c>
      <c r="E439" s="17">
        <f>E440</f>
        <v>250000</v>
      </c>
      <c r="F439" s="17"/>
      <c r="G439" s="17"/>
      <c r="H439" s="17"/>
    </row>
    <row r="440" spans="1:8" s="1" customFormat="1" ht="38.25">
      <c r="A440" s="22"/>
      <c r="B440" s="22"/>
      <c r="C440" s="26">
        <v>6410</v>
      </c>
      <c r="D440" s="27" t="s">
        <v>405</v>
      </c>
      <c r="E440" s="6">
        <f>150000+100000</f>
        <v>250000</v>
      </c>
      <c r="F440" s="6"/>
      <c r="G440" s="6"/>
      <c r="H440" s="6"/>
    </row>
    <row r="441" spans="1:8" s="1" customFormat="1" ht="19.5" customHeight="1" thickBot="1">
      <c r="A441" s="385">
        <v>851</v>
      </c>
      <c r="B441" s="374"/>
      <c r="C441" s="386"/>
      <c r="D441" s="387" t="s">
        <v>106</v>
      </c>
      <c r="E441" s="388">
        <f>E442</f>
        <v>4387800</v>
      </c>
      <c r="F441" s="388"/>
      <c r="G441" s="388"/>
      <c r="H441" s="388"/>
    </row>
    <row r="442" spans="1:8" s="1" customFormat="1" ht="28.5" customHeight="1">
      <c r="A442" s="2"/>
      <c r="B442" s="3">
        <v>85156</v>
      </c>
      <c r="C442" s="35"/>
      <c r="D442" s="23" t="s">
        <v>561</v>
      </c>
      <c r="E442" s="34">
        <f>E443+E445</f>
        <v>4387800</v>
      </c>
      <c r="F442" s="34"/>
      <c r="G442" s="34"/>
      <c r="H442" s="34"/>
    </row>
    <row r="443" spans="1:8" s="1" customFormat="1" ht="27.75" customHeight="1">
      <c r="A443" s="86"/>
      <c r="B443" s="86"/>
      <c r="C443" s="86"/>
      <c r="D443" s="29" t="s">
        <v>980</v>
      </c>
      <c r="E443" s="66">
        <f>E444</f>
        <v>100800</v>
      </c>
      <c r="F443" s="66"/>
      <c r="G443" s="66"/>
      <c r="H443" s="66"/>
    </row>
    <row r="444" spans="1:8" s="1" customFormat="1" ht="27.75" customHeight="1">
      <c r="A444" s="18"/>
      <c r="B444" s="18"/>
      <c r="C444" s="22">
        <v>2110</v>
      </c>
      <c r="D444" s="27" t="s">
        <v>726</v>
      </c>
      <c r="E444" s="6">
        <v>100800</v>
      </c>
      <c r="F444" s="6"/>
      <c r="G444" s="6"/>
      <c r="H444" s="6"/>
    </row>
    <row r="445" spans="1:8" s="1" customFormat="1" ht="29.25" customHeight="1">
      <c r="A445" s="18"/>
      <c r="B445" s="18"/>
      <c r="C445" s="18"/>
      <c r="D445" s="93" t="s">
        <v>410</v>
      </c>
      <c r="E445" s="66">
        <f>E446</f>
        <v>4287000</v>
      </c>
      <c r="F445" s="66"/>
      <c r="G445" s="66"/>
      <c r="H445" s="66"/>
    </row>
    <row r="446" spans="1:8" s="1" customFormat="1" ht="25.5">
      <c r="A446" s="22"/>
      <c r="B446" s="22"/>
      <c r="C446" s="52">
        <v>2110</v>
      </c>
      <c r="D446" s="27" t="s">
        <v>726</v>
      </c>
      <c r="E446" s="6">
        <v>4287000</v>
      </c>
      <c r="F446" s="6"/>
      <c r="G446" s="6"/>
      <c r="H446" s="6"/>
    </row>
    <row r="447" spans="1:8" s="1" customFormat="1" ht="19.5" customHeight="1" thickBot="1">
      <c r="A447" s="394">
        <v>852</v>
      </c>
      <c r="B447" s="394"/>
      <c r="C447" s="394"/>
      <c r="D447" s="395" t="s">
        <v>129</v>
      </c>
      <c r="E447" s="377">
        <f>E448+E455+E458</f>
        <v>3758000</v>
      </c>
      <c r="F447" s="377"/>
      <c r="G447" s="377"/>
      <c r="H447" s="377"/>
    </row>
    <row r="448" spans="1:8" s="1" customFormat="1" ht="19.5" customHeight="1">
      <c r="A448" s="2"/>
      <c r="B448" s="25">
        <v>85203</v>
      </c>
      <c r="C448" s="146"/>
      <c r="D448" s="67" t="s">
        <v>126</v>
      </c>
      <c r="E448" s="4">
        <f>E449+E451+E453</f>
        <v>3516250</v>
      </c>
      <c r="F448" s="4"/>
      <c r="G448" s="4"/>
      <c r="H448" s="4"/>
    </row>
    <row r="449" spans="1:8" s="1" customFormat="1" ht="19.5" customHeight="1">
      <c r="A449" s="86"/>
      <c r="B449" s="86"/>
      <c r="C449" s="86"/>
      <c r="D449" s="93" t="s">
        <v>182</v>
      </c>
      <c r="E449" s="17">
        <f>E450</f>
        <v>3464000</v>
      </c>
      <c r="F449" s="17"/>
      <c r="G449" s="9"/>
      <c r="H449" s="9"/>
    </row>
    <row r="450" spans="1:8" s="1" customFormat="1" ht="25.5">
      <c r="A450" s="18"/>
      <c r="B450" s="18"/>
      <c r="C450" s="449">
        <v>2110</v>
      </c>
      <c r="D450" s="360" t="s">
        <v>726</v>
      </c>
      <c r="E450" s="279">
        <v>3464000</v>
      </c>
      <c r="F450" s="279"/>
      <c r="G450" s="279"/>
      <c r="H450" s="279"/>
    </row>
    <row r="451" spans="1:8" s="1" customFormat="1" ht="25.5">
      <c r="A451" s="86"/>
      <c r="B451" s="86"/>
      <c r="C451" s="122"/>
      <c r="D451" s="16" t="s">
        <v>183</v>
      </c>
      <c r="E451" s="17">
        <f>E452</f>
        <v>50000</v>
      </c>
      <c r="F451" s="17"/>
      <c r="G451" s="9"/>
      <c r="H451" s="9"/>
    </row>
    <row r="452" spans="1:8" s="1" customFormat="1" ht="38.25">
      <c r="A452" s="18"/>
      <c r="B452" s="18"/>
      <c r="C452" s="22">
        <v>6410</v>
      </c>
      <c r="D452" s="147" t="s">
        <v>405</v>
      </c>
      <c r="E452" s="6">
        <v>50000</v>
      </c>
      <c r="F452" s="6"/>
      <c r="G452" s="6"/>
      <c r="H452" s="6"/>
    </row>
    <row r="453" spans="1:8" s="1" customFormat="1" ht="25.5">
      <c r="A453" s="86"/>
      <c r="B453" s="86"/>
      <c r="C453" s="122"/>
      <c r="D453" s="93" t="s">
        <v>376</v>
      </c>
      <c r="E453" s="17">
        <f>E454</f>
        <v>2250</v>
      </c>
      <c r="F453" s="17"/>
      <c r="G453" s="9"/>
      <c r="H453" s="9"/>
    </row>
    <row r="454" spans="1:8" s="1" customFormat="1" ht="25.5">
      <c r="A454" s="18"/>
      <c r="B454" s="22"/>
      <c r="C454" s="52">
        <v>2110</v>
      </c>
      <c r="D454" s="27" t="s">
        <v>726</v>
      </c>
      <c r="E454" s="88">
        <v>2250</v>
      </c>
      <c r="F454" s="88"/>
      <c r="G454" s="88"/>
      <c r="H454" s="88"/>
    </row>
    <row r="455" spans="1:8" s="1" customFormat="1" ht="19.5" customHeight="1">
      <c r="A455" s="18"/>
      <c r="B455" s="3">
        <v>85231</v>
      </c>
      <c r="C455" s="52"/>
      <c r="D455" s="104" t="s">
        <v>388</v>
      </c>
      <c r="E455" s="4">
        <f>E456</f>
        <v>234000</v>
      </c>
      <c r="F455" s="4"/>
      <c r="G455" s="4"/>
      <c r="H455" s="4"/>
    </row>
    <row r="456" spans="1:8" s="1" customFormat="1" ht="25.5">
      <c r="A456" s="18"/>
      <c r="B456" s="128"/>
      <c r="C456" s="128"/>
      <c r="D456" s="16" t="s">
        <v>406</v>
      </c>
      <c r="E456" s="17">
        <f>E457</f>
        <v>234000</v>
      </c>
      <c r="F456" s="17"/>
      <c r="G456" s="17"/>
      <c r="H456" s="17"/>
    </row>
    <row r="457" spans="1:8" s="1" customFormat="1" ht="25.5">
      <c r="A457" s="18"/>
      <c r="B457" s="22"/>
      <c r="C457" s="52">
        <v>2110</v>
      </c>
      <c r="D457" s="27" t="s">
        <v>726</v>
      </c>
      <c r="E457" s="6">
        <v>234000</v>
      </c>
      <c r="F457" s="6"/>
      <c r="G457" s="6"/>
      <c r="H457" s="6"/>
    </row>
    <row r="458" spans="1:8" s="1" customFormat="1" ht="19.5" customHeight="1">
      <c r="A458" s="18"/>
      <c r="B458" s="3">
        <v>85295</v>
      </c>
      <c r="C458" s="52"/>
      <c r="D458" s="104" t="s">
        <v>100</v>
      </c>
      <c r="E458" s="4">
        <f>E459</f>
        <v>7750</v>
      </c>
      <c r="F458" s="4"/>
      <c r="G458" s="4"/>
      <c r="H458" s="4"/>
    </row>
    <row r="459" spans="1:8" s="1" customFormat="1" ht="25.5">
      <c r="A459" s="18"/>
      <c r="B459" s="128"/>
      <c r="C459" s="128"/>
      <c r="D459" s="16" t="s">
        <v>553</v>
      </c>
      <c r="E459" s="17">
        <f>E460</f>
        <v>7750</v>
      </c>
      <c r="F459" s="17"/>
      <c r="G459" s="17"/>
      <c r="H459" s="17"/>
    </row>
    <row r="460" spans="1:8" s="1" customFormat="1" ht="25.5">
      <c r="A460" s="22"/>
      <c r="B460" s="22"/>
      <c r="C460" s="52">
        <v>2110</v>
      </c>
      <c r="D460" s="27" t="s">
        <v>726</v>
      </c>
      <c r="E460" s="6">
        <v>7750</v>
      </c>
      <c r="F460" s="6"/>
      <c r="G460" s="6"/>
      <c r="H460" s="6"/>
    </row>
    <row r="461" spans="1:8" s="1" customFormat="1" ht="19.5" customHeight="1" thickBot="1">
      <c r="A461" s="375">
        <v>853</v>
      </c>
      <c r="B461" s="375"/>
      <c r="C461" s="375"/>
      <c r="D461" s="376" t="s">
        <v>277</v>
      </c>
      <c r="E461" s="378">
        <f>E462+E465</f>
        <v>560671</v>
      </c>
      <c r="F461" s="378"/>
      <c r="G461" s="378"/>
      <c r="H461" s="378"/>
    </row>
    <row r="462" spans="1:8" s="1" customFormat="1" ht="19.5" customHeight="1">
      <c r="A462" s="2"/>
      <c r="B462" s="3">
        <v>85321</v>
      </c>
      <c r="C462" s="3"/>
      <c r="D462" s="3" t="s">
        <v>630</v>
      </c>
      <c r="E462" s="4">
        <f>E463</f>
        <v>528000</v>
      </c>
      <c r="F462" s="4"/>
      <c r="G462" s="4"/>
      <c r="H462" s="4"/>
    </row>
    <row r="463" spans="1:8" s="1" customFormat="1" ht="25.5">
      <c r="A463" s="86"/>
      <c r="B463" s="86"/>
      <c r="C463" s="122"/>
      <c r="D463" s="16" t="s">
        <v>184</v>
      </c>
      <c r="E463" s="17">
        <f>E464</f>
        <v>528000</v>
      </c>
      <c r="F463" s="17"/>
      <c r="G463" s="17"/>
      <c r="H463" s="17"/>
    </row>
    <row r="464" spans="1:8" s="1" customFormat="1" ht="25.5">
      <c r="A464" s="18"/>
      <c r="B464" s="18"/>
      <c r="C464" s="52">
        <v>2110</v>
      </c>
      <c r="D464" s="27" t="s">
        <v>726</v>
      </c>
      <c r="E464" s="6">
        <v>528000</v>
      </c>
      <c r="F464" s="6"/>
      <c r="G464" s="6"/>
      <c r="H464" s="6"/>
    </row>
    <row r="465" spans="1:8" s="1" customFormat="1" ht="19.5" customHeight="1">
      <c r="A465" s="2"/>
      <c r="B465" s="13">
        <v>85334</v>
      </c>
      <c r="C465" s="3"/>
      <c r="D465" s="3" t="s">
        <v>885</v>
      </c>
      <c r="E465" s="4">
        <f>E466</f>
        <v>32671</v>
      </c>
      <c r="F465" s="4"/>
      <c r="G465" s="4"/>
      <c r="H465" s="4"/>
    </row>
    <row r="466" spans="1:8" s="1" customFormat="1" ht="17.25" customHeight="1">
      <c r="A466" s="86"/>
      <c r="B466" s="86"/>
      <c r="C466" s="122"/>
      <c r="D466" s="16" t="s">
        <v>554</v>
      </c>
      <c r="E466" s="17">
        <f>E467</f>
        <v>32671</v>
      </c>
      <c r="F466" s="17"/>
      <c r="G466" s="17"/>
      <c r="H466" s="17"/>
    </row>
    <row r="467" spans="1:8" s="1" customFormat="1" ht="25.5">
      <c r="A467" s="22"/>
      <c r="B467" s="22"/>
      <c r="C467" s="52">
        <v>2110</v>
      </c>
      <c r="D467" s="27" t="s">
        <v>726</v>
      </c>
      <c r="E467" s="6">
        <f>24850+7821</f>
        <v>32671</v>
      </c>
      <c r="F467" s="6"/>
      <c r="G467" s="6"/>
      <c r="H467" s="6"/>
    </row>
    <row r="468" ht="48" customHeight="1"/>
    <row r="469" spans="1:8" s="1" customFormat="1" ht="19.5" customHeight="1" thickBot="1">
      <c r="A469" s="91"/>
      <c r="B469" s="91"/>
      <c r="C469" s="91"/>
      <c r="D469" s="84" t="s">
        <v>646</v>
      </c>
      <c r="E469" s="284"/>
      <c r="F469" s="284"/>
      <c r="G469" s="24">
        <f>G470+G474+G478+G485+G496+G512+G523+G530+G544</f>
        <v>26703091</v>
      </c>
      <c r="H469" s="24"/>
    </row>
    <row r="470" spans="1:8" ht="18" customHeight="1" thickBot="1" thickTop="1">
      <c r="A470" s="396" t="s">
        <v>1022</v>
      </c>
      <c r="B470" s="394"/>
      <c r="C470" s="375"/>
      <c r="D470" s="375" t="s">
        <v>1023</v>
      </c>
      <c r="E470" s="397"/>
      <c r="F470" s="397"/>
      <c r="G470" s="398">
        <f>G471</f>
        <v>11000</v>
      </c>
      <c r="H470" s="398"/>
    </row>
    <row r="471" spans="1:8" ht="19.5" customHeight="1">
      <c r="A471" s="1031"/>
      <c r="B471" s="1032" t="s">
        <v>842</v>
      </c>
      <c r="C471" s="1032"/>
      <c r="D471" s="1031" t="s">
        <v>757</v>
      </c>
      <c r="E471" s="1033"/>
      <c r="F471" s="1033"/>
      <c r="G471" s="1033">
        <f>G472</f>
        <v>11000</v>
      </c>
      <c r="H471" s="1033"/>
    </row>
    <row r="472" spans="1:8" ht="19.5" customHeight="1">
      <c r="A472" s="128"/>
      <c r="B472" s="128"/>
      <c r="C472" s="128"/>
      <c r="D472" s="16" t="s">
        <v>843</v>
      </c>
      <c r="E472" s="17"/>
      <c r="F472" s="17"/>
      <c r="G472" s="17">
        <f>G473</f>
        <v>11000</v>
      </c>
      <c r="H472" s="17"/>
    </row>
    <row r="473" spans="1:8" ht="25.5">
      <c r="A473" s="22"/>
      <c r="B473" s="22"/>
      <c r="C473" s="22">
        <v>2850</v>
      </c>
      <c r="D473" s="147" t="s">
        <v>478</v>
      </c>
      <c r="E473" s="6"/>
      <c r="F473" s="6"/>
      <c r="G473" s="6">
        <v>11000</v>
      </c>
      <c r="H473" s="6"/>
    </row>
    <row r="474" spans="1:8" s="149" customFormat="1" ht="19.5" customHeight="1" thickBot="1">
      <c r="A474" s="394">
        <v>750</v>
      </c>
      <c r="B474" s="394"/>
      <c r="C474" s="394"/>
      <c r="D474" s="394" t="s">
        <v>439</v>
      </c>
      <c r="E474" s="377"/>
      <c r="F474" s="377"/>
      <c r="G474" s="377">
        <f>G475</f>
        <v>100000</v>
      </c>
      <c r="H474" s="377"/>
    </row>
    <row r="475" spans="1:8" s="149" customFormat="1" ht="19.5" customHeight="1">
      <c r="A475" s="2"/>
      <c r="B475" s="3">
        <v>75023</v>
      </c>
      <c r="C475" s="3"/>
      <c r="D475" s="3" t="s">
        <v>1061</v>
      </c>
      <c r="E475" s="264"/>
      <c r="F475" s="264"/>
      <c r="G475" s="264">
        <f>G476</f>
        <v>100000</v>
      </c>
      <c r="H475" s="264"/>
    </row>
    <row r="476" spans="1:8" s="149" customFormat="1" ht="19.5" customHeight="1">
      <c r="A476" s="86"/>
      <c r="B476" s="18"/>
      <c r="C476" s="18"/>
      <c r="D476" s="16" t="s">
        <v>703</v>
      </c>
      <c r="E476" s="17"/>
      <c r="F476" s="17"/>
      <c r="G476" s="17">
        <f>G477</f>
        <v>100000</v>
      </c>
      <c r="H476" s="17"/>
    </row>
    <row r="477" spans="1:8" s="149" customFormat="1" ht="18" customHeight="1">
      <c r="A477" s="107"/>
      <c r="B477" s="22"/>
      <c r="C477" s="22">
        <v>4300</v>
      </c>
      <c r="D477" s="20" t="s">
        <v>815</v>
      </c>
      <c r="E477" s="6"/>
      <c r="F477" s="6"/>
      <c r="G477" s="6">
        <v>100000</v>
      </c>
      <c r="H477" s="6"/>
    </row>
    <row r="478" spans="1:8" ht="26.25" thickBot="1">
      <c r="A478" s="394">
        <v>756</v>
      </c>
      <c r="B478" s="394"/>
      <c r="C478" s="394"/>
      <c r="D478" s="395" t="s">
        <v>452</v>
      </c>
      <c r="E478" s="399"/>
      <c r="F478" s="399"/>
      <c r="G478" s="400">
        <f>G479</f>
        <v>77000</v>
      </c>
      <c r="H478" s="400"/>
    </row>
    <row r="479" spans="1:8" ht="19.5" customHeight="1">
      <c r="A479" s="86"/>
      <c r="B479" s="25">
        <v>75647</v>
      </c>
      <c r="C479" s="25"/>
      <c r="D479" s="67" t="s">
        <v>493</v>
      </c>
      <c r="E479" s="4"/>
      <c r="F479" s="4"/>
      <c r="G479" s="4">
        <f>G480</f>
        <v>77000</v>
      </c>
      <c r="H479" s="4"/>
    </row>
    <row r="480" spans="1:8" ht="17.25" customHeight="1">
      <c r="A480" s="86"/>
      <c r="B480" s="122"/>
      <c r="C480" s="86"/>
      <c r="D480" s="263" t="s">
        <v>49</v>
      </c>
      <c r="E480" s="17"/>
      <c r="F480" s="17"/>
      <c r="G480" s="17">
        <f>G483+G484+G481+G482</f>
        <v>77000</v>
      </c>
      <c r="H480" s="17"/>
    </row>
    <row r="481" spans="1:8" ht="18" customHeight="1">
      <c r="A481" s="86"/>
      <c r="B481" s="86"/>
      <c r="C481" s="22">
        <v>4110</v>
      </c>
      <c r="D481" s="22" t="s">
        <v>681</v>
      </c>
      <c r="E481" s="6"/>
      <c r="F481" s="6"/>
      <c r="G481" s="6">
        <v>2000</v>
      </c>
      <c r="H481" s="6"/>
    </row>
    <row r="482" spans="1:8" ht="19.5" customHeight="1">
      <c r="A482" s="86"/>
      <c r="B482" s="86"/>
      <c r="C482" s="22">
        <v>4120</v>
      </c>
      <c r="D482" s="20" t="s">
        <v>682</v>
      </c>
      <c r="E482" s="6"/>
      <c r="F482" s="6"/>
      <c r="G482" s="6">
        <v>500</v>
      </c>
      <c r="H482" s="6"/>
    </row>
    <row r="483" spans="1:8" ht="19.5" customHeight="1">
      <c r="A483" s="86"/>
      <c r="B483" s="86"/>
      <c r="C483" s="22">
        <v>4170</v>
      </c>
      <c r="D483" s="22" t="s">
        <v>740</v>
      </c>
      <c r="E483" s="6"/>
      <c r="F483" s="6"/>
      <c r="G483" s="6">
        <f>58000-2500</f>
        <v>55500</v>
      </c>
      <c r="H483" s="6"/>
    </row>
    <row r="484" spans="1:8" ht="19.5" customHeight="1">
      <c r="A484" s="107"/>
      <c r="B484" s="107"/>
      <c r="C484" s="22">
        <v>4300</v>
      </c>
      <c r="D484" s="20" t="s">
        <v>815</v>
      </c>
      <c r="E484" s="6"/>
      <c r="F484" s="6"/>
      <c r="G484" s="6">
        <v>19000</v>
      </c>
      <c r="H484" s="6"/>
    </row>
    <row r="485" spans="1:8" ht="18" customHeight="1" thickBot="1">
      <c r="A485" s="394">
        <v>757</v>
      </c>
      <c r="B485" s="394"/>
      <c r="C485" s="394"/>
      <c r="D485" s="394" t="s">
        <v>444</v>
      </c>
      <c r="E485" s="377"/>
      <c r="F485" s="377"/>
      <c r="G485" s="377">
        <f>G486+G492</f>
        <v>13200000</v>
      </c>
      <c r="H485" s="377"/>
    </row>
    <row r="486" spans="1:8" ht="25.5">
      <c r="A486" s="86"/>
      <c r="B486" s="25">
        <v>75702</v>
      </c>
      <c r="C486" s="25"/>
      <c r="D486" s="67" t="s">
        <v>445</v>
      </c>
      <c r="E486" s="4"/>
      <c r="F486" s="4"/>
      <c r="G486" s="4">
        <f>G487+G489</f>
        <v>9200000</v>
      </c>
      <c r="H486" s="4"/>
    </row>
    <row r="487" spans="1:8" ht="19.5" customHeight="1">
      <c r="A487" s="86"/>
      <c r="B487" s="86"/>
      <c r="C487" s="18"/>
      <c r="D487" s="16" t="s">
        <v>225</v>
      </c>
      <c r="E487" s="17"/>
      <c r="F487" s="17"/>
      <c r="G487" s="17">
        <f>SUM(G488:G488)</f>
        <v>3100000</v>
      </c>
      <c r="H487" s="17"/>
    </row>
    <row r="488" spans="1:8" ht="19.5" customHeight="1">
      <c r="A488" s="86"/>
      <c r="B488" s="86"/>
      <c r="C488" s="22">
        <v>8110</v>
      </c>
      <c r="D488" s="20" t="s">
        <v>307</v>
      </c>
      <c r="E488" s="6"/>
      <c r="F488" s="6"/>
      <c r="G488" s="6">
        <v>3100000</v>
      </c>
      <c r="H488" s="6"/>
    </row>
    <row r="489" spans="1:8" ht="19.5" customHeight="1">
      <c r="A489" s="86"/>
      <c r="B489" s="86"/>
      <c r="C489" s="18"/>
      <c r="D489" s="316" t="s">
        <v>674</v>
      </c>
      <c r="E489" s="66"/>
      <c r="F489" s="66"/>
      <c r="G489" s="17">
        <f>SUM(G490:G491)</f>
        <v>6100000</v>
      </c>
      <c r="H489" s="17"/>
    </row>
    <row r="490" spans="1:8" ht="19.5" customHeight="1">
      <c r="A490" s="86"/>
      <c r="B490" s="86"/>
      <c r="C490" s="22">
        <v>4300</v>
      </c>
      <c r="D490" s="20" t="s">
        <v>815</v>
      </c>
      <c r="E490" s="6"/>
      <c r="F490" s="6"/>
      <c r="G490" s="6">
        <v>25000</v>
      </c>
      <c r="H490" s="6"/>
    </row>
    <row r="491" spans="1:8" ht="26.25" customHeight="1">
      <c r="A491" s="86"/>
      <c r="B491" s="86"/>
      <c r="C491" s="18">
        <v>8070</v>
      </c>
      <c r="D491" s="221" t="s">
        <v>985</v>
      </c>
      <c r="E491" s="279"/>
      <c r="F491" s="279"/>
      <c r="G491" s="295">
        <f>6100000-25000</f>
        <v>6075000</v>
      </c>
      <c r="H491" s="295"/>
    </row>
    <row r="492" spans="1:8" ht="26.25" customHeight="1">
      <c r="A492" s="86"/>
      <c r="B492" s="104">
        <v>75704</v>
      </c>
      <c r="C492" s="401"/>
      <c r="D492" s="14" t="s">
        <v>371</v>
      </c>
      <c r="E492" s="65"/>
      <c r="F492" s="65"/>
      <c r="G492" s="15">
        <f>G493</f>
        <v>4000000</v>
      </c>
      <c r="H492" s="15"/>
    </row>
    <row r="493" spans="1:8" ht="18.75" customHeight="1">
      <c r="A493" s="86"/>
      <c r="B493" s="86"/>
      <c r="C493" s="18"/>
      <c r="D493" s="16" t="s">
        <v>373</v>
      </c>
      <c r="E493" s="17"/>
      <c r="F493" s="17"/>
      <c r="G493" s="17">
        <f>G494</f>
        <v>4000000</v>
      </c>
      <c r="H493" s="17"/>
    </row>
    <row r="494" spans="1:8" ht="18.75" customHeight="1">
      <c r="A494" s="107"/>
      <c r="B494" s="107"/>
      <c r="C494" s="22">
        <v>8020</v>
      </c>
      <c r="D494" s="20" t="s">
        <v>372</v>
      </c>
      <c r="E494" s="6"/>
      <c r="F494" s="6"/>
      <c r="G494" s="6">
        <v>4000000</v>
      </c>
      <c r="H494" s="6"/>
    </row>
    <row r="495" ht="18.75" customHeight="1"/>
    <row r="496" spans="1:8" ht="21" customHeight="1" thickBot="1">
      <c r="A496" s="394">
        <v>758</v>
      </c>
      <c r="B496" s="394"/>
      <c r="C496" s="394"/>
      <c r="D496" s="394" t="s">
        <v>446</v>
      </c>
      <c r="E496" s="377"/>
      <c r="F496" s="377"/>
      <c r="G496" s="377">
        <f>G497+G500</f>
        <v>9818590</v>
      </c>
      <c r="H496" s="377"/>
    </row>
    <row r="497" spans="1:8" ht="18.75" customHeight="1">
      <c r="A497" s="86"/>
      <c r="B497" s="3">
        <v>75814</v>
      </c>
      <c r="C497" s="3"/>
      <c r="D497" s="3" t="s">
        <v>384</v>
      </c>
      <c r="E497" s="4"/>
      <c r="F497" s="4"/>
      <c r="G497" s="4">
        <f>G498</f>
        <v>5090085</v>
      </c>
      <c r="H497" s="4"/>
    </row>
    <row r="498" spans="1:8" ht="18.75" customHeight="1">
      <c r="A498" s="86"/>
      <c r="B498" s="86"/>
      <c r="C498" s="86"/>
      <c r="D498" s="16" t="s">
        <v>552</v>
      </c>
      <c r="E498" s="17"/>
      <c r="F498" s="17"/>
      <c r="G498" s="17">
        <f>G499</f>
        <v>5090085</v>
      </c>
      <c r="H498" s="17"/>
    </row>
    <row r="499" spans="1:8" ht="18.75" customHeight="1">
      <c r="A499" s="86"/>
      <c r="B499" s="107"/>
      <c r="C499" s="22">
        <v>2930</v>
      </c>
      <c r="D499" s="20" t="s">
        <v>429</v>
      </c>
      <c r="E499" s="88"/>
      <c r="F499" s="88"/>
      <c r="G499" s="88">
        <v>5090085</v>
      </c>
      <c r="H499" s="88"/>
    </row>
    <row r="500" spans="1:8" ht="18.75" customHeight="1">
      <c r="A500" s="86"/>
      <c r="B500" s="13">
        <v>75818</v>
      </c>
      <c r="C500" s="13"/>
      <c r="D500" s="13" t="s">
        <v>447</v>
      </c>
      <c r="E500" s="15"/>
      <c r="F500" s="15"/>
      <c r="G500" s="15">
        <f>G501+G503+G506+G508+G510</f>
        <v>4728505</v>
      </c>
      <c r="H500" s="15"/>
    </row>
    <row r="501" spans="1:8" ht="18.75" customHeight="1">
      <c r="A501" s="277"/>
      <c r="B501" s="122"/>
      <c r="C501" s="128"/>
      <c r="D501" s="16" t="s">
        <v>409</v>
      </c>
      <c r="E501" s="17"/>
      <c r="F501" s="17"/>
      <c r="G501" s="17">
        <f>G502</f>
        <v>3329730</v>
      </c>
      <c r="H501" s="17"/>
    </row>
    <row r="502" spans="1:8" ht="18.75" customHeight="1">
      <c r="A502" s="277"/>
      <c r="B502" s="86"/>
      <c r="C502" s="18">
        <v>4810</v>
      </c>
      <c r="D502" s="221" t="s">
        <v>891</v>
      </c>
      <c r="E502" s="295"/>
      <c r="F502" s="295"/>
      <c r="G502" s="295">
        <f>4079027-598227-151070</f>
        <v>3329730</v>
      </c>
      <c r="H502" s="295"/>
    </row>
    <row r="503" spans="1:8" ht="26.25" customHeight="1">
      <c r="A503" s="277"/>
      <c r="B503" s="86"/>
      <c r="C503" s="128"/>
      <c r="D503" s="16" t="s">
        <v>625</v>
      </c>
      <c r="E503" s="17"/>
      <c r="F503" s="17"/>
      <c r="G503" s="17">
        <f>SUM(G504:G505)</f>
        <v>838775</v>
      </c>
      <c r="H503" s="17"/>
    </row>
    <row r="504" spans="1:8" ht="18.75" customHeight="1">
      <c r="A504" s="277"/>
      <c r="B504" s="86"/>
      <c r="C504" s="22">
        <v>4810</v>
      </c>
      <c r="D504" s="20" t="s">
        <v>891</v>
      </c>
      <c r="E504" s="88"/>
      <c r="F504" s="88"/>
      <c r="G504" s="88">
        <f>358775-20000</f>
        <v>338775</v>
      </c>
      <c r="H504" s="88"/>
    </row>
    <row r="505" spans="1:8" ht="18.75" customHeight="1">
      <c r="A505" s="277"/>
      <c r="B505" s="86"/>
      <c r="C505" s="22">
        <v>6800</v>
      </c>
      <c r="D505" s="20" t="s">
        <v>308</v>
      </c>
      <c r="E505" s="65"/>
      <c r="F505" s="65"/>
      <c r="G505" s="65">
        <v>500000</v>
      </c>
      <c r="H505" s="65"/>
    </row>
    <row r="506" spans="1:8" ht="38.25">
      <c r="A506" s="277"/>
      <c r="B506" s="86"/>
      <c r="C506" s="18"/>
      <c r="D506" s="93" t="s">
        <v>374</v>
      </c>
      <c r="E506" s="66"/>
      <c r="F506" s="66"/>
      <c r="G506" s="66">
        <f>G507</f>
        <v>10000</v>
      </c>
      <c r="H506" s="66"/>
    </row>
    <row r="507" spans="1:8" ht="18.75" customHeight="1">
      <c r="A507" s="277"/>
      <c r="B507" s="86"/>
      <c r="C507" s="18">
        <v>4810</v>
      </c>
      <c r="D507" s="221" t="s">
        <v>891</v>
      </c>
      <c r="E507" s="295"/>
      <c r="F507" s="295"/>
      <c r="G507" s="295">
        <v>10000</v>
      </c>
      <c r="H507" s="295"/>
    </row>
    <row r="508" spans="1:8" ht="25.5">
      <c r="A508" s="277"/>
      <c r="B508" s="86"/>
      <c r="C508" s="128"/>
      <c r="D508" s="16" t="s">
        <v>375</v>
      </c>
      <c r="E508" s="17"/>
      <c r="F508" s="17"/>
      <c r="G508" s="17">
        <f>G509</f>
        <v>500000</v>
      </c>
      <c r="H508" s="17"/>
    </row>
    <row r="509" spans="1:8" ht="18.75" customHeight="1">
      <c r="A509" s="277"/>
      <c r="B509" s="86"/>
      <c r="C509" s="22">
        <v>4810</v>
      </c>
      <c r="D509" s="20" t="s">
        <v>891</v>
      </c>
      <c r="E509" s="88"/>
      <c r="F509" s="88"/>
      <c r="G509" s="88">
        <v>500000</v>
      </c>
      <c r="H509" s="88"/>
    </row>
    <row r="510" spans="1:8" ht="18.75" customHeight="1">
      <c r="A510" s="277"/>
      <c r="B510" s="86"/>
      <c r="C510" s="18"/>
      <c r="D510" s="316" t="s">
        <v>226</v>
      </c>
      <c r="E510" s="66"/>
      <c r="F510" s="66"/>
      <c r="G510" s="66">
        <f>G511</f>
        <v>50000</v>
      </c>
      <c r="H510" s="66"/>
    </row>
    <row r="511" spans="1:8" ht="18.75" customHeight="1">
      <c r="A511" s="291"/>
      <c r="B511" s="107"/>
      <c r="C511" s="22">
        <v>4810</v>
      </c>
      <c r="D511" s="20" t="s">
        <v>891</v>
      </c>
      <c r="E511" s="88"/>
      <c r="F511" s="88"/>
      <c r="G511" s="88">
        <v>50000</v>
      </c>
      <c r="H511" s="88"/>
    </row>
    <row r="512" spans="1:8" s="149" customFormat="1" ht="18.75" customHeight="1" thickBot="1">
      <c r="A512" s="394">
        <v>801</v>
      </c>
      <c r="B512" s="394"/>
      <c r="C512" s="394"/>
      <c r="D512" s="394" t="s">
        <v>448</v>
      </c>
      <c r="E512" s="377"/>
      <c r="F512" s="377"/>
      <c r="G512" s="377">
        <f>G513+G519</f>
        <v>140650</v>
      </c>
      <c r="H512" s="377"/>
    </row>
    <row r="513" spans="1:8" s="149" customFormat="1" ht="18.75" customHeight="1">
      <c r="A513" s="2"/>
      <c r="B513" s="3">
        <v>80101</v>
      </c>
      <c r="C513" s="3"/>
      <c r="D513" s="3" t="s">
        <v>449</v>
      </c>
      <c r="E513" s="264"/>
      <c r="F513" s="264"/>
      <c r="G513" s="264">
        <f>G514+G517</f>
        <v>45650</v>
      </c>
      <c r="H513" s="264"/>
    </row>
    <row r="514" spans="1:8" s="149" customFormat="1" ht="15.75" customHeight="1">
      <c r="A514" s="86"/>
      <c r="B514" s="18"/>
      <c r="C514" s="18"/>
      <c r="D514" s="348" t="s">
        <v>319</v>
      </c>
      <c r="E514" s="280"/>
      <c r="F514" s="280"/>
      <c r="G514" s="280">
        <f>G515</f>
        <v>45300</v>
      </c>
      <c r="H514" s="280"/>
    </row>
    <row r="515" spans="1:8" s="149" customFormat="1" ht="18.75" customHeight="1">
      <c r="A515" s="86"/>
      <c r="B515" s="18"/>
      <c r="C515" s="86"/>
      <c r="D515" s="421" t="s">
        <v>368</v>
      </c>
      <c r="E515" s="10"/>
      <c r="F515" s="10"/>
      <c r="G515" s="10">
        <v>45300</v>
      </c>
      <c r="H515" s="10"/>
    </row>
    <row r="516" spans="1:8" s="149" customFormat="1" ht="18.75" customHeight="1">
      <c r="A516" s="86"/>
      <c r="B516" s="18"/>
      <c r="C516" s="22">
        <v>6050</v>
      </c>
      <c r="D516" s="22" t="s">
        <v>746</v>
      </c>
      <c r="E516" s="228"/>
      <c r="F516" s="228"/>
      <c r="G516" s="228">
        <f>G515</f>
        <v>45300</v>
      </c>
      <c r="H516" s="228"/>
    </row>
    <row r="517" spans="1:8" s="149" customFormat="1" ht="18.75" customHeight="1">
      <c r="A517" s="86"/>
      <c r="B517" s="18"/>
      <c r="C517" s="86"/>
      <c r="D517" s="608" t="s">
        <v>212</v>
      </c>
      <c r="E517" s="169"/>
      <c r="F517" s="169"/>
      <c r="G517" s="169">
        <f>G518</f>
        <v>350</v>
      </c>
      <c r="H517" s="169"/>
    </row>
    <row r="518" spans="1:8" ht="25.5">
      <c r="A518" s="982"/>
      <c r="B518" s="982"/>
      <c r="C518" s="170">
        <v>2917</v>
      </c>
      <c r="D518" s="1001" t="s">
        <v>249</v>
      </c>
      <c r="E518" s="983"/>
      <c r="F518" s="190"/>
      <c r="G518" s="190">
        <v>350</v>
      </c>
      <c r="H518" s="190"/>
    </row>
    <row r="519" spans="1:8" s="149" customFormat="1" ht="16.5" customHeight="1">
      <c r="A519" s="2"/>
      <c r="B519" s="13">
        <v>80130</v>
      </c>
      <c r="C519" s="13"/>
      <c r="D519" s="3" t="s">
        <v>494</v>
      </c>
      <c r="E519" s="283"/>
      <c r="F519" s="283"/>
      <c r="G519" s="283">
        <f>G520</f>
        <v>95000</v>
      </c>
      <c r="H519" s="283"/>
    </row>
    <row r="520" spans="1:8" s="149" customFormat="1" ht="18.75" customHeight="1">
      <c r="A520" s="86"/>
      <c r="B520" s="18"/>
      <c r="C520" s="18"/>
      <c r="D520" s="16" t="s">
        <v>325</v>
      </c>
      <c r="E520" s="280"/>
      <c r="F520" s="280"/>
      <c r="G520" s="280">
        <f>G522</f>
        <v>95000</v>
      </c>
      <c r="H520" s="280"/>
    </row>
    <row r="521" spans="1:8" s="149" customFormat="1" ht="18.75" customHeight="1">
      <c r="A521" s="86"/>
      <c r="B521" s="18"/>
      <c r="C521" s="86"/>
      <c r="D521" s="331" t="s">
        <v>368</v>
      </c>
      <c r="E521" s="10"/>
      <c r="F521" s="10"/>
      <c r="G521" s="10">
        <v>95000</v>
      </c>
      <c r="H521" s="10"/>
    </row>
    <row r="522" spans="1:8" s="149" customFormat="1" ht="18.75" customHeight="1">
      <c r="A522" s="107"/>
      <c r="B522" s="22"/>
      <c r="C522" s="22">
        <v>6050</v>
      </c>
      <c r="D522" s="22" t="s">
        <v>746</v>
      </c>
      <c r="E522" s="228"/>
      <c r="F522" s="228"/>
      <c r="G522" s="228">
        <f>G521</f>
        <v>95000</v>
      </c>
      <c r="H522" s="228"/>
    </row>
    <row r="523" spans="1:8" s="149" customFormat="1" ht="21.75" customHeight="1" thickBot="1">
      <c r="A523" s="394">
        <v>851</v>
      </c>
      <c r="B523" s="394"/>
      <c r="C523" s="394"/>
      <c r="D523" s="394" t="s">
        <v>106</v>
      </c>
      <c r="E523" s="377"/>
      <c r="F523" s="377"/>
      <c r="G523" s="377">
        <f>G524</f>
        <v>30000</v>
      </c>
      <c r="H523" s="377"/>
    </row>
    <row r="524" spans="1:8" s="149" customFormat="1" ht="18.75" customHeight="1">
      <c r="A524" s="2"/>
      <c r="B524" s="3">
        <v>85154</v>
      </c>
      <c r="C524" s="3"/>
      <c r="D524" s="3" t="s">
        <v>124</v>
      </c>
      <c r="E524" s="283"/>
      <c r="F524" s="283"/>
      <c r="G524" s="283">
        <f>G525</f>
        <v>30000</v>
      </c>
      <c r="H524" s="283"/>
    </row>
    <row r="525" spans="1:8" s="149" customFormat="1" ht="19.5" customHeight="1">
      <c r="A525" s="86"/>
      <c r="B525" s="18"/>
      <c r="C525" s="18"/>
      <c r="D525" s="16" t="s">
        <v>519</v>
      </c>
      <c r="E525" s="17"/>
      <c r="F525" s="17"/>
      <c r="G525" s="17">
        <f>G526</f>
        <v>30000</v>
      </c>
      <c r="H525" s="17"/>
    </row>
    <row r="526" spans="1:8" s="149" customFormat="1" ht="18.75" customHeight="1">
      <c r="A526" s="86"/>
      <c r="B526" s="18"/>
      <c r="C526" s="86"/>
      <c r="D526" s="288" t="s">
        <v>1040</v>
      </c>
      <c r="E526" s="346"/>
      <c r="F526" s="346"/>
      <c r="G526" s="289">
        <f>G527+G528</f>
        <v>30000</v>
      </c>
      <c r="H526" s="289"/>
    </row>
    <row r="527" spans="1:8" s="149" customFormat="1" ht="18.75" customHeight="1">
      <c r="A527" s="86"/>
      <c r="B527" s="18"/>
      <c r="C527" s="237">
        <v>4210</v>
      </c>
      <c r="D527" s="237" t="s">
        <v>748</v>
      </c>
      <c r="E527" s="6"/>
      <c r="F527" s="6"/>
      <c r="G527" s="6">
        <v>10000</v>
      </c>
      <c r="H527" s="6"/>
    </row>
    <row r="528" spans="1:8" s="149" customFormat="1" ht="18.75" customHeight="1">
      <c r="A528" s="86"/>
      <c r="B528" s="18"/>
      <c r="C528" s="430"/>
      <c r="D528" s="430" t="s">
        <v>555</v>
      </c>
      <c r="E528" s="276"/>
      <c r="F528" s="276"/>
      <c r="G528" s="276">
        <f>G529</f>
        <v>20000</v>
      </c>
      <c r="H528" s="276"/>
    </row>
    <row r="529" spans="1:8" s="149" customFormat="1" ht="18.75" customHeight="1">
      <c r="A529" s="107"/>
      <c r="B529" s="22"/>
      <c r="C529" s="237">
        <v>6060</v>
      </c>
      <c r="D529" s="371" t="s">
        <v>685</v>
      </c>
      <c r="E529" s="228"/>
      <c r="F529" s="228"/>
      <c r="G529" s="228">
        <v>20000</v>
      </c>
      <c r="H529" s="228"/>
    </row>
    <row r="530" spans="1:8" s="149" customFormat="1" ht="18.75" customHeight="1" thickBot="1">
      <c r="A530" s="394">
        <v>852</v>
      </c>
      <c r="B530" s="394"/>
      <c r="C530" s="394"/>
      <c r="D530" s="394" t="s">
        <v>129</v>
      </c>
      <c r="E530" s="377"/>
      <c r="F530" s="377"/>
      <c r="G530" s="377">
        <f>G531+G534+G537+G540</f>
        <v>3321615</v>
      </c>
      <c r="H530" s="377"/>
    </row>
    <row r="531" spans="1:8" s="1056" customFormat="1" ht="18.75" customHeight="1">
      <c r="A531" s="56"/>
      <c r="B531" s="165">
        <v>85201</v>
      </c>
      <c r="C531" s="165"/>
      <c r="D531" s="185" t="s">
        <v>55</v>
      </c>
      <c r="E531" s="347"/>
      <c r="F531" s="347"/>
      <c r="G531" s="347">
        <f>G532</f>
        <v>2700000</v>
      </c>
      <c r="H531" s="347"/>
    </row>
    <row r="532" spans="1:8" s="1056" customFormat="1" ht="25.5" customHeight="1">
      <c r="A532" s="56"/>
      <c r="B532" s="56"/>
      <c r="C532" s="170"/>
      <c r="D532" s="196" t="s">
        <v>1115</v>
      </c>
      <c r="E532" s="169"/>
      <c r="F532" s="169"/>
      <c r="G532" s="169">
        <f>G533</f>
        <v>2700000</v>
      </c>
      <c r="H532" s="169"/>
    </row>
    <row r="533" spans="1:8" s="1056" customFormat="1" ht="25.5" customHeight="1">
      <c r="A533" s="56"/>
      <c r="B533" s="158"/>
      <c r="C533" s="181">
        <v>2320</v>
      </c>
      <c r="D533" s="189" t="s">
        <v>997</v>
      </c>
      <c r="E533" s="176"/>
      <c r="F533" s="176"/>
      <c r="G533" s="176">
        <v>2700000</v>
      </c>
      <c r="H533" s="176"/>
    </row>
    <row r="534" spans="1:8" s="1056" customFormat="1" ht="19.5" customHeight="1">
      <c r="A534" s="56"/>
      <c r="B534" s="165">
        <v>85204</v>
      </c>
      <c r="C534" s="165"/>
      <c r="D534" s="185" t="s">
        <v>289</v>
      </c>
      <c r="E534" s="347"/>
      <c r="F534" s="347"/>
      <c r="G534" s="347">
        <f>G535</f>
        <v>550000</v>
      </c>
      <c r="H534" s="347"/>
    </row>
    <row r="535" spans="1:8" s="1056" customFormat="1" ht="25.5" customHeight="1">
      <c r="A535" s="301"/>
      <c r="B535" s="56"/>
      <c r="C535" s="193"/>
      <c r="D535" s="186" t="s">
        <v>300</v>
      </c>
      <c r="E535" s="169"/>
      <c r="F535" s="169"/>
      <c r="G535" s="169">
        <f>G536</f>
        <v>550000</v>
      </c>
      <c r="H535" s="169"/>
    </row>
    <row r="536" spans="1:8" s="1056" customFormat="1" ht="25.5" customHeight="1">
      <c r="A536" s="301"/>
      <c r="B536" s="158"/>
      <c r="C536" s="181">
        <v>2320</v>
      </c>
      <c r="D536" s="189" t="s">
        <v>997</v>
      </c>
      <c r="E536" s="176"/>
      <c r="F536" s="176"/>
      <c r="G536" s="176">
        <v>550000</v>
      </c>
      <c r="H536" s="176"/>
    </row>
    <row r="537" spans="1:8" s="1056" customFormat="1" ht="25.5">
      <c r="A537" s="56"/>
      <c r="B537" s="165">
        <v>85220</v>
      </c>
      <c r="C537" s="165"/>
      <c r="D537" s="185" t="s">
        <v>222</v>
      </c>
      <c r="E537" s="347"/>
      <c r="F537" s="347"/>
      <c r="G537" s="347">
        <f>G538</f>
        <v>60000</v>
      </c>
      <c r="H537" s="347"/>
    </row>
    <row r="538" spans="1:8" s="1056" customFormat="1" ht="19.5" customHeight="1">
      <c r="A538" s="301"/>
      <c r="B538" s="56"/>
      <c r="C538" s="193"/>
      <c r="D538" s="186" t="s">
        <v>344</v>
      </c>
      <c r="E538" s="169"/>
      <c r="F538" s="169"/>
      <c r="G538" s="169">
        <f>G539</f>
        <v>60000</v>
      </c>
      <c r="H538" s="169"/>
    </row>
    <row r="539" spans="1:8" s="1056" customFormat="1" ht="19.5" customHeight="1">
      <c r="A539" s="301"/>
      <c r="B539" s="158"/>
      <c r="C539" s="181">
        <v>4210</v>
      </c>
      <c r="D539" s="189" t="s">
        <v>748</v>
      </c>
      <c r="E539" s="176"/>
      <c r="F539" s="176"/>
      <c r="G539" s="176">
        <v>60000</v>
      </c>
      <c r="H539" s="176"/>
    </row>
    <row r="540" spans="1:8" s="149" customFormat="1" ht="19.5" customHeight="1">
      <c r="A540" s="2"/>
      <c r="B540" s="3">
        <v>85295</v>
      </c>
      <c r="C540" s="45"/>
      <c r="D540" s="67" t="s">
        <v>100</v>
      </c>
      <c r="E540" s="151"/>
      <c r="F540" s="151"/>
      <c r="G540" s="151">
        <f>G541</f>
        <v>11615</v>
      </c>
      <c r="H540" s="151"/>
    </row>
    <row r="541" spans="1:8" s="149" customFormat="1" ht="19.5" customHeight="1">
      <c r="A541" s="86"/>
      <c r="B541" s="86"/>
      <c r="C541" s="18"/>
      <c r="D541" s="316" t="s">
        <v>892</v>
      </c>
      <c r="E541" s="17"/>
      <c r="F541" s="17"/>
      <c r="G541" s="17">
        <f>G542+G543</f>
        <v>11615</v>
      </c>
      <c r="H541" s="17"/>
    </row>
    <row r="542" spans="1:8" s="149" customFormat="1" ht="29.25" customHeight="1">
      <c r="A542" s="86"/>
      <c r="B542" s="86"/>
      <c r="C542" s="22">
        <v>2910</v>
      </c>
      <c r="D542" s="20" t="s">
        <v>249</v>
      </c>
      <c r="E542" s="6"/>
      <c r="F542" s="6"/>
      <c r="G542" s="6">
        <v>11545</v>
      </c>
      <c r="H542" s="6"/>
    </row>
    <row r="543" spans="1:11" s="989" customFormat="1" ht="25.5">
      <c r="A543" s="56"/>
      <c r="B543" s="56"/>
      <c r="C543" s="961">
        <v>4560</v>
      </c>
      <c r="D543" s="930" t="s">
        <v>806</v>
      </c>
      <c r="E543" s="987"/>
      <c r="F543" s="987"/>
      <c r="G543" s="190">
        <v>70</v>
      </c>
      <c r="H543" s="190"/>
      <c r="I543" s="988"/>
      <c r="J543" s="988"/>
      <c r="K543" s="988"/>
    </row>
    <row r="544" spans="1:8" s="149" customFormat="1" ht="22.5" customHeight="1" thickBot="1">
      <c r="A544" s="920">
        <v>853</v>
      </c>
      <c r="B544" s="920"/>
      <c r="C544" s="921"/>
      <c r="D544" s="922" t="s">
        <v>277</v>
      </c>
      <c r="E544" s="377"/>
      <c r="F544" s="377"/>
      <c r="G544" s="377">
        <f>G545</f>
        <v>4236</v>
      </c>
      <c r="H544" s="377"/>
    </row>
    <row r="545" spans="1:8" s="1056" customFormat="1" ht="18" customHeight="1">
      <c r="A545" s="923"/>
      <c r="B545" s="924">
        <v>85311</v>
      </c>
      <c r="C545" s="925"/>
      <c r="D545" s="926" t="s">
        <v>785</v>
      </c>
      <c r="E545" s="347"/>
      <c r="F545" s="347"/>
      <c r="G545" s="347">
        <f>G546</f>
        <v>4236</v>
      </c>
      <c r="H545" s="347"/>
    </row>
    <row r="546" spans="1:8" s="1056" customFormat="1" ht="25.5" customHeight="1">
      <c r="A546" s="923"/>
      <c r="B546" s="923"/>
      <c r="C546" s="927"/>
      <c r="D546" s="928" t="s">
        <v>786</v>
      </c>
      <c r="E546" s="169"/>
      <c r="F546" s="169"/>
      <c r="G546" s="169">
        <f>G547</f>
        <v>4236</v>
      </c>
      <c r="H546" s="169"/>
    </row>
    <row r="547" spans="1:8" s="1056" customFormat="1" ht="25.5" customHeight="1">
      <c r="A547" s="929"/>
      <c r="B547" s="181"/>
      <c r="C547" s="22">
        <v>2320</v>
      </c>
      <c r="D547" s="930" t="s">
        <v>997</v>
      </c>
      <c r="E547" s="176"/>
      <c r="F547" s="176"/>
      <c r="G547" s="176">
        <v>4236</v>
      </c>
      <c r="H547" s="176"/>
    </row>
    <row r="548" spans="1:8" s="1" customFormat="1" ht="19.5" customHeight="1" thickBot="1">
      <c r="A548" s="91"/>
      <c r="B548" s="91"/>
      <c r="C548" s="91"/>
      <c r="D548" s="84" t="s">
        <v>523</v>
      </c>
      <c r="E548" s="284"/>
      <c r="F548" s="284"/>
      <c r="G548" s="24">
        <f>G549</f>
        <v>4548</v>
      </c>
      <c r="H548" s="24"/>
    </row>
    <row r="549" spans="1:8" ht="18" customHeight="1" thickBot="1" thickTop="1">
      <c r="A549" s="410" t="s">
        <v>1022</v>
      </c>
      <c r="B549" s="394"/>
      <c r="C549" s="375"/>
      <c r="D549" s="375" t="s">
        <v>1023</v>
      </c>
      <c r="E549" s="397"/>
      <c r="F549" s="397"/>
      <c r="G549" s="398">
        <f>G550</f>
        <v>4548</v>
      </c>
      <c r="H549" s="398"/>
    </row>
    <row r="550" spans="1:8" ht="19.5" customHeight="1">
      <c r="A550" s="2"/>
      <c r="B550" s="63" t="s">
        <v>743</v>
      </c>
      <c r="C550" s="63"/>
      <c r="D550" s="3" t="s">
        <v>100</v>
      </c>
      <c r="E550" s="4"/>
      <c r="F550" s="4"/>
      <c r="G550" s="4">
        <f>G551</f>
        <v>4548</v>
      </c>
      <c r="H550" s="4"/>
    </row>
    <row r="551" spans="1:8" ht="16.5" customHeight="1">
      <c r="A551" s="18"/>
      <c r="B551" s="18"/>
      <c r="C551" s="128"/>
      <c r="D551" s="16" t="s">
        <v>61</v>
      </c>
      <c r="E551" s="17"/>
      <c r="F551" s="17"/>
      <c r="G551" s="17">
        <f>G552+G553</f>
        <v>4548</v>
      </c>
      <c r="H551" s="17"/>
    </row>
    <row r="552" spans="1:8" s="1056" customFormat="1" ht="16.5" customHeight="1">
      <c r="A552" s="301"/>
      <c r="B552" s="56"/>
      <c r="C552" s="181">
        <v>4210</v>
      </c>
      <c r="D552" s="189" t="s">
        <v>748</v>
      </c>
      <c r="E552" s="176"/>
      <c r="F552" s="176"/>
      <c r="G552" s="176">
        <v>90</v>
      </c>
      <c r="H552" s="176"/>
    </row>
    <row r="553" spans="1:8" s="149" customFormat="1" ht="18" customHeight="1">
      <c r="A553" s="86"/>
      <c r="B553" s="86"/>
      <c r="C553" s="22">
        <v>4430</v>
      </c>
      <c r="D553" s="20" t="s">
        <v>750</v>
      </c>
      <c r="E553" s="6"/>
      <c r="F553" s="6"/>
      <c r="G553" s="6">
        <v>4458</v>
      </c>
      <c r="H553" s="6"/>
    </row>
    <row r="554" spans="1:8" s="1" customFormat="1" ht="24" customHeight="1">
      <c r="A554" s="156"/>
      <c r="B554" s="156"/>
      <c r="C554" s="257"/>
      <c r="D554" s="1034" t="s">
        <v>857</v>
      </c>
      <c r="E554" s="1035"/>
      <c r="F554" s="1035">
        <f>F555+F777</f>
        <v>755266788</v>
      </c>
      <c r="G554" s="1035"/>
      <c r="H554" s="1035">
        <f>H961</f>
        <v>26615091</v>
      </c>
    </row>
    <row r="555" spans="1:8" s="1" customFormat="1" ht="21.75" customHeight="1">
      <c r="A555" s="2"/>
      <c r="B555" s="2"/>
      <c r="C555" s="2"/>
      <c r="D555" s="89" t="s">
        <v>614</v>
      </c>
      <c r="E555" s="90"/>
      <c r="F555" s="90">
        <f>F556+F605+F617+F711+F725</f>
        <v>486828475</v>
      </c>
      <c r="G555" s="90"/>
      <c r="H555" s="90"/>
    </row>
    <row r="556" spans="1:8" s="1" customFormat="1" ht="19.5" customHeight="1" thickBot="1">
      <c r="A556" s="91"/>
      <c r="B556" s="91"/>
      <c r="C556" s="91"/>
      <c r="D556" s="84" t="s">
        <v>513</v>
      </c>
      <c r="E556" s="85"/>
      <c r="F556" s="85">
        <f>F561+F573+F592+F598+F557</f>
        <v>251432368</v>
      </c>
      <c r="G556" s="85"/>
      <c r="H556" s="85"/>
    </row>
    <row r="557" spans="1:8" ht="19.5" customHeight="1" thickBot="1" thickTop="1">
      <c r="A557" s="381">
        <v>700</v>
      </c>
      <c r="B557" s="382"/>
      <c r="C557" s="382"/>
      <c r="D557" s="383" t="s">
        <v>433</v>
      </c>
      <c r="E557" s="384"/>
      <c r="F557" s="384">
        <f>F558</f>
        <v>73678</v>
      </c>
      <c r="G557" s="384"/>
      <c r="H557" s="384"/>
    </row>
    <row r="558" spans="1:8" s="1" customFormat="1" ht="18.75" customHeight="1">
      <c r="A558" s="2"/>
      <c r="B558" s="3">
        <v>70005</v>
      </c>
      <c r="C558" s="3"/>
      <c r="D558" s="3" t="s">
        <v>435</v>
      </c>
      <c r="E558" s="4"/>
      <c r="F558" s="4">
        <f>F559</f>
        <v>73678</v>
      </c>
      <c r="G558" s="4"/>
      <c r="H558" s="4"/>
    </row>
    <row r="559" spans="1:8" s="1" customFormat="1" ht="18" customHeight="1">
      <c r="A559" s="86"/>
      <c r="B559" s="86"/>
      <c r="C559" s="30"/>
      <c r="D559" s="74" t="s">
        <v>110</v>
      </c>
      <c r="E559" s="17"/>
      <c r="F559" s="17">
        <f>F560</f>
        <v>73678</v>
      </c>
      <c r="G559" s="17"/>
      <c r="H559" s="17"/>
    </row>
    <row r="560" spans="1:8" s="1" customFormat="1" ht="21" customHeight="1">
      <c r="A560" s="18"/>
      <c r="B560" s="18"/>
      <c r="C560" s="19" t="s">
        <v>1064</v>
      </c>
      <c r="D560" s="20" t="s">
        <v>882</v>
      </c>
      <c r="E560" s="6"/>
      <c r="F560" s="6">
        <v>73678</v>
      </c>
      <c r="G560" s="6"/>
      <c r="H560" s="6"/>
    </row>
    <row r="561" spans="1:8" ht="19.5" customHeight="1" thickBot="1">
      <c r="A561" s="425">
        <v>750</v>
      </c>
      <c r="B561" s="405"/>
      <c r="C561" s="382"/>
      <c r="D561" s="383" t="s">
        <v>439</v>
      </c>
      <c r="E561" s="384"/>
      <c r="F561" s="384">
        <f>F562+F565</f>
        <v>157811</v>
      </c>
      <c r="G561" s="384"/>
      <c r="H561" s="384"/>
    </row>
    <row r="562" spans="1:8" s="1" customFormat="1" ht="18.75" customHeight="1">
      <c r="A562" s="2"/>
      <c r="B562" s="3">
        <v>75011</v>
      </c>
      <c r="C562" s="3"/>
      <c r="D562" s="3" t="s">
        <v>1049</v>
      </c>
      <c r="E562" s="4"/>
      <c r="F562" s="4">
        <f>F563</f>
        <v>82000</v>
      </c>
      <c r="G562" s="4"/>
      <c r="H562" s="4"/>
    </row>
    <row r="563" spans="1:8" s="1" customFormat="1" ht="38.25">
      <c r="A563" s="86"/>
      <c r="B563" s="86"/>
      <c r="C563" s="30"/>
      <c r="D563" s="74" t="s">
        <v>424</v>
      </c>
      <c r="E563" s="17"/>
      <c r="F563" s="17">
        <f>F564</f>
        <v>82000</v>
      </c>
      <c r="G563" s="17"/>
      <c r="H563" s="17"/>
    </row>
    <row r="564" spans="1:8" s="1" customFormat="1" ht="25.5" customHeight="1">
      <c r="A564" s="18"/>
      <c r="B564" s="18"/>
      <c r="C564" s="19">
        <v>2360</v>
      </c>
      <c r="D564" s="20" t="s">
        <v>454</v>
      </c>
      <c r="E564" s="6"/>
      <c r="F564" s="6">
        <v>82000</v>
      </c>
      <c r="G564" s="6"/>
      <c r="H564" s="6"/>
    </row>
    <row r="565" spans="1:8" s="1" customFormat="1" ht="18.75" customHeight="1">
      <c r="A565" s="2"/>
      <c r="B565" s="13">
        <v>75023</v>
      </c>
      <c r="C565" s="13"/>
      <c r="D565" s="13" t="s">
        <v>1061</v>
      </c>
      <c r="E565" s="15"/>
      <c r="F565" s="15">
        <f>F566+F568+F570</f>
        <v>75811</v>
      </c>
      <c r="G565" s="15"/>
      <c r="H565" s="15"/>
    </row>
    <row r="566" spans="1:8" s="1" customFormat="1" ht="18.75" customHeight="1">
      <c r="A566" s="86"/>
      <c r="B566" s="86"/>
      <c r="C566" s="30"/>
      <c r="D566" s="74" t="s">
        <v>1063</v>
      </c>
      <c r="E566" s="17"/>
      <c r="F566" s="17">
        <f>F567</f>
        <v>15000</v>
      </c>
      <c r="G566" s="17"/>
      <c r="H566" s="17"/>
    </row>
    <row r="567" spans="1:8" s="1" customFormat="1" ht="18.75" customHeight="1">
      <c r="A567" s="18"/>
      <c r="B567" s="18"/>
      <c r="C567" s="19" t="s">
        <v>1064</v>
      </c>
      <c r="D567" s="20" t="s">
        <v>882</v>
      </c>
      <c r="E567" s="6"/>
      <c r="F567" s="6">
        <v>15000</v>
      </c>
      <c r="G567" s="6"/>
      <c r="H567" s="6"/>
    </row>
    <row r="568" spans="1:8" s="1" customFormat="1" ht="39" customHeight="1">
      <c r="A568" s="86"/>
      <c r="B568" s="86"/>
      <c r="C568" s="30"/>
      <c r="D568" s="12" t="s">
        <v>881</v>
      </c>
      <c r="E568" s="17"/>
      <c r="F568" s="17">
        <f>F569</f>
        <v>11200</v>
      </c>
      <c r="G568" s="17"/>
      <c r="H568" s="17"/>
    </row>
    <row r="569" spans="1:8" s="1" customFormat="1" ht="18.75" customHeight="1">
      <c r="A569" s="18"/>
      <c r="B569" s="18"/>
      <c r="C569" s="19" t="s">
        <v>1064</v>
      </c>
      <c r="D569" s="22" t="s">
        <v>882</v>
      </c>
      <c r="E569" s="6"/>
      <c r="F569" s="6">
        <v>11200</v>
      </c>
      <c r="G569" s="6"/>
      <c r="H569" s="6"/>
    </row>
    <row r="570" spans="1:8" s="1" customFormat="1" ht="21" customHeight="1">
      <c r="A570" s="86"/>
      <c r="B570" s="86"/>
      <c r="C570" s="30"/>
      <c r="D570" s="12" t="s">
        <v>626</v>
      </c>
      <c r="E570" s="17"/>
      <c r="F570" s="17">
        <f>F571</f>
        <v>49611</v>
      </c>
      <c r="G570" s="17"/>
      <c r="H570" s="17"/>
    </row>
    <row r="571" spans="1:8" s="1" customFormat="1" ht="18.75" customHeight="1">
      <c r="A571" s="22"/>
      <c r="B571" s="22"/>
      <c r="C571" s="19">
        <v>2440</v>
      </c>
      <c r="D571" s="22" t="s">
        <v>112</v>
      </c>
      <c r="E571" s="6"/>
      <c r="F571" s="6">
        <v>49611</v>
      </c>
      <c r="G571" s="6"/>
      <c r="H571" s="6"/>
    </row>
    <row r="572" ht="21" customHeight="1"/>
    <row r="573" spans="1:8" ht="31.5" customHeight="1" thickBot="1">
      <c r="A573" s="381">
        <v>756</v>
      </c>
      <c r="B573" s="382"/>
      <c r="C573" s="382"/>
      <c r="D573" s="383" t="s">
        <v>380</v>
      </c>
      <c r="E573" s="384"/>
      <c r="F573" s="384">
        <f>F574+F579+F582+F587</f>
        <v>250114182</v>
      </c>
      <c r="G573" s="384"/>
      <c r="H573" s="384"/>
    </row>
    <row r="574" spans="1:8" s="1" customFormat="1" ht="21.75" customHeight="1">
      <c r="A574" s="2"/>
      <c r="B574" s="3">
        <v>75601</v>
      </c>
      <c r="C574" s="3"/>
      <c r="D574" s="67" t="s">
        <v>883</v>
      </c>
      <c r="E574" s="4"/>
      <c r="F574" s="4">
        <f>F575+F577</f>
        <v>1460000</v>
      </c>
      <c r="G574" s="4"/>
      <c r="H574" s="4"/>
    </row>
    <row r="575" spans="1:8" s="1" customFormat="1" ht="25.5">
      <c r="A575" s="2"/>
      <c r="B575" s="5"/>
      <c r="C575" s="5"/>
      <c r="D575" s="16" t="s">
        <v>1006</v>
      </c>
      <c r="E575" s="17"/>
      <c r="F575" s="17">
        <f>F576</f>
        <v>1400000</v>
      </c>
      <c r="G575" s="17"/>
      <c r="H575" s="17"/>
    </row>
    <row r="576" spans="1:8" s="1" customFormat="1" ht="25.5">
      <c r="A576" s="18"/>
      <c r="B576" s="18"/>
      <c r="C576" s="19" t="s">
        <v>1065</v>
      </c>
      <c r="D576" s="20" t="s">
        <v>233</v>
      </c>
      <c r="E576" s="6"/>
      <c r="F576" s="6">
        <v>1400000</v>
      </c>
      <c r="G576" s="6"/>
      <c r="H576" s="6"/>
    </row>
    <row r="577" spans="1:8" s="1" customFormat="1" ht="18.75" customHeight="1">
      <c r="A577" s="18"/>
      <c r="B577" s="18"/>
      <c r="C577" s="21"/>
      <c r="D577" s="16" t="s">
        <v>234</v>
      </c>
      <c r="E577" s="17"/>
      <c r="F577" s="17">
        <f>F578</f>
        <v>60000</v>
      </c>
      <c r="G577" s="17"/>
      <c r="H577" s="17"/>
    </row>
    <row r="578" spans="1:8" s="1" customFormat="1" ht="18.75" customHeight="1">
      <c r="A578" s="18"/>
      <c r="B578" s="22"/>
      <c r="C578" s="19" t="s">
        <v>1066</v>
      </c>
      <c r="D578" s="20" t="s">
        <v>235</v>
      </c>
      <c r="E578" s="6"/>
      <c r="F578" s="6">
        <v>60000</v>
      </c>
      <c r="G578" s="6"/>
      <c r="H578" s="6"/>
    </row>
    <row r="579" spans="1:8" s="1" customFormat="1" ht="38.25">
      <c r="A579" s="2"/>
      <c r="B579" s="13">
        <v>75615</v>
      </c>
      <c r="C579" s="13"/>
      <c r="D579" s="14" t="s">
        <v>1102</v>
      </c>
      <c r="E579" s="15"/>
      <c r="F579" s="15">
        <f>F580</f>
        <v>3400000</v>
      </c>
      <c r="G579" s="15"/>
      <c r="H579" s="15"/>
    </row>
    <row r="580" spans="1:8" s="1" customFormat="1" ht="19.5" customHeight="1">
      <c r="A580" s="18"/>
      <c r="B580" s="18"/>
      <c r="C580" s="92"/>
      <c r="D580" s="93" t="s">
        <v>38</v>
      </c>
      <c r="E580" s="66"/>
      <c r="F580" s="66">
        <f>F581</f>
        <v>3400000</v>
      </c>
      <c r="G580" s="66"/>
      <c r="H580" s="66"/>
    </row>
    <row r="581" spans="1:8" s="1" customFormat="1" ht="19.5" customHeight="1">
      <c r="A581" s="18"/>
      <c r="B581" s="18"/>
      <c r="C581" s="19" t="s">
        <v>1076</v>
      </c>
      <c r="D581" s="20" t="s">
        <v>39</v>
      </c>
      <c r="E581" s="6"/>
      <c r="F581" s="6">
        <v>3400000</v>
      </c>
      <c r="G581" s="6"/>
      <c r="H581" s="6"/>
    </row>
    <row r="582" spans="1:8" s="1" customFormat="1" ht="38.25">
      <c r="A582" s="2"/>
      <c r="B582" s="13">
        <v>75616</v>
      </c>
      <c r="C582" s="13"/>
      <c r="D582" s="14" t="s">
        <v>501</v>
      </c>
      <c r="E582" s="15"/>
      <c r="F582" s="15">
        <f>F583+F585</f>
        <v>15500000</v>
      </c>
      <c r="G582" s="15"/>
      <c r="H582" s="15"/>
    </row>
    <row r="583" spans="1:8" s="1" customFormat="1" ht="18.75" customHeight="1">
      <c r="A583" s="18"/>
      <c r="B583" s="18"/>
      <c r="C583" s="21"/>
      <c r="D583" s="95" t="s">
        <v>41</v>
      </c>
      <c r="E583" s="96"/>
      <c r="F583" s="96">
        <f>F584</f>
        <v>2500000</v>
      </c>
      <c r="G583" s="96"/>
      <c r="H583" s="96"/>
    </row>
    <row r="584" spans="1:8" s="1" customFormat="1" ht="18.75" customHeight="1">
      <c r="A584" s="18"/>
      <c r="B584" s="18"/>
      <c r="C584" s="19" t="s">
        <v>1074</v>
      </c>
      <c r="D584" s="26" t="s">
        <v>598</v>
      </c>
      <c r="E584" s="97"/>
      <c r="F584" s="97">
        <v>2500000</v>
      </c>
      <c r="G584" s="97"/>
      <c r="H584" s="97"/>
    </row>
    <row r="585" spans="1:8" s="1" customFormat="1" ht="18.75" customHeight="1">
      <c r="A585" s="18"/>
      <c r="B585" s="18"/>
      <c r="C585" s="92"/>
      <c r="D585" s="93" t="s">
        <v>38</v>
      </c>
      <c r="E585" s="66"/>
      <c r="F585" s="66">
        <f>F586</f>
        <v>13000000</v>
      </c>
      <c r="G585" s="66"/>
      <c r="H585" s="66"/>
    </row>
    <row r="586" spans="1:8" s="1" customFormat="1" ht="18.75" customHeight="1">
      <c r="A586" s="18"/>
      <c r="B586" s="18"/>
      <c r="C586" s="19" t="s">
        <v>1076</v>
      </c>
      <c r="D586" s="20" t="s">
        <v>39</v>
      </c>
      <c r="E586" s="6"/>
      <c r="F586" s="6">
        <v>13000000</v>
      </c>
      <c r="G586" s="6"/>
      <c r="H586" s="6"/>
    </row>
    <row r="587" spans="1:8" s="1" customFormat="1" ht="18" customHeight="1">
      <c r="A587" s="2"/>
      <c r="B587" s="104">
        <v>75621</v>
      </c>
      <c r="C587" s="362"/>
      <c r="D587" s="363" t="s">
        <v>878</v>
      </c>
      <c r="E587" s="15"/>
      <c r="F587" s="15">
        <f>F588+F590</f>
        <v>229754182</v>
      </c>
      <c r="G587" s="15"/>
      <c r="H587" s="15"/>
    </row>
    <row r="588" spans="1:8" s="1" customFormat="1" ht="18" customHeight="1">
      <c r="A588" s="2"/>
      <c r="B588" s="36"/>
      <c r="C588" s="100"/>
      <c r="D588" s="101" t="s">
        <v>879</v>
      </c>
      <c r="E588" s="44"/>
      <c r="F588" s="44">
        <f>F589</f>
        <v>209754182</v>
      </c>
      <c r="G588" s="44"/>
      <c r="H588" s="44"/>
    </row>
    <row r="589" spans="1:8" s="1" customFormat="1" ht="18" customHeight="1">
      <c r="A589" s="18"/>
      <c r="B589" s="18"/>
      <c r="C589" s="68" t="s">
        <v>1078</v>
      </c>
      <c r="D589" s="69" t="s">
        <v>381</v>
      </c>
      <c r="E589" s="98"/>
      <c r="F589" s="98">
        <v>209754182</v>
      </c>
      <c r="G589" s="98"/>
      <c r="H589" s="98"/>
    </row>
    <row r="590" spans="1:8" s="1" customFormat="1" ht="18" customHeight="1">
      <c r="A590" s="18"/>
      <c r="B590" s="18"/>
      <c r="C590" s="21"/>
      <c r="D590" s="101" t="s">
        <v>382</v>
      </c>
      <c r="E590" s="96"/>
      <c r="F590" s="96">
        <f>F591</f>
        <v>20000000</v>
      </c>
      <c r="G590" s="96"/>
      <c r="H590" s="96"/>
    </row>
    <row r="591" spans="1:8" s="1" customFormat="1" ht="18" customHeight="1">
      <c r="A591" s="22"/>
      <c r="B591" s="22"/>
      <c r="C591" s="68" t="s">
        <v>1079</v>
      </c>
      <c r="D591" s="69" t="s">
        <v>383</v>
      </c>
      <c r="E591" s="97"/>
      <c r="F591" s="97">
        <v>20000000</v>
      </c>
      <c r="G591" s="97"/>
      <c r="H591" s="97"/>
    </row>
    <row r="592" spans="1:8" ht="20.25" customHeight="1" thickBot="1">
      <c r="A592" s="381">
        <v>758</v>
      </c>
      <c r="B592" s="382"/>
      <c r="C592" s="382"/>
      <c r="D592" s="383" t="s">
        <v>446</v>
      </c>
      <c r="E592" s="384"/>
      <c r="F592" s="384">
        <f>F593</f>
        <v>1079997</v>
      </c>
      <c r="G592" s="384"/>
      <c r="H592" s="384"/>
    </row>
    <row r="593" spans="1:8" s="1" customFormat="1" ht="20.25" customHeight="1">
      <c r="A593" s="2"/>
      <c r="B593" s="3">
        <v>75814</v>
      </c>
      <c r="C593" s="105"/>
      <c r="D593" s="37" t="s">
        <v>384</v>
      </c>
      <c r="E593" s="34"/>
      <c r="F593" s="34">
        <f>F594+F596</f>
        <v>1079997</v>
      </c>
      <c r="G593" s="34"/>
      <c r="H593" s="34"/>
    </row>
    <row r="594" spans="1:8" s="1" customFormat="1" ht="19.5" customHeight="1">
      <c r="A594" s="86"/>
      <c r="B594" s="28"/>
      <c r="C594" s="106"/>
      <c r="D594" s="87" t="s">
        <v>281</v>
      </c>
      <c r="E594" s="66"/>
      <c r="F594" s="66">
        <f>F595</f>
        <v>1000000</v>
      </c>
      <c r="G594" s="66"/>
      <c r="H594" s="66"/>
    </row>
    <row r="595" spans="1:8" s="1" customFormat="1" ht="19.5" customHeight="1">
      <c r="A595" s="86"/>
      <c r="B595" s="30"/>
      <c r="C595" s="68" t="s">
        <v>1080</v>
      </c>
      <c r="D595" s="69" t="s">
        <v>282</v>
      </c>
      <c r="E595" s="98"/>
      <c r="F595" s="98">
        <v>1000000</v>
      </c>
      <c r="G595" s="98"/>
      <c r="H595" s="98"/>
    </row>
    <row r="596" spans="1:8" ht="18.75" customHeight="1">
      <c r="A596" s="938"/>
      <c r="B596" s="917"/>
      <c r="C596" s="945"/>
      <c r="D596" s="904" t="s">
        <v>787</v>
      </c>
      <c r="E596" s="939"/>
      <c r="F596" s="939">
        <f>F597</f>
        <v>79997</v>
      </c>
      <c r="G596" s="939"/>
      <c r="H596" s="939"/>
    </row>
    <row r="597" spans="1:8" ht="18.75" customHeight="1">
      <c r="A597" s="908"/>
      <c r="B597" s="946"/>
      <c r="C597" s="940" t="s">
        <v>1064</v>
      </c>
      <c r="D597" s="941" t="s">
        <v>882</v>
      </c>
      <c r="E597" s="942"/>
      <c r="F597" s="942">
        <v>79997</v>
      </c>
      <c r="G597" s="942"/>
      <c r="H597" s="943"/>
    </row>
    <row r="598" spans="1:8" ht="19.5" customHeight="1" thickBot="1">
      <c r="A598" s="381">
        <v>852</v>
      </c>
      <c r="B598" s="382"/>
      <c r="C598" s="382"/>
      <c r="D598" s="383" t="s">
        <v>129</v>
      </c>
      <c r="E598" s="384"/>
      <c r="F598" s="384">
        <f>F599+F602</f>
        <v>6700</v>
      </c>
      <c r="G598" s="384"/>
      <c r="H598" s="384"/>
    </row>
    <row r="599" spans="1:8" s="1" customFormat="1" ht="19.5" customHeight="1">
      <c r="A599" s="109"/>
      <c r="B599" s="110">
        <v>85203</v>
      </c>
      <c r="C599" s="110"/>
      <c r="D599" s="111" t="s">
        <v>126</v>
      </c>
      <c r="E599" s="112"/>
      <c r="F599" s="112">
        <f>F600</f>
        <v>1500</v>
      </c>
      <c r="G599" s="112"/>
      <c r="H599" s="112"/>
    </row>
    <row r="600" spans="1:8" s="1" customFormat="1" ht="25.5" customHeight="1">
      <c r="A600" s="109"/>
      <c r="B600" s="109"/>
      <c r="C600" s="109"/>
      <c r="D600" s="113" t="s">
        <v>275</v>
      </c>
      <c r="E600" s="114"/>
      <c r="F600" s="114">
        <f>F601</f>
        <v>1500</v>
      </c>
      <c r="G600" s="114"/>
      <c r="H600" s="114"/>
    </row>
    <row r="601" spans="1:8" s="1" customFormat="1" ht="25.5" customHeight="1">
      <c r="A601" s="109"/>
      <c r="B601" s="109"/>
      <c r="C601" s="19">
        <v>2360</v>
      </c>
      <c r="D601" s="20" t="s">
        <v>454</v>
      </c>
      <c r="E601" s="115"/>
      <c r="F601" s="115">
        <v>1500</v>
      </c>
      <c r="G601" s="115"/>
      <c r="H601" s="115"/>
    </row>
    <row r="602" spans="1:8" s="1" customFormat="1" ht="19.5" customHeight="1">
      <c r="A602" s="109"/>
      <c r="B602" s="116">
        <v>85228</v>
      </c>
      <c r="C602" s="116"/>
      <c r="D602" s="117" t="s">
        <v>616</v>
      </c>
      <c r="E602" s="118"/>
      <c r="F602" s="118">
        <f>F603</f>
        <v>5200</v>
      </c>
      <c r="G602" s="118"/>
      <c r="H602" s="118"/>
    </row>
    <row r="603" spans="1:8" s="1" customFormat="1" ht="19.5" customHeight="1">
      <c r="A603" s="109"/>
      <c r="B603" s="109"/>
      <c r="C603" s="109"/>
      <c r="D603" s="119" t="s">
        <v>276</v>
      </c>
      <c r="E603" s="120"/>
      <c r="F603" s="120">
        <f>F604</f>
        <v>5200</v>
      </c>
      <c r="G603" s="120"/>
      <c r="H603" s="120"/>
    </row>
    <row r="604" spans="1:8" s="1" customFormat="1" ht="25.5" customHeight="1">
      <c r="A604" s="109"/>
      <c r="B604" s="109"/>
      <c r="C604" s="19">
        <v>2360</v>
      </c>
      <c r="D604" s="20" t="s">
        <v>454</v>
      </c>
      <c r="E604" s="121"/>
      <c r="F604" s="121">
        <v>5200</v>
      </c>
      <c r="G604" s="115"/>
      <c r="H604" s="115"/>
    </row>
    <row r="605" spans="1:8" s="8" customFormat="1" ht="21.75" customHeight="1" thickBot="1">
      <c r="A605" s="45"/>
      <c r="B605" s="45"/>
      <c r="C605" s="123"/>
      <c r="D605" s="124" t="s">
        <v>565</v>
      </c>
      <c r="E605" s="125"/>
      <c r="F605" s="125">
        <f>F606+F610</f>
        <v>115171669</v>
      </c>
      <c r="G605" s="125"/>
      <c r="H605" s="125"/>
    </row>
    <row r="606" spans="1:8" ht="27" thickBot="1" thickTop="1">
      <c r="A606" s="381">
        <v>756</v>
      </c>
      <c r="B606" s="382"/>
      <c r="C606" s="382"/>
      <c r="D606" s="383" t="s">
        <v>380</v>
      </c>
      <c r="E606" s="384"/>
      <c r="F606" s="384">
        <f>F607</f>
        <v>1100000</v>
      </c>
      <c r="G606" s="384"/>
      <c r="H606" s="384"/>
    </row>
    <row r="607" spans="1:8" s="1" customFormat="1" ht="38.25">
      <c r="A607" s="2"/>
      <c r="B607" s="3">
        <v>75615</v>
      </c>
      <c r="C607" s="35"/>
      <c r="D607" s="67" t="s">
        <v>1102</v>
      </c>
      <c r="E607" s="43"/>
      <c r="F607" s="43">
        <f>F608</f>
        <v>1100000</v>
      </c>
      <c r="G607" s="43"/>
      <c r="H607" s="43"/>
    </row>
    <row r="608" spans="1:8" s="1" customFormat="1" ht="18" customHeight="1">
      <c r="A608" s="86"/>
      <c r="B608" s="122"/>
      <c r="C608" s="122"/>
      <c r="D608" s="95" t="s">
        <v>1103</v>
      </c>
      <c r="E608" s="44"/>
      <c r="F608" s="44">
        <f>F609</f>
        <v>1100000</v>
      </c>
      <c r="G608" s="44"/>
      <c r="H608" s="44"/>
    </row>
    <row r="609" spans="1:8" s="1" customFormat="1" ht="18" customHeight="1">
      <c r="A609" s="22"/>
      <c r="B609" s="22"/>
      <c r="C609" s="22">
        <v>2680</v>
      </c>
      <c r="D609" s="27" t="s">
        <v>656</v>
      </c>
      <c r="E609" s="98"/>
      <c r="F609" s="98">
        <v>1100000</v>
      </c>
      <c r="G609" s="98"/>
      <c r="H609" s="98"/>
    </row>
    <row r="610" spans="1:8" ht="18" customHeight="1" thickBot="1">
      <c r="A610" s="381">
        <v>758</v>
      </c>
      <c r="B610" s="382"/>
      <c r="C610" s="382"/>
      <c r="D610" s="383" t="s">
        <v>456</v>
      </c>
      <c r="E610" s="384"/>
      <c r="F610" s="384">
        <f>F611+F614</f>
        <v>114071669</v>
      </c>
      <c r="G610" s="384"/>
      <c r="H610" s="384"/>
    </row>
    <row r="611" spans="1:8" s="1" customFormat="1" ht="18" customHeight="1">
      <c r="A611" s="2"/>
      <c r="B611" s="3">
        <v>75801</v>
      </c>
      <c r="C611" s="35"/>
      <c r="D611" s="23" t="s">
        <v>662</v>
      </c>
      <c r="E611" s="43"/>
      <c r="F611" s="43">
        <f>F612</f>
        <v>109206347</v>
      </c>
      <c r="G611" s="43"/>
      <c r="H611" s="43"/>
    </row>
    <row r="612" spans="1:8" s="1" customFormat="1" ht="18" customHeight="1">
      <c r="A612" s="86"/>
      <c r="B612" s="122"/>
      <c r="C612" s="122"/>
      <c r="D612" s="95" t="s">
        <v>663</v>
      </c>
      <c r="E612" s="44"/>
      <c r="F612" s="44">
        <f>F613</f>
        <v>109206347</v>
      </c>
      <c r="G612" s="44"/>
      <c r="H612" s="44"/>
    </row>
    <row r="613" spans="1:8" s="1" customFormat="1" ht="18" customHeight="1">
      <c r="A613" s="18"/>
      <c r="B613" s="18"/>
      <c r="C613" s="18">
        <v>2920</v>
      </c>
      <c r="D613" s="352" t="s">
        <v>664</v>
      </c>
      <c r="E613" s="127"/>
      <c r="F613" s="127">
        <v>109206347</v>
      </c>
      <c r="G613" s="127"/>
      <c r="H613" s="127"/>
    </row>
    <row r="614" spans="1:8" s="1" customFormat="1" ht="18" customHeight="1">
      <c r="A614" s="2"/>
      <c r="B614" s="13">
        <v>75831</v>
      </c>
      <c r="C614" s="365"/>
      <c r="D614" s="60" t="s">
        <v>1104</v>
      </c>
      <c r="E614" s="49"/>
      <c r="F614" s="49">
        <f>F615</f>
        <v>4865322</v>
      </c>
      <c r="G614" s="49"/>
      <c r="H614" s="49"/>
    </row>
    <row r="615" spans="1:8" s="1" customFormat="1" ht="18" customHeight="1">
      <c r="A615" s="86"/>
      <c r="B615" s="122"/>
      <c r="C615" s="122"/>
      <c r="D615" s="95" t="s">
        <v>1105</v>
      </c>
      <c r="E615" s="44"/>
      <c r="F615" s="44">
        <f>F616</f>
        <v>4865322</v>
      </c>
      <c r="G615" s="44"/>
      <c r="H615" s="44"/>
    </row>
    <row r="616" spans="1:8" s="1" customFormat="1" ht="18" customHeight="1">
      <c r="A616" s="18"/>
      <c r="B616" s="18"/>
      <c r="C616" s="22">
        <v>2920</v>
      </c>
      <c r="D616" s="26" t="s">
        <v>664</v>
      </c>
      <c r="E616" s="98"/>
      <c r="F616" s="98">
        <f>5022142-156820</f>
        <v>4865322</v>
      </c>
      <c r="G616" s="98"/>
      <c r="H616" s="98"/>
    </row>
    <row r="617" spans="1:8" s="8" customFormat="1" ht="18" customHeight="1" thickBot="1">
      <c r="A617" s="45"/>
      <c r="B617" s="45"/>
      <c r="C617" s="123"/>
      <c r="D617" s="124" t="s">
        <v>403</v>
      </c>
      <c r="E617" s="125"/>
      <c r="F617" s="125">
        <f>F618+F623+F627+F633+F647+F666+F693+F697+F704+F689</f>
        <v>31609737</v>
      </c>
      <c r="G617" s="125"/>
      <c r="H617" s="125"/>
    </row>
    <row r="618" spans="1:8" ht="18" customHeight="1" thickBot="1" thickTop="1">
      <c r="A618" s="381">
        <v>600</v>
      </c>
      <c r="B618" s="382"/>
      <c r="C618" s="382"/>
      <c r="D618" s="383" t="s">
        <v>525</v>
      </c>
      <c r="E618" s="384"/>
      <c r="F618" s="384">
        <f>F619</f>
        <v>4444207</v>
      </c>
      <c r="G618" s="384"/>
      <c r="H618" s="384"/>
    </row>
    <row r="619" spans="1:8" s="1" customFormat="1" ht="18" customHeight="1">
      <c r="A619" s="2"/>
      <c r="B619" s="25">
        <v>60004</v>
      </c>
      <c r="C619" s="3"/>
      <c r="D619" s="67" t="s">
        <v>647</v>
      </c>
      <c r="E619" s="43"/>
      <c r="F619" s="43">
        <f>F620</f>
        <v>4444207</v>
      </c>
      <c r="G619" s="43"/>
      <c r="H619" s="43"/>
    </row>
    <row r="620" spans="1:8" s="1" customFormat="1" ht="25.5" customHeight="1">
      <c r="A620" s="2"/>
      <c r="B620" s="2"/>
      <c r="C620" s="40"/>
      <c r="D620" s="16" t="s">
        <v>705</v>
      </c>
      <c r="E620" s="44"/>
      <c r="F620" s="44">
        <f>F621</f>
        <v>4444207</v>
      </c>
      <c r="G620" s="44"/>
      <c r="H620" s="44"/>
    </row>
    <row r="621" spans="1:8" s="1" customFormat="1" ht="25.5" customHeight="1">
      <c r="A621" s="3"/>
      <c r="B621" s="3"/>
      <c r="C621" s="26">
        <v>6298</v>
      </c>
      <c r="D621" s="27" t="s">
        <v>931</v>
      </c>
      <c r="E621" s="98"/>
      <c r="F621" s="98">
        <v>4444207</v>
      </c>
      <c r="G621" s="98"/>
      <c r="H621" s="98"/>
    </row>
    <row r="622" ht="32.25" customHeight="1"/>
    <row r="623" spans="1:8" ht="19.5" customHeight="1" thickBot="1">
      <c r="A623" s="381">
        <v>630</v>
      </c>
      <c r="B623" s="382"/>
      <c r="C623" s="382"/>
      <c r="D623" s="383" t="s">
        <v>430</v>
      </c>
      <c r="E623" s="384"/>
      <c r="F623" s="384">
        <f>F624</f>
        <v>439057</v>
      </c>
      <c r="G623" s="384"/>
      <c r="H623" s="384"/>
    </row>
    <row r="624" spans="1:8" s="1" customFormat="1" ht="18.75" customHeight="1">
      <c r="A624" s="2"/>
      <c r="B624" s="25">
        <v>63003</v>
      </c>
      <c r="C624" s="3"/>
      <c r="D624" s="67" t="s">
        <v>432</v>
      </c>
      <c r="E624" s="43"/>
      <c r="F624" s="43">
        <f>F625</f>
        <v>439057</v>
      </c>
      <c r="G624" s="43"/>
      <c r="H624" s="43"/>
    </row>
    <row r="625" spans="1:8" s="1" customFormat="1" ht="25.5" customHeight="1">
      <c r="A625" s="2"/>
      <c r="B625" s="2"/>
      <c r="C625" s="28"/>
      <c r="D625" s="29" t="s">
        <v>880</v>
      </c>
      <c r="E625" s="44"/>
      <c r="F625" s="44">
        <f>F626</f>
        <v>439057</v>
      </c>
      <c r="G625" s="44"/>
      <c r="H625" s="44"/>
    </row>
    <row r="626" spans="1:8" s="1" customFormat="1" ht="27" customHeight="1">
      <c r="A626" s="3"/>
      <c r="B626" s="3"/>
      <c r="C626" s="26">
        <v>2708</v>
      </c>
      <c r="D626" s="27" t="s">
        <v>741</v>
      </c>
      <c r="E626" s="98"/>
      <c r="F626" s="98">
        <v>439057</v>
      </c>
      <c r="G626" s="98"/>
      <c r="H626" s="98"/>
    </row>
    <row r="627" spans="1:8" ht="19.5" customHeight="1" thickBot="1">
      <c r="A627" s="381">
        <v>750</v>
      </c>
      <c r="B627" s="382"/>
      <c r="C627" s="382"/>
      <c r="D627" s="383" t="s">
        <v>439</v>
      </c>
      <c r="E627" s="384"/>
      <c r="F627" s="384">
        <f>F628</f>
        <v>2162613</v>
      </c>
      <c r="G627" s="384"/>
      <c r="H627" s="384"/>
    </row>
    <row r="628" spans="1:8" s="1" customFormat="1" ht="18.75" customHeight="1">
      <c r="A628" s="2"/>
      <c r="B628" s="25">
        <v>75023</v>
      </c>
      <c r="C628" s="3"/>
      <c r="D628" s="67" t="s">
        <v>1061</v>
      </c>
      <c r="E628" s="43"/>
      <c r="F628" s="43">
        <f>F629+F631</f>
        <v>2162613</v>
      </c>
      <c r="G628" s="43"/>
      <c r="H628" s="43"/>
    </row>
    <row r="629" spans="1:8" s="1" customFormat="1" ht="38.25">
      <c r="A629" s="2"/>
      <c r="B629" s="2"/>
      <c r="C629" s="28"/>
      <c r="D629" s="29" t="s">
        <v>627</v>
      </c>
      <c r="E629" s="44"/>
      <c r="F629" s="44">
        <f>F630</f>
        <v>1799128</v>
      </c>
      <c r="G629" s="44"/>
      <c r="H629" s="44"/>
    </row>
    <row r="630" spans="1:8" s="1" customFormat="1" ht="25.5" customHeight="1">
      <c r="A630" s="2"/>
      <c r="B630" s="2"/>
      <c r="C630" s="26">
        <v>6298</v>
      </c>
      <c r="D630" s="27" t="s">
        <v>931</v>
      </c>
      <c r="E630" s="98"/>
      <c r="F630" s="98">
        <v>1799128</v>
      </c>
      <c r="G630" s="98"/>
      <c r="H630" s="98"/>
    </row>
    <row r="631" spans="1:8" s="1" customFormat="1" ht="38.25">
      <c r="A631" s="2"/>
      <c r="B631" s="2"/>
      <c r="C631" s="28"/>
      <c r="D631" s="29" t="s">
        <v>737</v>
      </c>
      <c r="E631" s="126"/>
      <c r="F631" s="126">
        <f>F632</f>
        <v>363485</v>
      </c>
      <c r="G631" s="126"/>
      <c r="H631" s="126"/>
    </row>
    <row r="632" spans="1:8" s="1" customFormat="1" ht="25.5" customHeight="1">
      <c r="A632" s="3"/>
      <c r="B632" s="3"/>
      <c r="C632" s="26">
        <v>6298</v>
      </c>
      <c r="D632" s="27" t="s">
        <v>931</v>
      </c>
      <c r="E632" s="98"/>
      <c r="F632" s="98">
        <v>363485</v>
      </c>
      <c r="G632" s="98"/>
      <c r="H632" s="98"/>
    </row>
    <row r="633" spans="1:8" ht="19.5" customHeight="1" thickBot="1">
      <c r="A633" s="381">
        <v>758</v>
      </c>
      <c r="B633" s="382"/>
      <c r="C633" s="382"/>
      <c r="D633" s="383" t="s">
        <v>456</v>
      </c>
      <c r="E633" s="384"/>
      <c r="F633" s="384">
        <f>F634</f>
        <v>487631</v>
      </c>
      <c r="G633" s="384"/>
      <c r="H633" s="384"/>
    </row>
    <row r="634" spans="1:8" s="1" customFormat="1" ht="18.75" customHeight="1">
      <c r="A634" s="2"/>
      <c r="B634" s="25">
        <v>75860</v>
      </c>
      <c r="C634" s="3"/>
      <c r="D634" s="67" t="s">
        <v>309</v>
      </c>
      <c r="E634" s="43"/>
      <c r="F634" s="43">
        <f>F635+F638+F641+F644</f>
        <v>487631</v>
      </c>
      <c r="G634" s="43"/>
      <c r="H634" s="43"/>
    </row>
    <row r="635" spans="1:8" s="1" customFormat="1" ht="33.75" customHeight="1">
      <c r="A635" s="2"/>
      <c r="B635" s="2"/>
      <c r="C635" s="28"/>
      <c r="D635" s="29" t="s">
        <v>738</v>
      </c>
      <c r="E635" s="44"/>
      <c r="F635" s="44">
        <f>SUM(F636:F637)</f>
        <v>114653</v>
      </c>
      <c r="G635" s="44"/>
      <c r="H635" s="44"/>
    </row>
    <row r="636" spans="1:8" s="1" customFormat="1" ht="25.5" customHeight="1">
      <c r="A636" s="2"/>
      <c r="B636" s="2"/>
      <c r="C636" s="26">
        <v>2708</v>
      </c>
      <c r="D636" s="27" t="s">
        <v>741</v>
      </c>
      <c r="E636" s="98"/>
      <c r="F636" s="98">
        <v>101163</v>
      </c>
      <c r="G636" s="98"/>
      <c r="H636" s="98"/>
    </row>
    <row r="637" spans="1:8" s="1" customFormat="1" ht="25.5" customHeight="1">
      <c r="A637" s="2"/>
      <c r="B637" s="2"/>
      <c r="C637" s="31">
        <v>2709</v>
      </c>
      <c r="D637" s="27" t="s">
        <v>741</v>
      </c>
      <c r="E637" s="262"/>
      <c r="F637" s="262">
        <v>13490</v>
      </c>
      <c r="G637" s="262"/>
      <c r="H637" s="262"/>
    </row>
    <row r="638" spans="1:8" s="1" customFormat="1" ht="38.25">
      <c r="A638" s="2"/>
      <c r="B638" s="2"/>
      <c r="C638" s="128"/>
      <c r="D638" s="29" t="s">
        <v>970</v>
      </c>
      <c r="E638" s="126"/>
      <c r="F638" s="126">
        <f>SUM(F639:F640)</f>
        <v>120770</v>
      </c>
      <c r="G638" s="126"/>
      <c r="H638" s="126"/>
    </row>
    <row r="639" spans="1:8" s="1" customFormat="1" ht="25.5" customHeight="1">
      <c r="A639" s="2"/>
      <c r="B639" s="2"/>
      <c r="C639" s="26">
        <v>2708</v>
      </c>
      <c r="D639" s="27" t="s">
        <v>741</v>
      </c>
      <c r="E639" s="98"/>
      <c r="F639" s="98">
        <v>106562</v>
      </c>
      <c r="G639" s="98"/>
      <c r="H639" s="98"/>
    </row>
    <row r="640" spans="1:8" s="1" customFormat="1" ht="25.5" customHeight="1">
      <c r="A640" s="2"/>
      <c r="B640" s="2"/>
      <c r="C640" s="31">
        <v>2709</v>
      </c>
      <c r="D640" s="27" t="s">
        <v>741</v>
      </c>
      <c r="E640" s="98"/>
      <c r="F640" s="98">
        <v>14208</v>
      </c>
      <c r="G640" s="98"/>
      <c r="H640" s="98"/>
    </row>
    <row r="641" spans="1:8" s="1" customFormat="1" ht="38.25">
      <c r="A641" s="2"/>
      <c r="B641" s="2"/>
      <c r="C641" s="128"/>
      <c r="D641" s="29" t="s">
        <v>495</v>
      </c>
      <c r="E641" s="126"/>
      <c r="F641" s="126">
        <f>SUM(F642:F643)</f>
        <v>129787</v>
      </c>
      <c r="G641" s="126"/>
      <c r="H641" s="126"/>
    </row>
    <row r="642" spans="1:8" s="1" customFormat="1" ht="25.5" customHeight="1">
      <c r="A642" s="2"/>
      <c r="B642" s="2"/>
      <c r="C642" s="26">
        <v>2708</v>
      </c>
      <c r="D642" s="27" t="s">
        <v>741</v>
      </c>
      <c r="E642" s="98"/>
      <c r="F642" s="98">
        <v>114518</v>
      </c>
      <c r="G642" s="98"/>
      <c r="H642" s="98"/>
    </row>
    <row r="643" spans="1:8" s="1" customFormat="1" ht="25.5" customHeight="1">
      <c r="A643" s="3"/>
      <c r="B643" s="3"/>
      <c r="C643" s="31">
        <v>2709</v>
      </c>
      <c r="D643" s="27" t="s">
        <v>741</v>
      </c>
      <c r="E643" s="98"/>
      <c r="F643" s="98">
        <v>15269</v>
      </c>
      <c r="G643" s="98"/>
      <c r="H643" s="98"/>
    </row>
    <row r="644" spans="1:8" s="1" customFormat="1" ht="37.5" customHeight="1">
      <c r="A644" s="2"/>
      <c r="B644" s="2"/>
      <c r="C644" s="18"/>
      <c r="D644" s="134" t="s">
        <v>349</v>
      </c>
      <c r="E644" s="103"/>
      <c r="F644" s="103">
        <f>SUM(F645:F646)</f>
        <v>122421</v>
      </c>
      <c r="G644" s="103"/>
      <c r="H644" s="103"/>
    </row>
    <row r="645" spans="1:8" s="1" customFormat="1" ht="25.5" customHeight="1">
      <c r="A645" s="2"/>
      <c r="B645" s="2"/>
      <c r="C645" s="26">
        <v>2708</v>
      </c>
      <c r="D645" s="27" t="s">
        <v>741</v>
      </c>
      <c r="E645" s="98"/>
      <c r="F645" s="98">
        <v>108020</v>
      </c>
      <c r="G645" s="98"/>
      <c r="H645" s="98"/>
    </row>
    <row r="646" spans="1:8" s="1" customFormat="1" ht="25.5" customHeight="1">
      <c r="A646" s="3"/>
      <c r="B646" s="3"/>
      <c r="C646" s="32">
        <v>2709</v>
      </c>
      <c r="D646" s="27" t="s">
        <v>741</v>
      </c>
      <c r="E646" s="98"/>
      <c r="F646" s="98">
        <v>14401</v>
      </c>
      <c r="G646" s="98"/>
      <c r="H646" s="98"/>
    </row>
    <row r="647" spans="1:8" ht="19.5" customHeight="1" thickBot="1">
      <c r="A647" s="381">
        <v>801</v>
      </c>
      <c r="B647" s="382"/>
      <c r="C647" s="382"/>
      <c r="D647" s="383" t="s">
        <v>448</v>
      </c>
      <c r="E647" s="384"/>
      <c r="F647" s="384">
        <f>F648+F657+F663</f>
        <v>2116116</v>
      </c>
      <c r="G647" s="384"/>
      <c r="H647" s="384"/>
    </row>
    <row r="648" spans="1:8" s="1" customFormat="1" ht="18.75" customHeight="1">
      <c r="A648" s="2"/>
      <c r="B648" s="3">
        <v>80101</v>
      </c>
      <c r="C648" s="3"/>
      <c r="D648" s="53" t="s">
        <v>449</v>
      </c>
      <c r="E648" s="43"/>
      <c r="F648" s="43">
        <f>F649+F651+F653+F655</f>
        <v>1800550</v>
      </c>
      <c r="G648" s="43"/>
      <c r="H648" s="43"/>
    </row>
    <row r="649" spans="1:8" s="1" customFormat="1" ht="25.5">
      <c r="A649" s="2"/>
      <c r="B649" s="2"/>
      <c r="C649" s="128"/>
      <c r="D649" s="129" t="s">
        <v>971</v>
      </c>
      <c r="E649" s="44"/>
      <c r="F649" s="44">
        <f>F650</f>
        <v>300000</v>
      </c>
      <c r="G649" s="126"/>
      <c r="H649" s="126"/>
    </row>
    <row r="650" spans="1:8" s="1" customFormat="1" ht="37.5" customHeight="1">
      <c r="A650" s="2"/>
      <c r="B650" s="2"/>
      <c r="C650" s="52">
        <v>6260</v>
      </c>
      <c r="D650" s="130" t="s">
        <v>515</v>
      </c>
      <c r="E650" s="98"/>
      <c r="F650" s="98">
        <v>300000</v>
      </c>
      <c r="G650" s="98"/>
      <c r="H650" s="98"/>
    </row>
    <row r="651" spans="1:8" s="1" customFormat="1" ht="24.75" customHeight="1">
      <c r="A651" s="2"/>
      <c r="B651" s="2"/>
      <c r="C651" s="128"/>
      <c r="D651" s="129" t="s">
        <v>933</v>
      </c>
      <c r="E651" s="44"/>
      <c r="F651" s="44">
        <f>F652</f>
        <v>4400</v>
      </c>
      <c r="G651" s="44"/>
      <c r="H651" s="44"/>
    </row>
    <row r="652" spans="1:8" s="1" customFormat="1" ht="24.75" customHeight="1">
      <c r="A652" s="2"/>
      <c r="B652" s="2"/>
      <c r="C652" s="22">
        <v>2707</v>
      </c>
      <c r="D652" s="121" t="s">
        <v>741</v>
      </c>
      <c r="E652" s="98"/>
      <c r="F652" s="98">
        <v>4400</v>
      </c>
      <c r="G652" s="98"/>
      <c r="H652" s="98"/>
    </row>
    <row r="653" spans="1:8" s="1" customFormat="1" ht="19.5" customHeight="1">
      <c r="A653" s="2"/>
      <c r="B653" s="2"/>
      <c r="C653" s="18"/>
      <c r="D653" s="129" t="s">
        <v>932</v>
      </c>
      <c r="E653" s="44"/>
      <c r="F653" s="44">
        <f>F654</f>
        <v>1113880</v>
      </c>
      <c r="G653" s="44"/>
      <c r="H653" s="44"/>
    </row>
    <row r="654" spans="1:8" s="1" customFormat="1" ht="25.5">
      <c r="A654" s="2"/>
      <c r="B654" s="2"/>
      <c r="C654" s="52">
        <v>6295</v>
      </c>
      <c r="D654" s="130" t="s">
        <v>931</v>
      </c>
      <c r="E654" s="98"/>
      <c r="F654" s="98">
        <v>1113880</v>
      </c>
      <c r="G654" s="98"/>
      <c r="H654" s="98"/>
    </row>
    <row r="655" spans="1:8" s="1" customFormat="1" ht="25.5">
      <c r="A655" s="2"/>
      <c r="B655" s="2"/>
      <c r="C655" s="18"/>
      <c r="D655" s="129" t="s">
        <v>574</v>
      </c>
      <c r="E655" s="44"/>
      <c r="F655" s="44">
        <f>F656</f>
        <v>382270</v>
      </c>
      <c r="G655" s="44"/>
      <c r="H655" s="44"/>
    </row>
    <row r="656" spans="1:8" s="1" customFormat="1" ht="25.5">
      <c r="A656" s="2"/>
      <c r="B656" s="2"/>
      <c r="C656" s="52">
        <v>2030</v>
      </c>
      <c r="D656" s="27" t="s">
        <v>1037</v>
      </c>
      <c r="E656" s="98"/>
      <c r="F656" s="98">
        <v>382270</v>
      </c>
      <c r="G656" s="98"/>
      <c r="H656" s="98"/>
    </row>
    <row r="657" spans="1:8" s="1" customFormat="1" ht="18" customHeight="1">
      <c r="A657" s="2"/>
      <c r="B657" s="13">
        <v>80110</v>
      </c>
      <c r="C657" s="13"/>
      <c r="D657" s="131" t="s">
        <v>450</v>
      </c>
      <c r="E657" s="49"/>
      <c r="F657" s="49">
        <f>F658+F660</f>
        <v>305869</v>
      </c>
      <c r="G657" s="49"/>
      <c r="H657" s="49"/>
    </row>
    <row r="658" spans="1:8" s="1" customFormat="1" ht="24" customHeight="1">
      <c r="A658" s="2"/>
      <c r="B658" s="2"/>
      <c r="C658" s="18"/>
      <c r="D658" s="129" t="s">
        <v>933</v>
      </c>
      <c r="E658" s="44"/>
      <c r="F658" s="44">
        <f>F659</f>
        <v>5869</v>
      </c>
      <c r="G658" s="44"/>
      <c r="H658" s="44"/>
    </row>
    <row r="659" spans="1:8" s="1" customFormat="1" ht="25.5">
      <c r="A659" s="2"/>
      <c r="B659" s="2"/>
      <c r="C659" s="22">
        <v>2707</v>
      </c>
      <c r="D659" s="121" t="s">
        <v>741</v>
      </c>
      <c r="E659" s="98"/>
      <c r="F659" s="98">
        <v>5869</v>
      </c>
      <c r="G659" s="98"/>
      <c r="H659" s="98"/>
    </row>
    <row r="660" spans="1:8" s="1" customFormat="1" ht="26.25" customHeight="1">
      <c r="A660" s="901"/>
      <c r="B660" s="902"/>
      <c r="C660" s="945"/>
      <c r="D660" s="186" t="s">
        <v>114</v>
      </c>
      <c r="E660" s="905"/>
      <c r="F660" s="905">
        <f>SUM(F661:F662)</f>
        <v>300000</v>
      </c>
      <c r="G660" s="905"/>
      <c r="H660" s="905"/>
    </row>
    <row r="661" spans="1:8" s="1" customFormat="1" ht="37.5" customHeight="1">
      <c r="A661" s="906"/>
      <c r="B661" s="907"/>
      <c r="C661" s="26">
        <v>6260</v>
      </c>
      <c r="D661" s="27" t="s">
        <v>515</v>
      </c>
      <c r="E661" s="130"/>
      <c r="F661" s="130">
        <v>100000</v>
      </c>
      <c r="G661" s="130"/>
      <c r="H661" s="909"/>
    </row>
    <row r="662" spans="1:8" s="1" customFormat="1" ht="27.75" customHeight="1">
      <c r="A662" s="906"/>
      <c r="B662" s="907"/>
      <c r="C662" s="352">
        <v>6290</v>
      </c>
      <c r="D662" s="27" t="s">
        <v>931</v>
      </c>
      <c r="E662" s="130"/>
      <c r="F662" s="130">
        <v>200000</v>
      </c>
      <c r="G662" s="130"/>
      <c r="H662" s="121"/>
    </row>
    <row r="663" spans="1:8" ht="18" customHeight="1">
      <c r="A663" s="948"/>
      <c r="B663" s="977">
        <v>80195</v>
      </c>
      <c r="C663" s="977"/>
      <c r="D663" s="972" t="s">
        <v>100</v>
      </c>
      <c r="E663" s="972"/>
      <c r="F663" s="949">
        <f>F664</f>
        <v>9697</v>
      </c>
      <c r="G663" s="972"/>
      <c r="H663" s="972"/>
    </row>
    <row r="664" spans="1:8" ht="25.5" customHeight="1">
      <c r="A664" s="1057"/>
      <c r="B664" s="1057"/>
      <c r="C664" s="1058"/>
      <c r="D664" s="1059" t="s">
        <v>804</v>
      </c>
      <c r="E664" s="1060"/>
      <c r="F664" s="1061">
        <f>F665</f>
        <v>9697</v>
      </c>
      <c r="G664" s="1060"/>
      <c r="H664" s="1060"/>
    </row>
    <row r="665" spans="1:8" ht="26.25" customHeight="1">
      <c r="A665" s="910"/>
      <c r="B665" s="910"/>
      <c r="C665" s="26">
        <v>2030</v>
      </c>
      <c r="D665" s="78" t="s">
        <v>1037</v>
      </c>
      <c r="E665" s="1062"/>
      <c r="F665" s="1000">
        <v>9697</v>
      </c>
      <c r="G665" s="1062"/>
      <c r="H665" s="1062"/>
    </row>
    <row r="666" spans="1:8" ht="19.5" customHeight="1" thickBot="1">
      <c r="A666" s="425">
        <v>852</v>
      </c>
      <c r="B666" s="405"/>
      <c r="C666" s="382"/>
      <c r="D666" s="383" t="s">
        <v>129</v>
      </c>
      <c r="E666" s="384"/>
      <c r="F666" s="384">
        <f>F667+F670+F683+F686</f>
        <v>13476214</v>
      </c>
      <c r="G666" s="384"/>
      <c r="H666" s="384"/>
    </row>
    <row r="667" spans="1:8" s="1" customFormat="1" ht="25.5">
      <c r="A667" s="2"/>
      <c r="B667" s="25">
        <v>85214</v>
      </c>
      <c r="C667" s="33"/>
      <c r="D667" s="23" t="s">
        <v>459</v>
      </c>
      <c r="E667" s="43"/>
      <c r="F667" s="43">
        <f>F668</f>
        <v>4731000</v>
      </c>
      <c r="G667" s="43"/>
      <c r="H667" s="43"/>
    </row>
    <row r="668" spans="1:8" s="1" customFormat="1" ht="25.5" customHeight="1">
      <c r="A668" s="86"/>
      <c r="B668" s="122"/>
      <c r="C668" s="122"/>
      <c r="D668" s="16" t="s">
        <v>54</v>
      </c>
      <c r="E668" s="132"/>
      <c r="F668" s="132">
        <f>F669</f>
        <v>4731000</v>
      </c>
      <c r="G668" s="132"/>
      <c r="H668" s="132"/>
    </row>
    <row r="669" spans="1:8" s="1" customFormat="1" ht="25.5">
      <c r="A669" s="18"/>
      <c r="B669" s="22"/>
      <c r="C669" s="22">
        <v>2030</v>
      </c>
      <c r="D669" s="27" t="s">
        <v>1037</v>
      </c>
      <c r="E669" s="98"/>
      <c r="F669" s="98">
        <v>4731000</v>
      </c>
      <c r="G669" s="98"/>
      <c r="H669" s="98"/>
    </row>
    <row r="670" spans="1:8" s="1" customFormat="1" ht="18.75" customHeight="1">
      <c r="A670" s="2"/>
      <c r="B670" s="25">
        <v>85219</v>
      </c>
      <c r="C670" s="33"/>
      <c r="D670" s="23" t="s">
        <v>1020</v>
      </c>
      <c r="E670" s="43"/>
      <c r="F670" s="43">
        <f>F671+F673+F675+F677+F679+F681</f>
        <v>4450682</v>
      </c>
      <c r="G670" s="43"/>
      <c r="H670" s="43"/>
    </row>
    <row r="671" spans="1:8" s="1" customFormat="1" ht="25.5" customHeight="1">
      <c r="A671" s="86"/>
      <c r="B671" s="122"/>
      <c r="C671" s="122"/>
      <c r="D671" s="16" t="s">
        <v>960</v>
      </c>
      <c r="E671" s="132"/>
      <c r="F671" s="132">
        <f>F672</f>
        <v>3682000</v>
      </c>
      <c r="G671" s="132"/>
      <c r="H671" s="132"/>
    </row>
    <row r="672" spans="1:8" s="1" customFormat="1" ht="25.5">
      <c r="A672" s="18"/>
      <c r="B672" s="18"/>
      <c r="C672" s="22">
        <v>2030</v>
      </c>
      <c r="D672" s="27" t="s">
        <v>1037</v>
      </c>
      <c r="E672" s="98"/>
      <c r="F672" s="98">
        <v>3682000</v>
      </c>
      <c r="G672" s="98"/>
      <c r="H672" s="98"/>
    </row>
    <row r="673" spans="1:8" s="1" customFormat="1" ht="27" customHeight="1">
      <c r="A673" s="86"/>
      <c r="B673" s="86"/>
      <c r="C673" s="38"/>
      <c r="D673" s="29" t="s">
        <v>496</v>
      </c>
      <c r="E673" s="132"/>
      <c r="F673" s="132">
        <f>F674</f>
        <v>72748</v>
      </c>
      <c r="G673" s="132"/>
      <c r="H673" s="132"/>
    </row>
    <row r="674" spans="1:8" s="1" customFormat="1" ht="29.25" customHeight="1">
      <c r="A674" s="18"/>
      <c r="B674" s="18"/>
      <c r="C674" s="26">
        <v>2708</v>
      </c>
      <c r="D674" s="27" t="s">
        <v>741</v>
      </c>
      <c r="E674" s="98"/>
      <c r="F674" s="98">
        <v>72748</v>
      </c>
      <c r="G674" s="98"/>
      <c r="H674" s="98"/>
    </row>
    <row r="675" spans="1:8" s="1" customFormat="1" ht="28.5" customHeight="1">
      <c r="A675" s="86"/>
      <c r="B675" s="86"/>
      <c r="C675" s="38"/>
      <c r="D675" s="29" t="s">
        <v>1024</v>
      </c>
      <c r="E675" s="132"/>
      <c r="F675" s="132">
        <f>F676</f>
        <v>42067</v>
      </c>
      <c r="G675" s="132"/>
      <c r="H675" s="132"/>
    </row>
    <row r="676" spans="1:8" s="1" customFormat="1" ht="29.25" customHeight="1">
      <c r="A676" s="18"/>
      <c r="B676" s="18"/>
      <c r="C676" s="26">
        <v>2708</v>
      </c>
      <c r="D676" s="27" t="s">
        <v>741</v>
      </c>
      <c r="E676" s="98"/>
      <c r="F676" s="98">
        <v>42067</v>
      </c>
      <c r="G676" s="98"/>
      <c r="H676" s="98"/>
    </row>
    <row r="677" spans="1:8" s="1" customFormat="1" ht="27" customHeight="1">
      <c r="A677" s="86"/>
      <c r="B677" s="86"/>
      <c r="C677" s="38"/>
      <c r="D677" s="29" t="s">
        <v>1025</v>
      </c>
      <c r="E677" s="132"/>
      <c r="F677" s="132">
        <f>F678</f>
        <v>7200</v>
      </c>
      <c r="G677" s="132"/>
      <c r="H677" s="132"/>
    </row>
    <row r="678" spans="1:8" s="1" customFormat="1" ht="29.25" customHeight="1">
      <c r="A678" s="18"/>
      <c r="B678" s="18"/>
      <c r="C678" s="26">
        <v>2707</v>
      </c>
      <c r="D678" s="27" t="s">
        <v>741</v>
      </c>
      <c r="E678" s="98"/>
      <c r="F678" s="98">
        <v>7200</v>
      </c>
      <c r="G678" s="98"/>
      <c r="H678" s="98"/>
    </row>
    <row r="679" spans="1:8" s="1" customFormat="1" ht="28.5" customHeight="1">
      <c r="A679" s="86"/>
      <c r="B679" s="86"/>
      <c r="C679" s="38"/>
      <c r="D679" s="29" t="s">
        <v>99</v>
      </c>
      <c r="E679" s="132"/>
      <c r="F679" s="132">
        <f>F680</f>
        <v>438855</v>
      </c>
      <c r="G679" s="132"/>
      <c r="H679" s="132"/>
    </row>
    <row r="680" spans="1:8" s="1" customFormat="1" ht="29.25" customHeight="1">
      <c r="A680" s="18"/>
      <c r="B680" s="18"/>
      <c r="C680" s="26">
        <v>2708</v>
      </c>
      <c r="D680" s="27" t="s">
        <v>741</v>
      </c>
      <c r="E680" s="98"/>
      <c r="F680" s="98">
        <v>438855</v>
      </c>
      <c r="G680" s="98"/>
      <c r="H680" s="98"/>
    </row>
    <row r="681" spans="1:8" s="1" customFormat="1" ht="27" customHeight="1">
      <c r="A681" s="86"/>
      <c r="B681" s="86"/>
      <c r="C681" s="122"/>
      <c r="D681" s="16" t="s">
        <v>376</v>
      </c>
      <c r="E681" s="132"/>
      <c r="F681" s="132">
        <f>F682</f>
        <v>207812</v>
      </c>
      <c r="G681" s="132"/>
      <c r="H681" s="132"/>
    </row>
    <row r="682" spans="1:8" s="1" customFormat="1" ht="28.5" customHeight="1">
      <c r="A682" s="18"/>
      <c r="B682" s="22"/>
      <c r="C682" s="22">
        <v>2030</v>
      </c>
      <c r="D682" s="27" t="s">
        <v>1037</v>
      </c>
      <c r="E682" s="98"/>
      <c r="F682" s="98">
        <v>207812</v>
      </c>
      <c r="G682" s="98"/>
      <c r="H682" s="98"/>
    </row>
    <row r="683" spans="1:8" s="1" customFormat="1" ht="20.25" customHeight="1">
      <c r="A683" s="18"/>
      <c r="B683" s="3">
        <v>85232</v>
      </c>
      <c r="C683" s="35"/>
      <c r="D683" s="23" t="s">
        <v>708</v>
      </c>
      <c r="E683" s="43"/>
      <c r="F683" s="43">
        <f>F684</f>
        <v>1134632</v>
      </c>
      <c r="G683" s="43"/>
      <c r="H683" s="43"/>
    </row>
    <row r="684" spans="1:8" s="1" customFormat="1" ht="27" customHeight="1">
      <c r="A684" s="18"/>
      <c r="B684" s="18"/>
      <c r="C684" s="122"/>
      <c r="D684" s="16" t="s">
        <v>52</v>
      </c>
      <c r="E684" s="132"/>
      <c r="F684" s="132">
        <f>F685</f>
        <v>1134632</v>
      </c>
      <c r="G684" s="132"/>
      <c r="H684" s="132"/>
    </row>
    <row r="685" spans="1:8" s="1" customFormat="1" ht="29.25" customHeight="1">
      <c r="A685" s="22"/>
      <c r="B685" s="22"/>
      <c r="C685" s="26">
        <v>2708</v>
      </c>
      <c r="D685" s="27" t="s">
        <v>741</v>
      </c>
      <c r="E685" s="98"/>
      <c r="F685" s="98">
        <f>1143906-9274</f>
        <v>1134632</v>
      </c>
      <c r="G685" s="98"/>
      <c r="H685" s="98"/>
    </row>
    <row r="686" spans="1:8" s="1" customFormat="1" ht="21" customHeight="1">
      <c r="A686" s="18"/>
      <c r="B686" s="3">
        <v>85295</v>
      </c>
      <c r="C686" s="35"/>
      <c r="D686" s="23" t="s">
        <v>100</v>
      </c>
      <c r="E686" s="43"/>
      <c r="F686" s="43">
        <f>F687</f>
        <v>3159900</v>
      </c>
      <c r="G686" s="43"/>
      <c r="H686" s="43"/>
    </row>
    <row r="687" spans="1:8" s="1" customFormat="1" ht="30" customHeight="1">
      <c r="A687" s="18"/>
      <c r="B687" s="18"/>
      <c r="C687" s="122"/>
      <c r="D687" s="16" t="s">
        <v>415</v>
      </c>
      <c r="E687" s="132"/>
      <c r="F687" s="132">
        <f>F688</f>
        <v>3159900</v>
      </c>
      <c r="G687" s="132"/>
      <c r="H687" s="132"/>
    </row>
    <row r="688" spans="1:8" s="1" customFormat="1" ht="30" customHeight="1">
      <c r="A688" s="22"/>
      <c r="B688" s="22"/>
      <c r="C688" s="22">
        <v>2030</v>
      </c>
      <c r="D688" s="27" t="s">
        <v>1037</v>
      </c>
      <c r="E688" s="98"/>
      <c r="F688" s="98">
        <v>3159900</v>
      </c>
      <c r="G688" s="98"/>
      <c r="H688" s="98"/>
    </row>
    <row r="689" spans="1:8" ht="21.75" customHeight="1" thickBot="1">
      <c r="A689" s="381">
        <v>854</v>
      </c>
      <c r="B689" s="382"/>
      <c r="C689" s="382"/>
      <c r="D689" s="383" t="s">
        <v>618</v>
      </c>
      <c r="E689" s="384"/>
      <c r="F689" s="384">
        <f>F690</f>
        <v>1016758</v>
      </c>
      <c r="G689" s="384"/>
      <c r="H689" s="384"/>
    </row>
    <row r="690" spans="1:8" s="1" customFormat="1" ht="21.75" customHeight="1">
      <c r="A690" s="2"/>
      <c r="B690" s="25">
        <v>85415</v>
      </c>
      <c r="C690" s="33"/>
      <c r="D690" s="33" t="s">
        <v>396</v>
      </c>
      <c r="E690" s="43"/>
      <c r="F690" s="43">
        <f>F691</f>
        <v>1016758</v>
      </c>
      <c r="G690" s="43"/>
      <c r="H690" s="43"/>
    </row>
    <row r="691" spans="1:8" s="1" customFormat="1" ht="27" customHeight="1">
      <c r="A691" s="86"/>
      <c r="B691" s="122"/>
      <c r="C691" s="133"/>
      <c r="D691" s="134" t="s">
        <v>575</v>
      </c>
      <c r="E691" s="132"/>
      <c r="F691" s="132">
        <f>F692</f>
        <v>1016758</v>
      </c>
      <c r="G691" s="132"/>
      <c r="H691" s="132"/>
    </row>
    <row r="692" spans="1:8" s="1" customFormat="1" ht="27.75" customHeight="1">
      <c r="A692" s="22"/>
      <c r="B692" s="22"/>
      <c r="C692" s="22">
        <v>2030</v>
      </c>
      <c r="D692" s="27" t="s">
        <v>1037</v>
      </c>
      <c r="E692" s="98"/>
      <c r="F692" s="98">
        <v>1016758</v>
      </c>
      <c r="G692" s="98"/>
      <c r="H692" s="98"/>
    </row>
    <row r="693" spans="1:8" ht="21.75" customHeight="1" thickBot="1">
      <c r="A693" s="425">
        <v>900</v>
      </c>
      <c r="B693" s="405"/>
      <c r="C693" s="405"/>
      <c r="D693" s="426" t="s">
        <v>1048</v>
      </c>
      <c r="E693" s="406"/>
      <c r="F693" s="406">
        <f>F694</f>
        <v>1255587</v>
      </c>
      <c r="G693" s="406"/>
      <c r="H693" s="406"/>
    </row>
    <row r="694" spans="1:8" s="1" customFormat="1" ht="20.25" customHeight="1">
      <c r="A694" s="2"/>
      <c r="B694" s="25">
        <v>90002</v>
      </c>
      <c r="C694" s="33"/>
      <c r="D694" s="33" t="s">
        <v>176</v>
      </c>
      <c r="E694" s="43"/>
      <c r="F694" s="43">
        <f>F695</f>
        <v>1255587</v>
      </c>
      <c r="G694" s="43"/>
      <c r="H694" s="43"/>
    </row>
    <row r="695" spans="1:8" s="1" customFormat="1" ht="38.25">
      <c r="A695" s="86"/>
      <c r="B695" s="122"/>
      <c r="C695" s="133"/>
      <c r="D695" s="134" t="s">
        <v>904</v>
      </c>
      <c r="E695" s="132"/>
      <c r="F695" s="132">
        <f>F696</f>
        <v>1255587</v>
      </c>
      <c r="G695" s="132"/>
      <c r="H695" s="132"/>
    </row>
    <row r="696" spans="1:8" s="1" customFormat="1" ht="25.5" customHeight="1">
      <c r="A696" s="22"/>
      <c r="B696" s="22"/>
      <c r="C696" s="26">
        <v>6298</v>
      </c>
      <c r="D696" s="27" t="s">
        <v>931</v>
      </c>
      <c r="E696" s="98"/>
      <c r="F696" s="98">
        <v>1255587</v>
      </c>
      <c r="G696" s="98"/>
      <c r="H696" s="98"/>
    </row>
    <row r="697" spans="1:8" ht="19.5" customHeight="1" thickBot="1">
      <c r="A697" s="381">
        <v>921</v>
      </c>
      <c r="B697" s="382"/>
      <c r="C697" s="382"/>
      <c r="D697" s="383" t="s">
        <v>401</v>
      </c>
      <c r="E697" s="384"/>
      <c r="F697" s="384">
        <f>F698+F701</f>
        <v>22533</v>
      </c>
      <c r="G697" s="384"/>
      <c r="H697" s="384"/>
    </row>
    <row r="698" spans="1:8" s="1" customFormat="1" ht="18.75" customHeight="1">
      <c r="A698" s="2"/>
      <c r="B698" s="25">
        <v>92105</v>
      </c>
      <c r="C698" s="33"/>
      <c r="D698" s="33" t="s">
        <v>397</v>
      </c>
      <c r="E698" s="43"/>
      <c r="F698" s="43">
        <f>F699</f>
        <v>17991</v>
      </c>
      <c r="G698" s="43"/>
      <c r="H698" s="43"/>
    </row>
    <row r="699" spans="1:8" s="1" customFormat="1" ht="19.5" customHeight="1">
      <c r="A699" s="86"/>
      <c r="B699" s="122"/>
      <c r="C699" s="133"/>
      <c r="D699" s="134" t="s">
        <v>350</v>
      </c>
      <c r="E699" s="132"/>
      <c r="F699" s="132">
        <f>F700</f>
        <v>17991</v>
      </c>
      <c r="G699" s="132"/>
      <c r="H699" s="132"/>
    </row>
    <row r="700" spans="1:8" s="1" customFormat="1" ht="25.5" customHeight="1">
      <c r="A700" s="18"/>
      <c r="B700" s="22"/>
      <c r="C700" s="26">
        <v>2707</v>
      </c>
      <c r="D700" s="27" t="s">
        <v>741</v>
      </c>
      <c r="E700" s="98"/>
      <c r="F700" s="98">
        <v>17991</v>
      </c>
      <c r="G700" s="98"/>
      <c r="H700" s="98"/>
    </row>
    <row r="701" spans="1:8" s="1" customFormat="1" ht="18.75" customHeight="1">
      <c r="A701" s="2"/>
      <c r="B701" s="25">
        <v>92109</v>
      </c>
      <c r="C701" s="48"/>
      <c r="D701" s="48" t="s">
        <v>1043</v>
      </c>
      <c r="E701" s="43"/>
      <c r="F701" s="43">
        <f>F702</f>
        <v>4542</v>
      </c>
      <c r="G701" s="43"/>
      <c r="H701" s="43"/>
    </row>
    <row r="702" spans="1:8" s="1" customFormat="1" ht="25.5">
      <c r="A702" s="86"/>
      <c r="B702" s="122"/>
      <c r="C702" s="133"/>
      <c r="D702" s="134" t="s">
        <v>972</v>
      </c>
      <c r="E702" s="132"/>
      <c r="F702" s="132">
        <f>F703</f>
        <v>4542</v>
      </c>
      <c r="G702" s="132"/>
      <c r="H702" s="132"/>
    </row>
    <row r="703" spans="1:8" s="1" customFormat="1" ht="25.5" customHeight="1">
      <c r="A703" s="22"/>
      <c r="B703" s="22"/>
      <c r="C703" s="26">
        <v>2707</v>
      </c>
      <c r="D703" s="27" t="s">
        <v>741</v>
      </c>
      <c r="E703" s="98"/>
      <c r="F703" s="98">
        <v>4542</v>
      </c>
      <c r="G703" s="98"/>
      <c r="H703" s="98"/>
    </row>
    <row r="704" spans="1:8" ht="19.5" customHeight="1" thickBot="1">
      <c r="A704" s="381">
        <v>926</v>
      </c>
      <c r="B704" s="382"/>
      <c r="C704" s="382"/>
      <c r="D704" s="383" t="s">
        <v>1045</v>
      </c>
      <c r="E704" s="384"/>
      <c r="F704" s="384">
        <f>F705+F708</f>
        <v>6189021</v>
      </c>
      <c r="G704" s="384"/>
      <c r="H704" s="384"/>
    </row>
    <row r="705" spans="1:8" s="1" customFormat="1" ht="18.75" customHeight="1">
      <c r="A705" s="2"/>
      <c r="B705" s="25">
        <v>92604</v>
      </c>
      <c r="C705" s="33"/>
      <c r="D705" s="33" t="s">
        <v>1047</v>
      </c>
      <c r="E705" s="43"/>
      <c r="F705" s="43">
        <f>F706</f>
        <v>6089021</v>
      </c>
      <c r="G705" s="43"/>
      <c r="H705" s="43"/>
    </row>
    <row r="706" spans="1:8" s="1" customFormat="1" ht="38.25">
      <c r="A706" s="86"/>
      <c r="B706" s="122"/>
      <c r="C706" s="133"/>
      <c r="D706" s="134" t="s">
        <v>973</v>
      </c>
      <c r="E706" s="132"/>
      <c r="F706" s="132">
        <f>F707</f>
        <v>6089021</v>
      </c>
      <c r="G706" s="132"/>
      <c r="H706" s="132"/>
    </row>
    <row r="707" spans="1:8" s="1" customFormat="1" ht="25.5" customHeight="1">
      <c r="A707" s="22"/>
      <c r="B707" s="22"/>
      <c r="C707" s="26">
        <v>6298</v>
      </c>
      <c r="D707" s="27" t="s">
        <v>931</v>
      </c>
      <c r="E707" s="98"/>
      <c r="F707" s="98">
        <v>6089021</v>
      </c>
      <c r="G707" s="98"/>
      <c r="H707" s="98"/>
    </row>
    <row r="708" spans="1:8" s="1" customFormat="1" ht="19.5" customHeight="1">
      <c r="A708" s="948"/>
      <c r="B708" s="1063">
        <v>92695</v>
      </c>
      <c r="C708" s="213"/>
      <c r="D708" s="936" t="s">
        <v>100</v>
      </c>
      <c r="E708" s="949"/>
      <c r="F708" s="949">
        <f>F709</f>
        <v>100000</v>
      </c>
      <c r="G708" s="949"/>
      <c r="H708" s="949"/>
    </row>
    <row r="709" spans="1:8" s="1" customFormat="1" ht="27" customHeight="1">
      <c r="A709" s="901"/>
      <c r="B709" s="947"/>
      <c r="C709" s="950"/>
      <c r="D709" s="186" t="s">
        <v>115</v>
      </c>
      <c r="E709" s="905"/>
      <c r="F709" s="905">
        <f>F710</f>
        <v>100000</v>
      </c>
      <c r="G709" s="905"/>
      <c r="H709" s="905"/>
    </row>
    <row r="710" spans="1:8" s="1" customFormat="1" ht="26.25" customHeight="1">
      <c r="A710" s="906"/>
      <c r="B710" s="907"/>
      <c r="C710" s="951">
        <v>2440</v>
      </c>
      <c r="D710" s="78" t="s">
        <v>116</v>
      </c>
      <c r="E710" s="130"/>
      <c r="F710" s="130">
        <v>100000</v>
      </c>
      <c r="G710" s="130"/>
      <c r="H710" s="121"/>
    </row>
    <row r="711" spans="1:8" s="1" customFormat="1" ht="29.25" thickBot="1">
      <c r="A711" s="45"/>
      <c r="B711" s="45"/>
      <c r="C711" s="123"/>
      <c r="D711" s="135" t="s">
        <v>974</v>
      </c>
      <c r="E711" s="125"/>
      <c r="F711" s="125">
        <f>F712+F721+F717</f>
        <v>847216</v>
      </c>
      <c r="G711" s="125"/>
      <c r="H711" s="125"/>
    </row>
    <row r="712" spans="1:8" ht="19.5" customHeight="1" thickBot="1" thickTop="1">
      <c r="A712" s="381">
        <v>150</v>
      </c>
      <c r="B712" s="382"/>
      <c r="C712" s="382"/>
      <c r="D712" s="383" t="s">
        <v>905</v>
      </c>
      <c r="E712" s="384"/>
      <c r="F712" s="384">
        <f>F713</f>
        <v>806216</v>
      </c>
      <c r="G712" s="384"/>
      <c r="H712" s="384"/>
    </row>
    <row r="713" spans="1:8" s="1" customFormat="1" ht="19.5" customHeight="1">
      <c r="A713" s="2"/>
      <c r="B713" s="25">
        <v>15011</v>
      </c>
      <c r="C713" s="33"/>
      <c r="D713" s="23" t="s">
        <v>416</v>
      </c>
      <c r="E713" s="34"/>
      <c r="F713" s="34">
        <f>F714</f>
        <v>806216</v>
      </c>
      <c r="G713" s="34"/>
      <c r="H713" s="34"/>
    </row>
    <row r="714" spans="1:8" s="1" customFormat="1" ht="27" customHeight="1">
      <c r="A714" s="86"/>
      <c r="B714" s="86"/>
      <c r="C714" s="1024"/>
      <c r="D714" s="1025" t="s">
        <v>903</v>
      </c>
      <c r="E714" s="1026"/>
      <c r="F714" s="1026">
        <f>SUM(F715:F716)</f>
        <v>806216</v>
      </c>
      <c r="G714" s="1026"/>
      <c r="H714" s="1026"/>
    </row>
    <row r="715" spans="1:8" s="1" customFormat="1" ht="38.25">
      <c r="A715" s="18"/>
      <c r="B715" s="18"/>
      <c r="C715" s="1027">
        <v>2888</v>
      </c>
      <c r="D715" s="1028" t="s">
        <v>975</v>
      </c>
      <c r="E715" s="262"/>
      <c r="F715" s="262">
        <v>604662</v>
      </c>
      <c r="G715" s="262"/>
      <c r="H715" s="262"/>
    </row>
    <row r="716" spans="1:8" s="1" customFormat="1" ht="38.25">
      <c r="A716" s="22"/>
      <c r="B716" s="22"/>
      <c r="C716" s="68">
        <v>2889</v>
      </c>
      <c r="D716" s="78" t="s">
        <v>975</v>
      </c>
      <c r="E716" s="98"/>
      <c r="F716" s="98">
        <v>201554</v>
      </c>
      <c r="G716" s="98"/>
      <c r="H716" s="98"/>
    </row>
    <row r="717" spans="1:8" ht="17.25" customHeight="1" thickBot="1">
      <c r="A717" s="381">
        <v>710</v>
      </c>
      <c r="B717" s="382"/>
      <c r="C717" s="382"/>
      <c r="D717" s="383" t="s">
        <v>436</v>
      </c>
      <c r="E717" s="384"/>
      <c r="F717" s="384">
        <f>F718</f>
        <v>25000</v>
      </c>
      <c r="G717" s="384"/>
      <c r="H717" s="384"/>
    </row>
    <row r="718" spans="1:8" s="1" customFormat="1" ht="17.25" customHeight="1">
      <c r="A718" s="2"/>
      <c r="B718" s="25">
        <v>71035</v>
      </c>
      <c r="C718" s="33"/>
      <c r="D718" s="23" t="s">
        <v>191</v>
      </c>
      <c r="E718" s="34"/>
      <c r="F718" s="34">
        <f>F719</f>
        <v>25000</v>
      </c>
      <c r="G718" s="34"/>
      <c r="H718" s="34"/>
    </row>
    <row r="719" spans="1:8" s="1" customFormat="1" ht="25.5">
      <c r="A719" s="86"/>
      <c r="B719" s="86"/>
      <c r="C719" s="122"/>
      <c r="D719" s="29" t="s">
        <v>377</v>
      </c>
      <c r="E719" s="44"/>
      <c r="F719" s="44">
        <f>F720</f>
        <v>25000</v>
      </c>
      <c r="G719" s="44"/>
      <c r="H719" s="44"/>
    </row>
    <row r="720" spans="1:8" s="1" customFormat="1" ht="25.5">
      <c r="A720" s="18"/>
      <c r="B720" s="18"/>
      <c r="C720" s="68">
        <v>2020</v>
      </c>
      <c r="D720" s="27" t="s">
        <v>378</v>
      </c>
      <c r="E720" s="127"/>
      <c r="F720" s="127">
        <v>25000</v>
      </c>
      <c r="G720" s="127"/>
      <c r="H720" s="127"/>
    </row>
    <row r="721" spans="1:8" ht="19.5" customHeight="1" thickBot="1">
      <c r="A721" s="425">
        <v>801</v>
      </c>
      <c r="B721" s="405"/>
      <c r="C721" s="382"/>
      <c r="D721" s="383" t="s">
        <v>448</v>
      </c>
      <c r="E721" s="406"/>
      <c r="F721" s="406">
        <f>F722</f>
        <v>16000</v>
      </c>
      <c r="G721" s="406"/>
      <c r="H721" s="406"/>
    </row>
    <row r="722" spans="1:8" s="1" customFormat="1" ht="19.5" customHeight="1">
      <c r="A722" s="2"/>
      <c r="B722" s="25">
        <v>80195</v>
      </c>
      <c r="C722" s="33"/>
      <c r="D722" s="23" t="s">
        <v>100</v>
      </c>
      <c r="E722" s="34"/>
      <c r="F722" s="34">
        <f>F723</f>
        <v>16000</v>
      </c>
      <c r="G722" s="34"/>
      <c r="H722" s="34"/>
    </row>
    <row r="723" spans="1:8" s="1" customFormat="1" ht="18.75" customHeight="1">
      <c r="A723" s="86"/>
      <c r="B723" s="86"/>
      <c r="C723" s="122"/>
      <c r="D723" s="29" t="s">
        <v>996</v>
      </c>
      <c r="E723" s="44"/>
      <c r="F723" s="44">
        <f>F724</f>
        <v>16000</v>
      </c>
      <c r="G723" s="44"/>
      <c r="H723" s="44"/>
    </row>
    <row r="724" spans="1:8" s="1" customFormat="1" ht="27" customHeight="1">
      <c r="A724" s="18"/>
      <c r="B724" s="18"/>
      <c r="C724" s="68">
        <v>2310</v>
      </c>
      <c r="D724" s="27" t="s">
        <v>995</v>
      </c>
      <c r="E724" s="127"/>
      <c r="F724" s="127">
        <v>16000</v>
      </c>
      <c r="G724" s="127"/>
      <c r="H724" s="127"/>
    </row>
    <row r="725" spans="1:8" s="8" customFormat="1" ht="30" customHeight="1" thickBot="1">
      <c r="A725" s="45"/>
      <c r="B725" s="45"/>
      <c r="C725" s="123"/>
      <c r="D725" s="135" t="s">
        <v>964</v>
      </c>
      <c r="E725" s="125"/>
      <c r="F725" s="125">
        <f>F730+F734+F738+F746+F750+F726+F742+F769+F773</f>
        <v>87767485</v>
      </c>
      <c r="G725" s="125"/>
      <c r="H725" s="125"/>
    </row>
    <row r="726" spans="1:8" ht="19.5" customHeight="1" thickBot="1" thickTop="1">
      <c r="A726" s="445" t="s">
        <v>1022</v>
      </c>
      <c r="B726" s="382"/>
      <c r="C726" s="382"/>
      <c r="D726" s="383" t="s">
        <v>1023</v>
      </c>
      <c r="E726" s="384"/>
      <c r="F726" s="384">
        <f>F727</f>
        <v>4548</v>
      </c>
      <c r="G726" s="384"/>
      <c r="H726" s="384"/>
    </row>
    <row r="727" spans="1:8" s="1" customFormat="1" ht="18" customHeight="1">
      <c r="A727" s="2"/>
      <c r="B727" s="63" t="s">
        <v>743</v>
      </c>
      <c r="C727" s="33"/>
      <c r="D727" s="23" t="s">
        <v>100</v>
      </c>
      <c r="E727" s="34"/>
      <c r="F727" s="34">
        <f>F728</f>
        <v>4548</v>
      </c>
      <c r="G727" s="34"/>
      <c r="H727" s="34"/>
    </row>
    <row r="728" spans="1:8" s="1" customFormat="1" ht="27" customHeight="1">
      <c r="A728" s="86"/>
      <c r="B728" s="86"/>
      <c r="C728" s="122"/>
      <c r="D728" s="16" t="s">
        <v>379</v>
      </c>
      <c r="E728" s="132"/>
      <c r="F728" s="132">
        <f>F729</f>
        <v>4548</v>
      </c>
      <c r="G728" s="132"/>
      <c r="H728" s="132"/>
    </row>
    <row r="729" spans="1:8" s="1" customFormat="1" ht="27" customHeight="1">
      <c r="A729" s="22"/>
      <c r="B729" s="22"/>
      <c r="C729" s="22">
        <v>2010</v>
      </c>
      <c r="D729" s="27" t="s">
        <v>965</v>
      </c>
      <c r="E729" s="97"/>
      <c r="F729" s="97">
        <v>4548</v>
      </c>
      <c r="G729" s="97"/>
      <c r="H729" s="97"/>
    </row>
    <row r="730" spans="1:8" ht="21" customHeight="1" thickBot="1">
      <c r="A730" s="381">
        <v>750</v>
      </c>
      <c r="B730" s="382"/>
      <c r="C730" s="382"/>
      <c r="D730" s="383" t="s">
        <v>439</v>
      </c>
      <c r="E730" s="384"/>
      <c r="F730" s="384">
        <f>F731</f>
        <v>1568923</v>
      </c>
      <c r="G730" s="384"/>
      <c r="H730" s="384"/>
    </row>
    <row r="731" spans="1:8" s="1" customFormat="1" ht="18" customHeight="1">
      <c r="A731" s="2"/>
      <c r="B731" s="25">
        <v>75011</v>
      </c>
      <c r="C731" s="33"/>
      <c r="D731" s="23" t="s">
        <v>1049</v>
      </c>
      <c r="E731" s="34"/>
      <c r="F731" s="34">
        <f>F732</f>
        <v>1568923</v>
      </c>
      <c r="G731" s="34"/>
      <c r="H731" s="34"/>
    </row>
    <row r="732" spans="1:8" s="1" customFormat="1" ht="27" customHeight="1">
      <c r="A732" s="86"/>
      <c r="B732" s="86"/>
      <c r="C732" s="122"/>
      <c r="D732" s="16" t="s">
        <v>244</v>
      </c>
      <c r="E732" s="132"/>
      <c r="F732" s="132">
        <f>F733</f>
        <v>1568923</v>
      </c>
      <c r="G732" s="132"/>
      <c r="H732" s="132"/>
    </row>
    <row r="733" spans="1:8" s="1" customFormat="1" ht="27" customHeight="1">
      <c r="A733" s="22"/>
      <c r="B733" s="22"/>
      <c r="C733" s="22">
        <v>2010</v>
      </c>
      <c r="D733" s="27" t="s">
        <v>965</v>
      </c>
      <c r="E733" s="97"/>
      <c r="F733" s="97">
        <v>1568923</v>
      </c>
      <c r="G733" s="97"/>
      <c r="H733" s="97"/>
    </row>
    <row r="734" spans="1:8" ht="26.25" thickBot="1">
      <c r="A734" s="381">
        <v>751</v>
      </c>
      <c r="B734" s="382"/>
      <c r="C734" s="382"/>
      <c r="D734" s="383" t="s">
        <v>387</v>
      </c>
      <c r="E734" s="384"/>
      <c r="F734" s="384">
        <f>F735</f>
        <v>28672</v>
      </c>
      <c r="G734" s="384"/>
      <c r="H734" s="384"/>
    </row>
    <row r="735" spans="1:8" s="1" customFormat="1" ht="19.5" customHeight="1">
      <c r="A735" s="36"/>
      <c r="B735" s="25">
        <v>75101</v>
      </c>
      <c r="C735" s="33"/>
      <c r="D735" s="37" t="s">
        <v>966</v>
      </c>
      <c r="E735" s="4"/>
      <c r="F735" s="4">
        <f>F736</f>
        <v>28672</v>
      </c>
      <c r="G735" s="4"/>
      <c r="H735" s="4"/>
    </row>
    <row r="736" spans="1:8" s="1" customFormat="1" ht="27" customHeight="1">
      <c r="A736" s="86"/>
      <c r="B736" s="86"/>
      <c r="C736" s="86"/>
      <c r="D736" s="93" t="s">
        <v>426</v>
      </c>
      <c r="E736" s="136"/>
      <c r="F736" s="136">
        <f>F737</f>
        <v>28672</v>
      </c>
      <c r="G736" s="136"/>
      <c r="H736" s="136"/>
    </row>
    <row r="737" spans="1:8" s="1" customFormat="1" ht="27" customHeight="1">
      <c r="A737" s="22"/>
      <c r="B737" s="22"/>
      <c r="C737" s="22">
        <v>2010</v>
      </c>
      <c r="D737" s="27" t="s">
        <v>965</v>
      </c>
      <c r="E737" s="97"/>
      <c r="F737" s="97">
        <v>28672</v>
      </c>
      <c r="G737" s="97"/>
      <c r="H737" s="97"/>
    </row>
    <row r="738" spans="1:8" ht="19.5" customHeight="1" thickBot="1">
      <c r="A738" s="425">
        <v>754</v>
      </c>
      <c r="B738" s="405"/>
      <c r="C738" s="405"/>
      <c r="D738" s="426" t="s">
        <v>441</v>
      </c>
      <c r="E738" s="406"/>
      <c r="F738" s="406">
        <f>F739</f>
        <v>1700</v>
      </c>
      <c r="G738" s="406"/>
      <c r="H738" s="406"/>
    </row>
    <row r="739" spans="1:8" s="1" customFormat="1" ht="19.5" customHeight="1">
      <c r="A739" s="36"/>
      <c r="B739" s="25">
        <v>75414</v>
      </c>
      <c r="C739" s="33"/>
      <c r="D739" s="37" t="s">
        <v>545</v>
      </c>
      <c r="E739" s="4"/>
      <c r="F739" s="4">
        <f>F740</f>
        <v>1700</v>
      </c>
      <c r="G739" s="4"/>
      <c r="H739" s="4"/>
    </row>
    <row r="740" spans="1:8" s="1" customFormat="1" ht="18" customHeight="1">
      <c r="A740" s="86"/>
      <c r="B740" s="86"/>
      <c r="C740" s="86"/>
      <c r="D740" s="16" t="s">
        <v>175</v>
      </c>
      <c r="E740" s="132"/>
      <c r="F740" s="132">
        <f>F741</f>
        <v>1700</v>
      </c>
      <c r="G740" s="132"/>
      <c r="H740" s="132"/>
    </row>
    <row r="741" spans="1:8" s="1" customFormat="1" ht="27" customHeight="1">
      <c r="A741" s="22"/>
      <c r="B741" s="22"/>
      <c r="C741" s="22">
        <v>2010</v>
      </c>
      <c r="D741" s="27" t="s">
        <v>965</v>
      </c>
      <c r="E741" s="97"/>
      <c r="F741" s="97">
        <v>1700</v>
      </c>
      <c r="G741" s="97"/>
      <c r="H741" s="97"/>
    </row>
    <row r="742" spans="1:8" ht="19.5" customHeight="1" thickBot="1">
      <c r="A742" s="381">
        <v>801</v>
      </c>
      <c r="B742" s="382"/>
      <c r="C742" s="382"/>
      <c r="D742" s="383" t="s">
        <v>448</v>
      </c>
      <c r="E742" s="384"/>
      <c r="F742" s="384">
        <f>F743</f>
        <v>6048</v>
      </c>
      <c r="G742" s="384"/>
      <c r="H742" s="384"/>
    </row>
    <row r="743" spans="1:8" s="1" customFormat="1" ht="19.5" customHeight="1">
      <c r="A743" s="36"/>
      <c r="B743" s="25">
        <v>80195</v>
      </c>
      <c r="C743" s="33"/>
      <c r="D743" s="37" t="s">
        <v>100</v>
      </c>
      <c r="E743" s="4"/>
      <c r="F743" s="4">
        <f>F744</f>
        <v>6048</v>
      </c>
      <c r="G743" s="4"/>
      <c r="H743" s="4"/>
    </row>
    <row r="744" spans="1:8" s="1" customFormat="1" ht="25.5">
      <c r="A744" s="86"/>
      <c r="B744" s="86"/>
      <c r="C744" s="38"/>
      <c r="D744" s="29" t="s">
        <v>60</v>
      </c>
      <c r="E744" s="132"/>
      <c r="F744" s="132">
        <f>F745</f>
        <v>6048</v>
      </c>
      <c r="G744" s="132"/>
      <c r="H744" s="132"/>
    </row>
    <row r="745" spans="1:8" s="1" customFormat="1" ht="27.75" customHeight="1">
      <c r="A745" s="22"/>
      <c r="B745" s="22"/>
      <c r="C745" s="26">
        <v>2010</v>
      </c>
      <c r="D745" s="27" t="s">
        <v>965</v>
      </c>
      <c r="E745" s="97"/>
      <c r="F745" s="97">
        <v>6048</v>
      </c>
      <c r="G745" s="97"/>
      <c r="H745" s="97"/>
    </row>
    <row r="746" spans="1:8" ht="19.5" customHeight="1" thickBot="1">
      <c r="A746" s="381">
        <v>851</v>
      </c>
      <c r="B746" s="382"/>
      <c r="C746" s="382"/>
      <c r="D746" s="383" t="s">
        <v>106</v>
      </c>
      <c r="E746" s="384"/>
      <c r="F746" s="384">
        <f>F747</f>
        <v>8000</v>
      </c>
      <c r="G746" s="384"/>
      <c r="H746" s="384"/>
    </row>
    <row r="747" spans="1:8" s="1" customFormat="1" ht="19.5" customHeight="1">
      <c r="A747" s="36"/>
      <c r="B747" s="25">
        <v>85195</v>
      </c>
      <c r="C747" s="33"/>
      <c r="D747" s="37" t="s">
        <v>100</v>
      </c>
      <c r="E747" s="4"/>
      <c r="F747" s="4">
        <f>F748</f>
        <v>8000</v>
      </c>
      <c r="G747" s="4"/>
      <c r="H747" s="4"/>
    </row>
    <row r="748" spans="1:8" s="1" customFormat="1" ht="26.25" customHeight="1">
      <c r="A748" s="86"/>
      <c r="B748" s="86"/>
      <c r="C748" s="38"/>
      <c r="D748" s="29" t="s">
        <v>981</v>
      </c>
      <c r="E748" s="132"/>
      <c r="F748" s="132">
        <f>F749</f>
        <v>8000</v>
      </c>
      <c r="G748" s="132"/>
      <c r="H748" s="132"/>
    </row>
    <row r="749" spans="1:8" s="1" customFormat="1" ht="26.25" customHeight="1">
      <c r="A749" s="22"/>
      <c r="B749" s="22"/>
      <c r="C749" s="26">
        <v>2010</v>
      </c>
      <c r="D749" s="39" t="s">
        <v>965</v>
      </c>
      <c r="E749" s="97"/>
      <c r="F749" s="97">
        <v>8000</v>
      </c>
      <c r="G749" s="97"/>
      <c r="H749" s="97"/>
    </row>
    <row r="750" spans="1:8" ht="19.5" customHeight="1" thickBot="1">
      <c r="A750" s="381">
        <v>852</v>
      </c>
      <c r="B750" s="382"/>
      <c r="C750" s="382"/>
      <c r="D750" s="383" t="s">
        <v>129</v>
      </c>
      <c r="E750" s="384"/>
      <c r="F750" s="384">
        <f>F751+F754+F757+F760+F763+F766</f>
        <v>86058152</v>
      </c>
      <c r="G750" s="384"/>
      <c r="H750" s="384"/>
    </row>
    <row r="751" spans="1:8" s="1" customFormat="1" ht="19.5" customHeight="1">
      <c r="A751" s="2"/>
      <c r="B751" s="3">
        <v>85203</v>
      </c>
      <c r="C751" s="40"/>
      <c r="D751" s="41" t="s">
        <v>126</v>
      </c>
      <c r="E751" s="42"/>
      <c r="F751" s="42">
        <f>F752</f>
        <v>271000</v>
      </c>
      <c r="G751" s="42"/>
      <c r="H751" s="42"/>
    </row>
    <row r="752" spans="1:8" s="1" customFormat="1" ht="27.75" customHeight="1">
      <c r="A752" s="86"/>
      <c r="B752" s="86"/>
      <c r="C752" s="122"/>
      <c r="D752" s="16" t="s">
        <v>665</v>
      </c>
      <c r="E752" s="132"/>
      <c r="F752" s="132">
        <f>F753</f>
        <v>271000</v>
      </c>
      <c r="G752" s="132"/>
      <c r="H752" s="132"/>
    </row>
    <row r="753" spans="1:8" s="1" customFormat="1" ht="27" customHeight="1">
      <c r="A753" s="22"/>
      <c r="B753" s="22"/>
      <c r="C753" s="22">
        <v>2010</v>
      </c>
      <c r="D753" s="27" t="s">
        <v>965</v>
      </c>
      <c r="E753" s="97"/>
      <c r="F753" s="97">
        <v>271000</v>
      </c>
      <c r="G753" s="97"/>
      <c r="H753" s="97"/>
    </row>
    <row r="754" spans="1:8" s="1" customFormat="1" ht="26.25" customHeight="1">
      <c r="A754" s="18"/>
      <c r="B754" s="3">
        <v>85212</v>
      </c>
      <c r="C754" s="52"/>
      <c r="D754" s="23" t="s">
        <v>976</v>
      </c>
      <c r="E754" s="34"/>
      <c r="F754" s="34">
        <f>F755</f>
        <v>74451000</v>
      </c>
      <c r="G754" s="34"/>
      <c r="H754" s="34"/>
    </row>
    <row r="755" spans="1:8" s="1" customFormat="1" ht="25.5">
      <c r="A755" s="18"/>
      <c r="B755" s="128"/>
      <c r="C755" s="128"/>
      <c r="D755" s="29" t="s">
        <v>622</v>
      </c>
      <c r="E755" s="132"/>
      <c r="F755" s="132">
        <f>F756</f>
        <v>74451000</v>
      </c>
      <c r="G755" s="132"/>
      <c r="H755" s="132"/>
    </row>
    <row r="756" spans="1:8" s="1" customFormat="1" ht="26.25" customHeight="1">
      <c r="A756" s="18"/>
      <c r="B756" s="22"/>
      <c r="C756" s="22">
        <v>2010</v>
      </c>
      <c r="D756" s="27" t="s">
        <v>965</v>
      </c>
      <c r="E756" s="97"/>
      <c r="F756" s="97">
        <v>74451000</v>
      </c>
      <c r="G756" s="97"/>
      <c r="H756" s="97"/>
    </row>
    <row r="757" spans="1:8" s="1" customFormat="1" ht="27" customHeight="1">
      <c r="A757" s="2"/>
      <c r="B757" s="3">
        <v>85213</v>
      </c>
      <c r="C757" s="35"/>
      <c r="D757" s="23" t="s">
        <v>221</v>
      </c>
      <c r="E757" s="43"/>
      <c r="F757" s="43">
        <f>F758</f>
        <v>729000</v>
      </c>
      <c r="G757" s="43"/>
      <c r="H757" s="43"/>
    </row>
    <row r="758" spans="1:8" s="1" customFormat="1" ht="27" customHeight="1">
      <c r="A758" s="86"/>
      <c r="B758" s="86"/>
      <c r="C758" s="122"/>
      <c r="D758" s="16" t="s">
        <v>348</v>
      </c>
      <c r="E758" s="132"/>
      <c r="F758" s="132">
        <f>F759</f>
        <v>729000</v>
      </c>
      <c r="G758" s="132"/>
      <c r="H758" s="132"/>
    </row>
    <row r="759" spans="1:8" s="1" customFormat="1" ht="27" customHeight="1">
      <c r="A759" s="18"/>
      <c r="B759" s="22"/>
      <c r="C759" s="22">
        <v>2010</v>
      </c>
      <c r="D759" s="27" t="s">
        <v>965</v>
      </c>
      <c r="E759" s="97"/>
      <c r="F759" s="97">
        <v>729000</v>
      </c>
      <c r="G759" s="97"/>
      <c r="H759" s="97"/>
    </row>
    <row r="760" spans="1:8" s="1" customFormat="1" ht="20.25" customHeight="1">
      <c r="A760" s="2"/>
      <c r="B760" s="13">
        <v>85214</v>
      </c>
      <c r="C760" s="365"/>
      <c r="D760" s="60" t="s">
        <v>459</v>
      </c>
      <c r="E760" s="49"/>
      <c r="F760" s="49">
        <f>F761</f>
        <v>9268000</v>
      </c>
      <c r="G760" s="49"/>
      <c r="H760" s="49"/>
    </row>
    <row r="761" spans="1:8" s="1" customFormat="1" ht="25.5">
      <c r="A761" s="86"/>
      <c r="B761" s="86"/>
      <c r="C761" s="122"/>
      <c r="D761" s="16" t="s">
        <v>54</v>
      </c>
      <c r="E761" s="132"/>
      <c r="F761" s="132">
        <f>F762</f>
        <v>9268000</v>
      </c>
      <c r="G761" s="132"/>
      <c r="H761" s="132"/>
    </row>
    <row r="762" spans="1:8" s="1" customFormat="1" ht="27" customHeight="1">
      <c r="A762" s="18"/>
      <c r="B762" s="22"/>
      <c r="C762" s="22">
        <v>2010</v>
      </c>
      <c r="D762" s="27" t="s">
        <v>965</v>
      </c>
      <c r="E762" s="97"/>
      <c r="F762" s="97">
        <v>9268000</v>
      </c>
      <c r="G762" s="97"/>
      <c r="H762" s="97"/>
    </row>
    <row r="763" spans="1:8" s="1" customFormat="1" ht="19.5" customHeight="1">
      <c r="A763" s="2"/>
      <c r="B763" s="3">
        <v>85228</v>
      </c>
      <c r="C763" s="35"/>
      <c r="D763" s="23" t="s">
        <v>616</v>
      </c>
      <c r="E763" s="34"/>
      <c r="F763" s="34">
        <f>F764</f>
        <v>1278000</v>
      </c>
      <c r="G763" s="34"/>
      <c r="H763" s="34"/>
    </row>
    <row r="764" spans="1:8" s="1" customFormat="1" ht="19.5" customHeight="1">
      <c r="A764" s="86"/>
      <c r="B764" s="86"/>
      <c r="C764" s="122"/>
      <c r="D764" s="16" t="s">
        <v>427</v>
      </c>
      <c r="E764" s="132"/>
      <c r="F764" s="132">
        <f>F765</f>
        <v>1278000</v>
      </c>
      <c r="G764" s="132"/>
      <c r="H764" s="132"/>
    </row>
    <row r="765" spans="1:8" s="1" customFormat="1" ht="27" customHeight="1">
      <c r="A765" s="18"/>
      <c r="B765" s="18"/>
      <c r="C765" s="22">
        <v>2010</v>
      </c>
      <c r="D765" s="27" t="s">
        <v>965</v>
      </c>
      <c r="E765" s="97"/>
      <c r="F765" s="97">
        <v>1278000</v>
      </c>
      <c r="G765" s="97"/>
      <c r="H765" s="97"/>
    </row>
    <row r="766" spans="1:8" s="1" customFormat="1" ht="18.75" customHeight="1">
      <c r="A766" s="2"/>
      <c r="B766" s="13">
        <v>85278</v>
      </c>
      <c r="C766" s="35"/>
      <c r="D766" s="23" t="s">
        <v>671</v>
      </c>
      <c r="E766" s="34"/>
      <c r="F766" s="34">
        <f>F767</f>
        <v>61152</v>
      </c>
      <c r="G766" s="34"/>
      <c r="H766" s="34"/>
    </row>
    <row r="767" spans="1:8" s="1" customFormat="1" ht="25.5">
      <c r="A767" s="86"/>
      <c r="B767" s="86"/>
      <c r="C767" s="122"/>
      <c r="D767" s="16" t="s">
        <v>623</v>
      </c>
      <c r="E767" s="132"/>
      <c r="F767" s="132">
        <f>F768</f>
        <v>61152</v>
      </c>
      <c r="G767" s="132"/>
      <c r="H767" s="132"/>
    </row>
    <row r="768" spans="1:8" s="1" customFormat="1" ht="25.5" customHeight="1">
      <c r="A768" s="18"/>
      <c r="B768" s="18"/>
      <c r="C768" s="18">
        <v>2010</v>
      </c>
      <c r="D768" s="360" t="s">
        <v>965</v>
      </c>
      <c r="E768" s="353"/>
      <c r="F768" s="353">
        <f>37552+23600</f>
        <v>61152</v>
      </c>
      <c r="G768" s="353"/>
      <c r="H768" s="353"/>
    </row>
    <row r="769" spans="1:8" ht="19.5" customHeight="1" thickBot="1">
      <c r="A769" s="425">
        <v>854</v>
      </c>
      <c r="B769" s="405"/>
      <c r="C769" s="405"/>
      <c r="D769" s="426" t="s">
        <v>618</v>
      </c>
      <c r="E769" s="406"/>
      <c r="F769" s="406">
        <f>F770</f>
        <v>57442</v>
      </c>
      <c r="G769" s="406"/>
      <c r="H769" s="406"/>
    </row>
    <row r="770" spans="1:8" s="1" customFormat="1" ht="25.5">
      <c r="A770" s="2"/>
      <c r="B770" s="3">
        <v>85412</v>
      </c>
      <c r="C770" s="40"/>
      <c r="D770" s="457" t="s">
        <v>929</v>
      </c>
      <c r="E770" s="42"/>
      <c r="F770" s="42">
        <f>F771</f>
        <v>57442</v>
      </c>
      <c r="G770" s="42"/>
      <c r="H770" s="42"/>
    </row>
    <row r="771" spans="1:8" s="1" customFormat="1" ht="26.25" customHeight="1">
      <c r="A771" s="86"/>
      <c r="B771" s="86"/>
      <c r="C771" s="122"/>
      <c r="D771" s="29" t="s">
        <v>60</v>
      </c>
      <c r="E771" s="132"/>
      <c r="F771" s="132">
        <f>F772</f>
        <v>57442</v>
      </c>
      <c r="G771" s="132"/>
      <c r="H771" s="132"/>
    </row>
    <row r="772" spans="1:8" s="1" customFormat="1" ht="26.25" customHeight="1">
      <c r="A772" s="18"/>
      <c r="B772" s="22"/>
      <c r="C772" s="22">
        <v>2010</v>
      </c>
      <c r="D772" s="27" t="s">
        <v>965</v>
      </c>
      <c r="E772" s="97"/>
      <c r="F772" s="97">
        <v>57442</v>
      </c>
      <c r="G772" s="97"/>
      <c r="H772" s="97"/>
    </row>
    <row r="773" spans="1:8" ht="19.5" customHeight="1" thickBot="1">
      <c r="A773" s="425">
        <v>921</v>
      </c>
      <c r="B773" s="382"/>
      <c r="C773" s="382"/>
      <c r="D773" s="383" t="s">
        <v>401</v>
      </c>
      <c r="E773" s="384"/>
      <c r="F773" s="384">
        <f>F774</f>
        <v>34000</v>
      </c>
      <c r="G773" s="384"/>
      <c r="H773" s="384"/>
    </row>
    <row r="774" spans="1:8" s="1" customFormat="1" ht="20.25" customHeight="1">
      <c r="A774" s="2"/>
      <c r="B774" s="3">
        <v>92109</v>
      </c>
      <c r="C774" s="40"/>
      <c r="D774" s="48" t="s">
        <v>1043</v>
      </c>
      <c r="E774" s="42"/>
      <c r="F774" s="42">
        <f>F775</f>
        <v>34000</v>
      </c>
      <c r="G774" s="42"/>
      <c r="H774" s="42"/>
    </row>
    <row r="775" spans="1:8" s="1" customFormat="1" ht="26.25" customHeight="1">
      <c r="A775" s="86"/>
      <c r="B775" s="86"/>
      <c r="C775" s="122"/>
      <c r="D775" s="29" t="s">
        <v>60</v>
      </c>
      <c r="E775" s="132"/>
      <c r="F775" s="132">
        <f>F776</f>
        <v>34000</v>
      </c>
      <c r="G775" s="132"/>
      <c r="H775" s="132"/>
    </row>
    <row r="776" spans="1:8" s="1" customFormat="1" ht="26.25" customHeight="1">
      <c r="A776" s="22"/>
      <c r="B776" s="22"/>
      <c r="C776" s="22">
        <v>2010</v>
      </c>
      <c r="D776" s="27" t="s">
        <v>965</v>
      </c>
      <c r="E776" s="97"/>
      <c r="F776" s="97">
        <v>34000</v>
      </c>
      <c r="G776" s="97"/>
      <c r="H776" s="97"/>
    </row>
    <row r="777" spans="1:8" s="8" customFormat="1" ht="21" customHeight="1">
      <c r="A777" s="50"/>
      <c r="B777" s="50"/>
      <c r="C777" s="50"/>
      <c r="D777" s="137" t="s">
        <v>242</v>
      </c>
      <c r="E777" s="138"/>
      <c r="F777" s="138">
        <f>F778+F797+F808+F882+F904</f>
        <v>268438313</v>
      </c>
      <c r="G777" s="138"/>
      <c r="H777" s="138"/>
    </row>
    <row r="778" spans="1:8" s="8" customFormat="1" ht="19.5" customHeight="1" thickBot="1">
      <c r="A778" s="45"/>
      <c r="B778" s="45"/>
      <c r="C778" s="45"/>
      <c r="D778" s="139" t="s">
        <v>967</v>
      </c>
      <c r="E778" s="125"/>
      <c r="F778" s="125">
        <f>F779+F783+F787+F793</f>
        <v>65468928</v>
      </c>
      <c r="G778" s="125"/>
      <c r="H778" s="125"/>
    </row>
    <row r="779" spans="1:8" ht="18.75" customHeight="1" thickBot="1" thickTop="1">
      <c r="A779" s="381">
        <v>700</v>
      </c>
      <c r="B779" s="382"/>
      <c r="C779" s="382"/>
      <c r="D779" s="383" t="s">
        <v>433</v>
      </c>
      <c r="E779" s="384"/>
      <c r="F779" s="384">
        <f>F780</f>
        <v>2100000</v>
      </c>
      <c r="G779" s="384"/>
      <c r="H779" s="384"/>
    </row>
    <row r="780" spans="1:8" s="1" customFormat="1" ht="19.5" customHeight="1">
      <c r="A780" s="2"/>
      <c r="B780" s="3">
        <v>70005</v>
      </c>
      <c r="C780" s="3"/>
      <c r="D780" s="67" t="s">
        <v>435</v>
      </c>
      <c r="E780" s="43"/>
      <c r="F780" s="43">
        <f>F781</f>
        <v>2100000</v>
      </c>
      <c r="G780" s="43"/>
      <c r="H780" s="43"/>
    </row>
    <row r="781" spans="1:8" s="1" customFormat="1" ht="17.25" customHeight="1">
      <c r="A781" s="2"/>
      <c r="B781" s="2"/>
      <c r="C781" s="2"/>
      <c r="D781" s="101" t="s">
        <v>906</v>
      </c>
      <c r="E781" s="44"/>
      <c r="F781" s="44">
        <f>F782</f>
        <v>2100000</v>
      </c>
      <c r="G781" s="44"/>
      <c r="H781" s="44"/>
    </row>
    <row r="782" spans="1:8" s="1" customFormat="1" ht="27" customHeight="1">
      <c r="A782" s="22"/>
      <c r="B782" s="22"/>
      <c r="C782" s="19">
        <v>2360</v>
      </c>
      <c r="D782" s="20" t="s">
        <v>454</v>
      </c>
      <c r="E782" s="97"/>
      <c r="F782" s="97">
        <v>2100000</v>
      </c>
      <c r="G782" s="97"/>
      <c r="H782" s="97"/>
    </row>
    <row r="783" spans="1:8" ht="19.5" customHeight="1" thickBot="1">
      <c r="A783" s="425">
        <v>754</v>
      </c>
      <c r="B783" s="405"/>
      <c r="C783" s="405"/>
      <c r="D783" s="426" t="s">
        <v>441</v>
      </c>
      <c r="E783" s="406"/>
      <c r="F783" s="406">
        <f>F784</f>
        <v>5000</v>
      </c>
      <c r="G783" s="406"/>
      <c r="H783" s="406"/>
    </row>
    <row r="784" spans="1:8" s="1" customFormat="1" ht="18" customHeight="1">
      <c r="A784" s="2"/>
      <c r="B784" s="3">
        <v>75411</v>
      </c>
      <c r="C784" s="3"/>
      <c r="D784" s="67" t="s">
        <v>442</v>
      </c>
      <c r="E784" s="43"/>
      <c r="F784" s="43">
        <f>F785</f>
        <v>5000</v>
      </c>
      <c r="G784" s="43"/>
      <c r="H784" s="43"/>
    </row>
    <row r="785" spans="1:8" s="1" customFormat="1" ht="18" customHeight="1">
      <c r="A785" s="2"/>
      <c r="B785" s="2"/>
      <c r="C785" s="5"/>
      <c r="D785" s="101" t="s">
        <v>666</v>
      </c>
      <c r="E785" s="44"/>
      <c r="F785" s="44">
        <f>F786</f>
        <v>5000</v>
      </c>
      <c r="G785" s="44"/>
      <c r="H785" s="44"/>
    </row>
    <row r="786" spans="1:8" s="1" customFormat="1" ht="24.75" customHeight="1">
      <c r="A786" s="22"/>
      <c r="B786" s="22"/>
      <c r="C786" s="19">
        <v>2360</v>
      </c>
      <c r="D786" s="20" t="s">
        <v>454</v>
      </c>
      <c r="E786" s="97"/>
      <c r="F786" s="97">
        <v>5000</v>
      </c>
      <c r="G786" s="97"/>
      <c r="H786" s="97"/>
    </row>
    <row r="787" spans="1:8" ht="26.25" thickBot="1">
      <c r="A787" s="381">
        <v>756</v>
      </c>
      <c r="B787" s="382"/>
      <c r="C787" s="382"/>
      <c r="D787" s="383" t="s">
        <v>380</v>
      </c>
      <c r="E787" s="384"/>
      <c r="F787" s="384">
        <f>F788</f>
        <v>63358928</v>
      </c>
      <c r="G787" s="384"/>
      <c r="H787" s="384"/>
    </row>
    <row r="788" spans="1:8" s="1" customFormat="1" ht="18.75" customHeight="1">
      <c r="A788" s="2"/>
      <c r="B788" s="3">
        <v>75622</v>
      </c>
      <c r="C788" s="3"/>
      <c r="D788" s="67" t="s">
        <v>968</v>
      </c>
      <c r="E788" s="43"/>
      <c r="F788" s="43">
        <f>F789+F791</f>
        <v>63358928</v>
      </c>
      <c r="G788" s="43"/>
      <c r="H788" s="43"/>
    </row>
    <row r="789" spans="1:8" s="1" customFormat="1" ht="18" customHeight="1">
      <c r="A789" s="2"/>
      <c r="B789" s="2"/>
      <c r="C789" s="5"/>
      <c r="D789" s="101" t="s">
        <v>879</v>
      </c>
      <c r="E789" s="44"/>
      <c r="F789" s="44">
        <f>F790</f>
        <v>59358928</v>
      </c>
      <c r="G789" s="44"/>
      <c r="H789" s="44"/>
    </row>
    <row r="790" spans="1:8" s="1" customFormat="1" ht="18" customHeight="1">
      <c r="A790" s="18"/>
      <c r="B790" s="18"/>
      <c r="C790" s="68" t="s">
        <v>1078</v>
      </c>
      <c r="D790" s="69" t="s">
        <v>381</v>
      </c>
      <c r="E790" s="97"/>
      <c r="F790" s="97">
        <v>59358928</v>
      </c>
      <c r="G790" s="97"/>
      <c r="H790" s="97"/>
    </row>
    <row r="791" spans="1:8" s="1" customFormat="1" ht="18" customHeight="1">
      <c r="A791" s="18"/>
      <c r="B791" s="18"/>
      <c r="C791" s="21"/>
      <c r="D791" s="101" t="s">
        <v>382</v>
      </c>
      <c r="E791" s="44"/>
      <c r="F791" s="44">
        <f>F792</f>
        <v>4000000</v>
      </c>
      <c r="G791" s="44"/>
      <c r="H791" s="44"/>
    </row>
    <row r="792" spans="1:8" s="1" customFormat="1" ht="18" customHeight="1">
      <c r="A792" s="22"/>
      <c r="B792" s="22"/>
      <c r="C792" s="68" t="s">
        <v>1079</v>
      </c>
      <c r="D792" s="69" t="s">
        <v>840</v>
      </c>
      <c r="E792" s="97"/>
      <c r="F792" s="97">
        <v>4000000</v>
      </c>
      <c r="G792" s="97"/>
      <c r="H792" s="97"/>
    </row>
    <row r="793" spans="1:8" ht="18.75" customHeight="1" thickBot="1">
      <c r="A793" s="381">
        <v>852</v>
      </c>
      <c r="B793" s="382"/>
      <c r="C793" s="382"/>
      <c r="D793" s="383" t="s">
        <v>129</v>
      </c>
      <c r="E793" s="384"/>
      <c r="F793" s="384">
        <f>F794</f>
        <v>5000</v>
      </c>
      <c r="G793" s="384"/>
      <c r="H793" s="384"/>
    </row>
    <row r="794" spans="1:8" s="1" customFormat="1" ht="18.75" customHeight="1">
      <c r="A794" s="2"/>
      <c r="B794" s="3">
        <v>85203</v>
      </c>
      <c r="C794" s="3"/>
      <c r="D794" s="67" t="s">
        <v>126</v>
      </c>
      <c r="E794" s="43"/>
      <c r="F794" s="43">
        <f>F795</f>
        <v>5000</v>
      </c>
      <c r="G794" s="43"/>
      <c r="H794" s="43"/>
    </row>
    <row r="795" spans="1:8" s="1" customFormat="1" ht="25.5" customHeight="1">
      <c r="A795" s="2"/>
      <c r="B795" s="2"/>
      <c r="C795" s="5"/>
      <c r="D795" s="101" t="s">
        <v>275</v>
      </c>
      <c r="E795" s="44"/>
      <c r="F795" s="44">
        <f>F796</f>
        <v>5000</v>
      </c>
      <c r="G795" s="44"/>
      <c r="H795" s="44"/>
    </row>
    <row r="796" spans="1:8" s="1" customFormat="1" ht="24.75" customHeight="1">
      <c r="A796" s="18"/>
      <c r="B796" s="18"/>
      <c r="C796" s="19">
        <v>2360</v>
      </c>
      <c r="D796" s="20" t="s">
        <v>454</v>
      </c>
      <c r="E796" s="97"/>
      <c r="F796" s="97">
        <v>5000</v>
      </c>
      <c r="G796" s="97"/>
      <c r="H796" s="97"/>
    </row>
    <row r="797" spans="1:8" s="8" customFormat="1" ht="18.75" customHeight="1" thickBot="1">
      <c r="A797" s="45"/>
      <c r="B797" s="45"/>
      <c r="C797" s="45"/>
      <c r="D797" s="46" t="s">
        <v>455</v>
      </c>
      <c r="E797" s="24"/>
      <c r="F797" s="24">
        <f>F798</f>
        <v>142173147</v>
      </c>
      <c r="G797" s="24"/>
      <c r="H797" s="24"/>
    </row>
    <row r="798" spans="1:8" ht="18.75" customHeight="1" thickBot="1" thickTop="1">
      <c r="A798" s="381">
        <v>758</v>
      </c>
      <c r="B798" s="382"/>
      <c r="C798" s="382"/>
      <c r="D798" s="383" t="s">
        <v>446</v>
      </c>
      <c r="E798" s="384"/>
      <c r="F798" s="384">
        <f>F799+F805+F802</f>
        <v>142173147</v>
      </c>
      <c r="G798" s="384"/>
      <c r="H798" s="384"/>
    </row>
    <row r="799" spans="1:8" s="1" customFormat="1" ht="17.25" customHeight="1">
      <c r="A799" s="2"/>
      <c r="B799" s="3">
        <v>75801</v>
      </c>
      <c r="C799" s="35"/>
      <c r="D799" s="23" t="s">
        <v>662</v>
      </c>
      <c r="E799" s="34"/>
      <c r="F799" s="34">
        <f>F800</f>
        <v>132976929</v>
      </c>
      <c r="G799" s="34"/>
      <c r="H799" s="34"/>
    </row>
    <row r="800" spans="1:8" s="1" customFormat="1" ht="18" customHeight="1">
      <c r="A800" s="86"/>
      <c r="B800" s="122"/>
      <c r="C800" s="122"/>
      <c r="D800" s="29" t="s">
        <v>663</v>
      </c>
      <c r="E800" s="17"/>
      <c r="F800" s="17">
        <f>F801</f>
        <v>132976929</v>
      </c>
      <c r="G800" s="17"/>
      <c r="H800" s="17"/>
    </row>
    <row r="801" spans="1:8" s="1" customFormat="1" ht="18" customHeight="1">
      <c r="A801" s="18"/>
      <c r="B801" s="22"/>
      <c r="C801" s="52">
        <v>2920</v>
      </c>
      <c r="D801" s="27" t="s">
        <v>664</v>
      </c>
      <c r="E801" s="6"/>
      <c r="F801" s="6">
        <f>132731929+245000</f>
        <v>132976929</v>
      </c>
      <c r="G801" s="6"/>
      <c r="H801" s="6"/>
    </row>
    <row r="802" spans="1:8" ht="19.5" customHeight="1">
      <c r="A802" s="934"/>
      <c r="B802" s="952">
        <v>75802</v>
      </c>
      <c r="C802" s="944"/>
      <c r="D802" s="936" t="s">
        <v>117</v>
      </c>
      <c r="E802" s="937"/>
      <c r="F802" s="937">
        <f>F803</f>
        <v>3200000</v>
      </c>
      <c r="G802" s="937"/>
      <c r="H802" s="937"/>
    </row>
    <row r="803" spans="1:8" ht="19.5" customHeight="1">
      <c r="A803" s="938"/>
      <c r="B803" s="917"/>
      <c r="C803" s="938"/>
      <c r="D803" s="904" t="s">
        <v>118</v>
      </c>
      <c r="E803" s="939"/>
      <c r="F803" s="939">
        <f>F804</f>
        <v>3200000</v>
      </c>
      <c r="G803" s="939"/>
      <c r="H803" s="939"/>
    </row>
    <row r="804" spans="1:8" ht="19.5" customHeight="1">
      <c r="A804" s="908"/>
      <c r="B804" s="919"/>
      <c r="C804" s="908">
        <v>2780</v>
      </c>
      <c r="D804" s="953" t="s">
        <v>119</v>
      </c>
      <c r="E804" s="942"/>
      <c r="F804" s="942">
        <v>3200000</v>
      </c>
      <c r="G804" s="942"/>
      <c r="H804" s="943"/>
    </row>
    <row r="805" spans="1:8" s="1" customFormat="1" ht="18.75" customHeight="1">
      <c r="A805" s="2"/>
      <c r="B805" s="3">
        <v>75832</v>
      </c>
      <c r="C805" s="35"/>
      <c r="D805" s="23" t="s">
        <v>1039</v>
      </c>
      <c r="E805" s="34"/>
      <c r="F805" s="34">
        <f>F806</f>
        <v>5996218</v>
      </c>
      <c r="G805" s="34"/>
      <c r="H805" s="34"/>
    </row>
    <row r="806" spans="1:8" s="1" customFormat="1" ht="18" customHeight="1">
      <c r="A806" s="86"/>
      <c r="B806" s="122"/>
      <c r="C806" s="122"/>
      <c r="D806" s="29" t="s">
        <v>1105</v>
      </c>
      <c r="E806" s="17"/>
      <c r="F806" s="17">
        <f>F807</f>
        <v>5996218</v>
      </c>
      <c r="G806" s="17"/>
      <c r="H806" s="17"/>
    </row>
    <row r="807" spans="1:8" s="1" customFormat="1" ht="18" customHeight="1">
      <c r="A807" s="18"/>
      <c r="B807" s="18"/>
      <c r="C807" s="52">
        <v>2920</v>
      </c>
      <c r="D807" s="27" t="s">
        <v>664</v>
      </c>
      <c r="E807" s="6"/>
      <c r="F807" s="6">
        <v>5996218</v>
      </c>
      <c r="G807" s="6"/>
      <c r="H807" s="6"/>
    </row>
    <row r="808" spans="1:8" s="8" customFormat="1" ht="19.5" customHeight="1" thickBot="1">
      <c r="A808" s="45"/>
      <c r="B808" s="45"/>
      <c r="C808" s="45"/>
      <c r="D808" s="62" t="s">
        <v>403</v>
      </c>
      <c r="E808" s="24"/>
      <c r="F808" s="24">
        <f>F809+F816+F843+F862+F875</f>
        <v>30593287</v>
      </c>
      <c r="G808" s="24"/>
      <c r="H808" s="24"/>
    </row>
    <row r="809" spans="1:8" ht="18.75" customHeight="1" thickBot="1" thickTop="1">
      <c r="A809" s="381">
        <v>600</v>
      </c>
      <c r="B809" s="382"/>
      <c r="C809" s="382"/>
      <c r="D809" s="383" t="s">
        <v>525</v>
      </c>
      <c r="E809" s="384"/>
      <c r="F809" s="384">
        <f>F810+F813</f>
        <v>20687527</v>
      </c>
      <c r="G809" s="384"/>
      <c r="H809" s="384"/>
    </row>
    <row r="810" spans="1:8" s="8" customFormat="1" ht="18.75" customHeight="1">
      <c r="A810" s="1036"/>
      <c r="B810" s="1031">
        <v>60015</v>
      </c>
      <c r="C810" s="1031"/>
      <c r="D810" s="1037" t="s">
        <v>1113</v>
      </c>
      <c r="E810" s="1038"/>
      <c r="F810" s="1038">
        <f>F811</f>
        <v>19545291</v>
      </c>
      <c r="G810" s="1038"/>
      <c r="H810" s="1038"/>
    </row>
    <row r="811" spans="1:8" s="8" customFormat="1" ht="24.75" customHeight="1">
      <c r="A811" s="47"/>
      <c r="B811" s="47"/>
      <c r="C811" s="28"/>
      <c r="D811" s="29" t="s">
        <v>458</v>
      </c>
      <c r="E811" s="44"/>
      <c r="F811" s="44">
        <f>F812</f>
        <v>19545291</v>
      </c>
      <c r="G811" s="44"/>
      <c r="H811" s="44"/>
    </row>
    <row r="812" spans="1:8" s="8" customFormat="1" ht="24.75" customHeight="1">
      <c r="A812" s="50"/>
      <c r="B812" s="45"/>
      <c r="C812" s="26">
        <v>6298</v>
      </c>
      <c r="D812" s="27" t="s">
        <v>931</v>
      </c>
      <c r="E812" s="98"/>
      <c r="F812" s="98">
        <v>19545291</v>
      </c>
      <c r="G812" s="51"/>
      <c r="H812" s="51"/>
    </row>
    <row r="813" spans="1:8" s="8" customFormat="1" ht="18.75" customHeight="1">
      <c r="A813" s="50"/>
      <c r="B813" s="13">
        <v>60095</v>
      </c>
      <c r="C813" s="13"/>
      <c r="D813" s="48" t="s">
        <v>100</v>
      </c>
      <c r="E813" s="49"/>
      <c r="F813" s="49">
        <f>F814</f>
        <v>1142236</v>
      </c>
      <c r="G813" s="49"/>
      <c r="H813" s="49"/>
    </row>
    <row r="814" spans="1:8" s="8" customFormat="1" ht="28.5" customHeight="1">
      <c r="A814" s="50"/>
      <c r="B814" s="50"/>
      <c r="C814" s="30"/>
      <c r="D814" s="29" t="s">
        <v>907</v>
      </c>
      <c r="E814" s="44"/>
      <c r="F814" s="44">
        <f>F815</f>
        <v>1142236</v>
      </c>
      <c r="G814" s="44"/>
      <c r="H814" s="44"/>
    </row>
    <row r="815" spans="1:8" s="8" customFormat="1" ht="27" customHeight="1">
      <c r="A815" s="45"/>
      <c r="B815" s="45"/>
      <c r="C815" s="26">
        <v>6430</v>
      </c>
      <c r="D815" s="27" t="s">
        <v>48</v>
      </c>
      <c r="E815" s="98"/>
      <c r="F815" s="98">
        <v>1142236</v>
      </c>
      <c r="G815" s="51"/>
      <c r="H815" s="51"/>
    </row>
    <row r="816" spans="1:8" ht="19.5" customHeight="1" thickBot="1">
      <c r="A816" s="381">
        <v>801</v>
      </c>
      <c r="B816" s="382"/>
      <c r="C816" s="382"/>
      <c r="D816" s="383" t="s">
        <v>448</v>
      </c>
      <c r="E816" s="384"/>
      <c r="F816" s="384">
        <f>F820+F823+F834+F837+F817</f>
        <v>1956456</v>
      </c>
      <c r="G816" s="384"/>
      <c r="H816" s="384"/>
    </row>
    <row r="817" spans="1:8" s="8" customFormat="1" ht="19.5" customHeight="1">
      <c r="A817" s="50"/>
      <c r="B817" s="3">
        <v>80102</v>
      </c>
      <c r="C817" s="3"/>
      <c r="D817" s="33" t="s">
        <v>247</v>
      </c>
      <c r="E817" s="43"/>
      <c r="F817" s="43">
        <f>F818</f>
        <v>3010</v>
      </c>
      <c r="G817" s="43"/>
      <c r="H817" s="43"/>
    </row>
    <row r="818" spans="1:8" s="8" customFormat="1" ht="26.25" customHeight="1">
      <c r="A818" s="50"/>
      <c r="B818" s="50"/>
      <c r="C818" s="18"/>
      <c r="D818" s="129" t="s">
        <v>574</v>
      </c>
      <c r="E818" s="44"/>
      <c r="F818" s="44">
        <f>F819</f>
        <v>3010</v>
      </c>
      <c r="G818" s="44"/>
      <c r="H818" s="44"/>
    </row>
    <row r="819" spans="1:8" s="8" customFormat="1" ht="26.25" customHeight="1">
      <c r="A819" s="50"/>
      <c r="B819" s="45"/>
      <c r="C819" s="22">
        <v>2130</v>
      </c>
      <c r="D819" s="27" t="s">
        <v>969</v>
      </c>
      <c r="E819" s="98"/>
      <c r="F819" s="98">
        <v>3010</v>
      </c>
      <c r="G819" s="51"/>
      <c r="H819" s="51"/>
    </row>
    <row r="820" spans="1:8" s="8" customFormat="1" ht="19.5" customHeight="1">
      <c r="A820" s="50"/>
      <c r="B820" s="3">
        <v>80120</v>
      </c>
      <c r="C820" s="3"/>
      <c r="D820" s="33" t="s">
        <v>814</v>
      </c>
      <c r="E820" s="43"/>
      <c r="F820" s="43">
        <f>F821</f>
        <v>4852</v>
      </c>
      <c r="G820" s="43"/>
      <c r="H820" s="43"/>
    </row>
    <row r="821" spans="1:8" s="8" customFormat="1" ht="25.5" customHeight="1">
      <c r="A821" s="50"/>
      <c r="B821" s="50"/>
      <c r="C821" s="18"/>
      <c r="D821" s="129" t="s">
        <v>933</v>
      </c>
      <c r="E821" s="44"/>
      <c r="F821" s="44">
        <f>F822</f>
        <v>4852</v>
      </c>
      <c r="G821" s="44"/>
      <c r="H821" s="44"/>
    </row>
    <row r="822" spans="1:8" s="8" customFormat="1" ht="25.5" customHeight="1">
      <c r="A822" s="50"/>
      <c r="B822" s="45"/>
      <c r="C822" s="22">
        <v>2707</v>
      </c>
      <c r="D822" s="121" t="s">
        <v>741</v>
      </c>
      <c r="E822" s="98"/>
      <c r="F822" s="98">
        <v>4852</v>
      </c>
      <c r="G822" s="51"/>
      <c r="H822" s="51"/>
    </row>
    <row r="823" spans="1:8" s="8" customFormat="1" ht="18.75" customHeight="1">
      <c r="A823" s="50"/>
      <c r="B823" s="3">
        <v>80130</v>
      </c>
      <c r="C823" s="140"/>
      <c r="D823" s="53" t="s">
        <v>494</v>
      </c>
      <c r="E823" s="43"/>
      <c r="F823" s="43">
        <f>F824+F826+F829+F831</f>
        <v>1815939</v>
      </c>
      <c r="G823" s="43"/>
      <c r="H823" s="43"/>
    </row>
    <row r="824" spans="1:8" s="8" customFormat="1" ht="18.75" customHeight="1">
      <c r="A824" s="50"/>
      <c r="B824" s="50"/>
      <c r="C824" s="18"/>
      <c r="D824" s="129" t="s">
        <v>932</v>
      </c>
      <c r="E824" s="44"/>
      <c r="F824" s="44">
        <f>F825</f>
        <v>1700000</v>
      </c>
      <c r="G824" s="44"/>
      <c r="H824" s="44"/>
    </row>
    <row r="825" spans="1:8" s="8" customFormat="1" ht="26.25" customHeight="1">
      <c r="A825" s="50"/>
      <c r="B825" s="50"/>
      <c r="C825" s="52">
        <v>6295</v>
      </c>
      <c r="D825" s="130" t="s">
        <v>931</v>
      </c>
      <c r="E825" s="98"/>
      <c r="F825" s="98">
        <v>1700000</v>
      </c>
      <c r="G825" s="51"/>
      <c r="H825" s="51"/>
    </row>
    <row r="826" spans="1:8" s="8" customFormat="1" ht="26.25" customHeight="1">
      <c r="A826" s="50"/>
      <c r="B826" s="50"/>
      <c r="C826" s="18"/>
      <c r="D826" s="129" t="s">
        <v>933</v>
      </c>
      <c r="E826" s="44"/>
      <c r="F826" s="44">
        <f>F827</f>
        <v>3939</v>
      </c>
      <c r="G826" s="44"/>
      <c r="H826" s="44"/>
    </row>
    <row r="827" spans="1:8" s="8" customFormat="1" ht="26.25" customHeight="1">
      <c r="A827" s="45"/>
      <c r="B827" s="45"/>
      <c r="C827" s="22">
        <v>2707</v>
      </c>
      <c r="D827" s="121" t="s">
        <v>741</v>
      </c>
      <c r="E827" s="98"/>
      <c r="F827" s="98">
        <v>3939</v>
      </c>
      <c r="G827" s="51"/>
      <c r="H827" s="51"/>
    </row>
    <row r="828" ht="26.25" customHeight="1"/>
    <row r="829" spans="1:8" ht="26.25" customHeight="1">
      <c r="A829" s="56"/>
      <c r="B829" s="56"/>
      <c r="C829" s="1054"/>
      <c r="D829" s="1055" t="s">
        <v>908</v>
      </c>
      <c r="E829" s="57"/>
      <c r="F829" s="57">
        <f>F830</f>
        <v>12000</v>
      </c>
      <c r="G829" s="57"/>
      <c r="H829" s="57"/>
    </row>
    <row r="830" spans="1:8" s="8" customFormat="1" ht="26.25" customHeight="1">
      <c r="A830" s="50"/>
      <c r="B830" s="50"/>
      <c r="C830" s="26">
        <v>2707</v>
      </c>
      <c r="D830" s="27" t="s">
        <v>741</v>
      </c>
      <c r="E830" s="98"/>
      <c r="F830" s="98">
        <v>12000</v>
      </c>
      <c r="G830" s="54"/>
      <c r="H830" s="54"/>
    </row>
    <row r="831" spans="1:8" s="1" customFormat="1" ht="30" customHeight="1">
      <c r="A831" s="901"/>
      <c r="B831" s="902"/>
      <c r="C831" s="903"/>
      <c r="D831" s="904" t="s">
        <v>120</v>
      </c>
      <c r="E831" s="905"/>
      <c r="F831" s="905">
        <f>SUM(F832:F833)</f>
        <v>100000</v>
      </c>
      <c r="G831" s="905"/>
      <c r="H831" s="905"/>
    </row>
    <row r="832" spans="1:8" s="1" customFormat="1" ht="25.5" customHeight="1">
      <c r="A832" s="906"/>
      <c r="B832" s="907"/>
      <c r="C832" s="908">
        <v>2708</v>
      </c>
      <c r="D832" s="78" t="s">
        <v>741</v>
      </c>
      <c r="E832" s="130"/>
      <c r="F832" s="130">
        <v>75000</v>
      </c>
      <c r="G832" s="130"/>
      <c r="H832" s="909"/>
    </row>
    <row r="833" spans="1:8" s="1" customFormat="1" ht="25.5" customHeight="1">
      <c r="A833" s="918"/>
      <c r="B833" s="1039"/>
      <c r="C833" s="908">
        <v>2709</v>
      </c>
      <c r="D833" s="78" t="s">
        <v>741</v>
      </c>
      <c r="E833" s="130"/>
      <c r="F833" s="130">
        <v>25000</v>
      </c>
      <c r="G833" s="130"/>
      <c r="H833" s="909"/>
    </row>
    <row r="834" spans="1:8" s="8" customFormat="1" ht="19.5" customHeight="1">
      <c r="A834" s="47"/>
      <c r="B834" s="13">
        <v>80132</v>
      </c>
      <c r="C834" s="914"/>
      <c r="D834" s="915" t="s">
        <v>1112</v>
      </c>
      <c r="E834" s="49"/>
      <c r="F834" s="49">
        <f>F835</f>
        <v>27312</v>
      </c>
      <c r="G834" s="49"/>
      <c r="H834" s="49"/>
    </row>
    <row r="835" spans="1:8" s="8" customFormat="1" ht="29.25" customHeight="1">
      <c r="A835" s="50"/>
      <c r="B835" s="50"/>
      <c r="C835" s="30"/>
      <c r="D835" s="29" t="s">
        <v>624</v>
      </c>
      <c r="E835" s="44"/>
      <c r="F835" s="44">
        <f>F836</f>
        <v>27312</v>
      </c>
      <c r="G835" s="44"/>
      <c r="H835" s="44"/>
    </row>
    <row r="836" spans="1:8" s="8" customFormat="1" ht="27" customHeight="1">
      <c r="A836" s="50"/>
      <c r="B836" s="50"/>
      <c r="C836" s="26">
        <v>2708</v>
      </c>
      <c r="D836" s="27" t="s">
        <v>741</v>
      </c>
      <c r="E836" s="98"/>
      <c r="F836" s="98">
        <v>27312</v>
      </c>
      <c r="G836" s="51"/>
      <c r="H836" s="51"/>
    </row>
    <row r="837" spans="1:8" s="8" customFormat="1" ht="25.5">
      <c r="A837" s="50"/>
      <c r="B837" s="13">
        <v>80140</v>
      </c>
      <c r="C837" s="13"/>
      <c r="D837" s="60" t="s">
        <v>43</v>
      </c>
      <c r="E837" s="49"/>
      <c r="F837" s="49">
        <f>F838+F840</f>
        <v>105343</v>
      </c>
      <c r="G837" s="49"/>
      <c r="H837" s="49"/>
    </row>
    <row r="838" spans="1:8" s="8" customFormat="1" ht="27" customHeight="1">
      <c r="A838" s="50"/>
      <c r="B838" s="50"/>
      <c r="C838" s="18"/>
      <c r="D838" s="129" t="s">
        <v>933</v>
      </c>
      <c r="E838" s="44"/>
      <c r="F838" s="44">
        <f>F839</f>
        <v>5343</v>
      </c>
      <c r="G838" s="44"/>
      <c r="H838" s="44"/>
    </row>
    <row r="839" spans="1:8" s="8" customFormat="1" ht="27" customHeight="1">
      <c r="A839" s="50"/>
      <c r="B839" s="50"/>
      <c r="C839" s="22">
        <v>2707</v>
      </c>
      <c r="D839" s="121" t="s">
        <v>741</v>
      </c>
      <c r="E839" s="98"/>
      <c r="F839" s="98">
        <v>5343</v>
      </c>
      <c r="G839" s="51"/>
      <c r="H839" s="51"/>
    </row>
    <row r="840" spans="1:8" s="1" customFormat="1" ht="26.25" customHeight="1">
      <c r="A840" s="901"/>
      <c r="B840" s="917"/>
      <c r="C840" s="903"/>
      <c r="D840" s="904" t="s">
        <v>120</v>
      </c>
      <c r="E840" s="905"/>
      <c r="F840" s="905">
        <f>SUM(F841:F842)</f>
        <v>100000</v>
      </c>
      <c r="G840" s="905"/>
      <c r="H840" s="905"/>
    </row>
    <row r="841" spans="1:8" s="1" customFormat="1" ht="26.25" customHeight="1">
      <c r="A841" s="906"/>
      <c r="B841" s="916"/>
      <c r="C841" s="908">
        <v>2708</v>
      </c>
      <c r="D841" s="78" t="s">
        <v>741</v>
      </c>
      <c r="E841" s="130"/>
      <c r="F841" s="130">
        <v>75000</v>
      </c>
      <c r="G841" s="130"/>
      <c r="H841" s="121"/>
    </row>
    <row r="842" spans="1:8" s="1" customFormat="1" ht="26.25" customHeight="1">
      <c r="A842" s="918"/>
      <c r="B842" s="919"/>
      <c r="C842" s="908">
        <v>2709</v>
      </c>
      <c r="D842" s="78" t="s">
        <v>741</v>
      </c>
      <c r="E842" s="130"/>
      <c r="F842" s="130">
        <v>25000</v>
      </c>
      <c r="G842" s="130"/>
      <c r="H842" s="909"/>
    </row>
    <row r="843" spans="1:8" ht="17.25" customHeight="1" thickBot="1">
      <c r="A843" s="381">
        <v>852</v>
      </c>
      <c r="B843" s="382"/>
      <c r="C843" s="382"/>
      <c r="D843" s="383" t="s">
        <v>129</v>
      </c>
      <c r="E843" s="384"/>
      <c r="F843" s="384">
        <f>F844+F849+F856+F859</f>
        <v>7217912</v>
      </c>
      <c r="G843" s="384"/>
      <c r="H843" s="384"/>
    </row>
    <row r="844" spans="1:8" s="1" customFormat="1" ht="16.5" customHeight="1">
      <c r="A844" s="2"/>
      <c r="B844" s="3">
        <v>85201</v>
      </c>
      <c r="C844" s="58"/>
      <c r="D844" s="59" t="s">
        <v>55</v>
      </c>
      <c r="E844" s="43"/>
      <c r="F844" s="43">
        <f>F845+F847</f>
        <v>81037</v>
      </c>
      <c r="G844" s="43"/>
      <c r="H844" s="43"/>
    </row>
    <row r="845" spans="1:8" s="1" customFormat="1" ht="38.25">
      <c r="A845" s="86"/>
      <c r="B845" s="122"/>
      <c r="C845" s="142"/>
      <c r="D845" s="129" t="s">
        <v>977</v>
      </c>
      <c r="E845" s="17"/>
      <c r="F845" s="17">
        <f>F846</f>
        <v>76787</v>
      </c>
      <c r="G845" s="17"/>
      <c r="H845" s="17"/>
    </row>
    <row r="846" spans="1:8" s="1" customFormat="1" ht="27" customHeight="1">
      <c r="A846" s="18"/>
      <c r="B846" s="18"/>
      <c r="C846" s="26">
        <v>6430</v>
      </c>
      <c r="D846" s="27" t="s">
        <v>48</v>
      </c>
      <c r="E846" s="6"/>
      <c r="F846" s="6">
        <v>76787</v>
      </c>
      <c r="G846" s="6"/>
      <c r="H846" s="6"/>
    </row>
    <row r="847" spans="1:8" s="1" customFormat="1" ht="25.5">
      <c r="A847" s="86"/>
      <c r="B847" s="86"/>
      <c r="C847" s="142"/>
      <c r="D847" s="129" t="s">
        <v>376</v>
      </c>
      <c r="E847" s="17"/>
      <c r="F847" s="17">
        <f>F848</f>
        <v>4250</v>
      </c>
      <c r="G847" s="17"/>
      <c r="H847" s="17"/>
    </row>
    <row r="848" spans="1:8" s="1" customFormat="1" ht="27" customHeight="1">
      <c r="A848" s="18"/>
      <c r="B848" s="22"/>
      <c r="C848" s="26">
        <v>2130</v>
      </c>
      <c r="D848" s="27" t="s">
        <v>969</v>
      </c>
      <c r="E848" s="6"/>
      <c r="F848" s="6">
        <v>4250</v>
      </c>
      <c r="G848" s="6"/>
      <c r="H848" s="6"/>
    </row>
    <row r="849" spans="1:8" s="1" customFormat="1" ht="17.25" customHeight="1">
      <c r="A849" s="2"/>
      <c r="B849" s="3">
        <v>85202</v>
      </c>
      <c r="C849" s="35"/>
      <c r="D849" s="23" t="s">
        <v>125</v>
      </c>
      <c r="E849" s="43"/>
      <c r="F849" s="43">
        <f>F850+F854+F852</f>
        <v>7133000</v>
      </c>
      <c r="G849" s="43"/>
      <c r="H849" s="43"/>
    </row>
    <row r="850" spans="1:8" s="1" customFormat="1" ht="18.75" customHeight="1">
      <c r="A850" s="107"/>
      <c r="B850" s="1024"/>
      <c r="C850" s="1024"/>
      <c r="D850" s="1025" t="s">
        <v>657</v>
      </c>
      <c r="E850" s="1046"/>
      <c r="F850" s="1046">
        <f>F851</f>
        <v>6990000</v>
      </c>
      <c r="G850" s="1046"/>
      <c r="H850" s="1046"/>
    </row>
    <row r="851" spans="1:8" s="1" customFormat="1" ht="25.5">
      <c r="A851" s="18"/>
      <c r="B851" s="18"/>
      <c r="C851" s="52">
        <v>2130</v>
      </c>
      <c r="D851" s="27" t="s">
        <v>969</v>
      </c>
      <c r="E851" s="6"/>
      <c r="F851" s="6">
        <v>6990000</v>
      </c>
      <c r="G851" s="6"/>
      <c r="H851" s="6"/>
    </row>
    <row r="852" spans="1:8" s="1" customFormat="1" ht="25.5">
      <c r="A852" s="86"/>
      <c r="B852" s="86"/>
      <c r="C852" s="142"/>
      <c r="D852" s="129" t="s">
        <v>376</v>
      </c>
      <c r="E852" s="17"/>
      <c r="F852" s="17">
        <f>F853</f>
        <v>13000</v>
      </c>
      <c r="G852" s="17"/>
      <c r="H852" s="17"/>
    </row>
    <row r="853" spans="1:8" s="1" customFormat="1" ht="27" customHeight="1">
      <c r="A853" s="18"/>
      <c r="B853" s="18"/>
      <c r="C853" s="26">
        <v>2130</v>
      </c>
      <c r="D853" s="27" t="s">
        <v>969</v>
      </c>
      <c r="E853" s="6"/>
      <c r="F853" s="6">
        <v>13000</v>
      </c>
      <c r="G853" s="6"/>
      <c r="H853" s="6"/>
    </row>
    <row r="854" spans="1:8" s="1" customFormat="1" ht="25.5" customHeight="1">
      <c r="A854" s="86"/>
      <c r="B854" s="86"/>
      <c r="C854" s="142"/>
      <c r="D854" s="129" t="s">
        <v>678</v>
      </c>
      <c r="E854" s="17"/>
      <c r="F854" s="17">
        <f>F855</f>
        <v>130000</v>
      </c>
      <c r="G854" s="17"/>
      <c r="H854" s="17"/>
    </row>
    <row r="855" spans="1:8" s="1" customFormat="1" ht="25.5" customHeight="1">
      <c r="A855" s="22"/>
      <c r="B855" s="22"/>
      <c r="C855" s="26">
        <v>6430</v>
      </c>
      <c r="D855" s="27" t="s">
        <v>48</v>
      </c>
      <c r="E855" s="6"/>
      <c r="F855" s="6">
        <v>130000</v>
      </c>
      <c r="G855" s="6"/>
      <c r="H855" s="6"/>
    </row>
    <row r="856" spans="1:8" s="1" customFormat="1" ht="25.5">
      <c r="A856" s="5"/>
      <c r="B856" s="13">
        <v>85220</v>
      </c>
      <c r="C856" s="365"/>
      <c r="D856" s="60" t="s">
        <v>222</v>
      </c>
      <c r="E856" s="49"/>
      <c r="F856" s="49">
        <f>F857</f>
        <v>2375</v>
      </c>
      <c r="G856" s="49"/>
      <c r="H856" s="49"/>
    </row>
    <row r="857" spans="1:8" s="1" customFormat="1" ht="25.5">
      <c r="A857" s="86"/>
      <c r="B857" s="122"/>
      <c r="C857" s="142"/>
      <c r="D857" s="129" t="s">
        <v>376</v>
      </c>
      <c r="E857" s="17"/>
      <c r="F857" s="17">
        <f>F858</f>
        <v>2375</v>
      </c>
      <c r="G857" s="17"/>
      <c r="H857" s="17"/>
    </row>
    <row r="858" spans="1:8" s="1" customFormat="1" ht="25.5">
      <c r="A858" s="18"/>
      <c r="B858" s="18"/>
      <c r="C858" s="26">
        <v>2130</v>
      </c>
      <c r="D858" s="27" t="s">
        <v>969</v>
      </c>
      <c r="E858" s="6"/>
      <c r="F858" s="6">
        <v>2375</v>
      </c>
      <c r="G858" s="6"/>
      <c r="H858" s="6"/>
    </row>
    <row r="859" spans="1:8" s="1" customFormat="1" ht="19.5" customHeight="1">
      <c r="A859" s="2"/>
      <c r="B859" s="13">
        <v>85226</v>
      </c>
      <c r="C859" s="35"/>
      <c r="D859" s="23" t="s">
        <v>576</v>
      </c>
      <c r="E859" s="43"/>
      <c r="F859" s="43">
        <f>F860</f>
        <v>1500</v>
      </c>
      <c r="G859" s="43"/>
      <c r="H859" s="43"/>
    </row>
    <row r="860" spans="1:8" s="1" customFormat="1" ht="25.5">
      <c r="A860" s="86"/>
      <c r="B860" s="122"/>
      <c r="C860" s="142"/>
      <c r="D860" s="129" t="s">
        <v>376</v>
      </c>
      <c r="E860" s="17"/>
      <c r="F860" s="17">
        <f>F861</f>
        <v>1500</v>
      </c>
      <c r="G860" s="17"/>
      <c r="H860" s="17"/>
    </row>
    <row r="861" spans="1:8" s="1" customFormat="1" ht="25.5">
      <c r="A861" s="22"/>
      <c r="B861" s="22"/>
      <c r="C861" s="26">
        <v>2130</v>
      </c>
      <c r="D861" s="27" t="s">
        <v>969</v>
      </c>
      <c r="E861" s="6"/>
      <c r="F861" s="6">
        <v>1500</v>
      </c>
      <c r="G861" s="6"/>
      <c r="H861" s="6"/>
    </row>
    <row r="862" spans="1:8" ht="19.5" customHeight="1" thickBot="1">
      <c r="A862" s="381">
        <v>853</v>
      </c>
      <c r="B862" s="382"/>
      <c r="C862" s="382"/>
      <c r="D862" s="383" t="s">
        <v>277</v>
      </c>
      <c r="E862" s="384"/>
      <c r="F862" s="384">
        <f>F863+F866</f>
        <v>708592</v>
      </c>
      <c r="G862" s="384"/>
      <c r="H862" s="384"/>
    </row>
    <row r="863" spans="1:8" s="1" customFormat="1" ht="19.5" customHeight="1">
      <c r="A863" s="2"/>
      <c r="B863" s="3">
        <v>85322</v>
      </c>
      <c r="C863" s="35"/>
      <c r="D863" s="23" t="s">
        <v>893</v>
      </c>
      <c r="E863" s="43"/>
      <c r="F863" s="43">
        <f>F864</f>
        <v>518000</v>
      </c>
      <c r="G863" s="43"/>
      <c r="H863" s="43"/>
    </row>
    <row r="864" spans="1:8" s="1" customFormat="1" ht="27" customHeight="1">
      <c r="A864" s="86"/>
      <c r="B864" s="122"/>
      <c r="C864" s="122"/>
      <c r="D864" s="29" t="s">
        <v>894</v>
      </c>
      <c r="E864" s="17"/>
      <c r="F864" s="17">
        <f>F865</f>
        <v>518000</v>
      </c>
      <c r="G864" s="17"/>
      <c r="H864" s="17"/>
    </row>
    <row r="865" spans="1:8" s="1" customFormat="1" ht="38.25">
      <c r="A865" s="86"/>
      <c r="B865" s="107"/>
      <c r="C865" s="143">
        <v>2690</v>
      </c>
      <c r="D865" s="27" t="s">
        <v>460</v>
      </c>
      <c r="E865" s="6"/>
      <c r="F865" s="6">
        <v>518000</v>
      </c>
      <c r="G865" s="6"/>
      <c r="H865" s="6"/>
    </row>
    <row r="866" spans="1:8" s="1" customFormat="1" ht="19.5" customHeight="1">
      <c r="A866" s="86"/>
      <c r="B866" s="3">
        <v>85333</v>
      </c>
      <c r="C866" s="3"/>
      <c r="D866" s="23" t="s">
        <v>617</v>
      </c>
      <c r="E866" s="4"/>
      <c r="F866" s="4">
        <f>F867+F869+F871+F873</f>
        <v>190592</v>
      </c>
      <c r="G866" s="4"/>
      <c r="H866" s="4"/>
    </row>
    <row r="867" spans="1:8" s="1" customFormat="1" ht="16.5" customHeight="1">
      <c r="A867" s="86"/>
      <c r="B867" s="86"/>
      <c r="C867" s="18"/>
      <c r="D867" s="29" t="s">
        <v>224</v>
      </c>
      <c r="E867" s="17"/>
      <c r="F867" s="17">
        <f>F868</f>
        <v>22088</v>
      </c>
      <c r="G867" s="17"/>
      <c r="H867" s="17"/>
    </row>
    <row r="868" spans="1:8" s="1" customFormat="1" ht="25.5">
      <c r="A868" s="86"/>
      <c r="B868" s="86"/>
      <c r="C868" s="22">
        <v>2708</v>
      </c>
      <c r="D868" s="121" t="s">
        <v>741</v>
      </c>
      <c r="E868" s="6"/>
      <c r="F868" s="6">
        <v>22088</v>
      </c>
      <c r="G868" s="61"/>
      <c r="H868" s="61"/>
    </row>
    <row r="869" spans="1:8" s="1" customFormat="1" ht="25.5" customHeight="1">
      <c r="A869" s="86"/>
      <c r="B869" s="86"/>
      <c r="C869" s="18"/>
      <c r="D869" s="29" t="s">
        <v>679</v>
      </c>
      <c r="E869" s="17"/>
      <c r="F869" s="17">
        <f>F870</f>
        <v>64385</v>
      </c>
      <c r="G869" s="17"/>
      <c r="H869" s="17"/>
    </row>
    <row r="870" spans="1:8" s="1" customFormat="1" ht="25.5">
      <c r="A870" s="86"/>
      <c r="B870" s="86"/>
      <c r="C870" s="22">
        <v>2708</v>
      </c>
      <c r="D870" s="121" t="s">
        <v>741</v>
      </c>
      <c r="E870" s="6"/>
      <c r="F870" s="6">
        <v>64385</v>
      </c>
      <c r="G870" s="61"/>
      <c r="H870" s="61"/>
    </row>
    <row r="871" spans="1:8" s="1" customFormat="1" ht="25.5">
      <c r="A871" s="86"/>
      <c r="B871" s="86"/>
      <c r="C871" s="18"/>
      <c r="D871" s="29" t="s">
        <v>680</v>
      </c>
      <c r="E871" s="17"/>
      <c r="F871" s="17">
        <f>F872</f>
        <v>46068</v>
      </c>
      <c r="G871" s="17"/>
      <c r="H871" s="17"/>
    </row>
    <row r="872" spans="1:8" s="1" customFormat="1" ht="25.5">
      <c r="A872" s="107"/>
      <c r="B872" s="107"/>
      <c r="C872" s="22">
        <v>2708</v>
      </c>
      <c r="D872" s="121" t="s">
        <v>741</v>
      </c>
      <c r="E872" s="6"/>
      <c r="F872" s="6">
        <v>46068</v>
      </c>
      <c r="G872" s="61"/>
      <c r="H872" s="61"/>
    </row>
    <row r="873" spans="1:8" s="1" customFormat="1" ht="25.5" customHeight="1">
      <c r="A873" s="86"/>
      <c r="B873" s="86"/>
      <c r="C873" s="18"/>
      <c r="D873" s="134" t="s">
        <v>706</v>
      </c>
      <c r="E873" s="66"/>
      <c r="F873" s="66">
        <f>F874</f>
        <v>58051</v>
      </c>
      <c r="G873" s="66"/>
      <c r="H873" s="66"/>
    </row>
    <row r="874" spans="1:8" s="1" customFormat="1" ht="25.5" customHeight="1">
      <c r="A874" s="107"/>
      <c r="B874" s="107"/>
      <c r="C874" s="22">
        <v>2708</v>
      </c>
      <c r="D874" s="121" t="s">
        <v>741</v>
      </c>
      <c r="E874" s="6"/>
      <c r="F874" s="6">
        <v>58051</v>
      </c>
      <c r="G874" s="61"/>
      <c r="H874" s="61"/>
    </row>
    <row r="875" spans="1:8" s="1" customFormat="1" ht="19.5" customHeight="1" thickBot="1">
      <c r="A875" s="385">
        <v>854</v>
      </c>
      <c r="B875" s="374"/>
      <c r="C875" s="386"/>
      <c r="D875" s="387" t="s">
        <v>618</v>
      </c>
      <c r="E875" s="388"/>
      <c r="F875" s="388">
        <f>F876+F879</f>
        <v>22800</v>
      </c>
      <c r="G875" s="388"/>
      <c r="H875" s="388"/>
    </row>
    <row r="876" spans="1:8" s="8" customFormat="1" ht="19.5" customHeight="1">
      <c r="A876" s="50"/>
      <c r="B876" s="3">
        <v>85403</v>
      </c>
      <c r="C876" s="3"/>
      <c r="D876" s="33" t="s">
        <v>677</v>
      </c>
      <c r="E876" s="43"/>
      <c r="F876" s="43">
        <f>F877</f>
        <v>2000</v>
      </c>
      <c r="G876" s="43"/>
      <c r="H876" s="43"/>
    </row>
    <row r="877" spans="1:8" s="8" customFormat="1" ht="25.5">
      <c r="A877" s="50"/>
      <c r="B877" s="50"/>
      <c r="C877" s="18"/>
      <c r="D877" s="129" t="s">
        <v>707</v>
      </c>
      <c r="E877" s="44"/>
      <c r="F877" s="44">
        <f>F878</f>
        <v>2000</v>
      </c>
      <c r="G877" s="44"/>
      <c r="H877" s="44"/>
    </row>
    <row r="878" spans="1:8" s="8" customFormat="1" ht="25.5">
      <c r="A878" s="50"/>
      <c r="B878" s="45"/>
      <c r="C878" s="22">
        <v>2707</v>
      </c>
      <c r="D878" s="121" t="s">
        <v>741</v>
      </c>
      <c r="E878" s="98"/>
      <c r="F878" s="98">
        <v>2000</v>
      </c>
      <c r="G878" s="51"/>
      <c r="H878" s="51"/>
    </row>
    <row r="879" spans="1:8" s="8" customFormat="1" ht="19.5" customHeight="1">
      <c r="A879" s="50"/>
      <c r="B879" s="13">
        <v>85415</v>
      </c>
      <c r="C879" s="13"/>
      <c r="D879" s="48" t="s">
        <v>396</v>
      </c>
      <c r="E879" s="49"/>
      <c r="F879" s="49">
        <f>F880</f>
        <v>20800</v>
      </c>
      <c r="G879" s="49"/>
      <c r="H879" s="49"/>
    </row>
    <row r="880" spans="1:8" s="8" customFormat="1" ht="25.5">
      <c r="A880" s="50"/>
      <c r="B880" s="50"/>
      <c r="C880" s="18"/>
      <c r="D880" s="129" t="s">
        <v>660</v>
      </c>
      <c r="E880" s="44"/>
      <c r="F880" s="44">
        <f>F881</f>
        <v>20800</v>
      </c>
      <c r="G880" s="44"/>
      <c r="H880" s="44"/>
    </row>
    <row r="881" spans="1:8" s="8" customFormat="1" ht="25.5">
      <c r="A881" s="50"/>
      <c r="B881" s="50"/>
      <c r="C881" s="22">
        <v>2130</v>
      </c>
      <c r="D881" s="27" t="s">
        <v>969</v>
      </c>
      <c r="E881" s="98"/>
      <c r="F881" s="98">
        <v>20800</v>
      </c>
      <c r="G881" s="51"/>
      <c r="H881" s="51"/>
    </row>
    <row r="882" spans="1:8" s="8" customFormat="1" ht="29.25" thickBot="1">
      <c r="A882" s="45"/>
      <c r="B882" s="45"/>
      <c r="C882" s="45"/>
      <c r="D882" s="64" t="s">
        <v>974</v>
      </c>
      <c r="E882" s="24"/>
      <c r="F882" s="24">
        <f>F883+F887+F899+F895</f>
        <v>4853973</v>
      </c>
      <c r="G882" s="24"/>
      <c r="H882" s="24"/>
    </row>
    <row r="883" spans="1:8" s="1" customFormat="1" ht="19.5" customHeight="1" thickBot="1" thickTop="1">
      <c r="A883" s="385">
        <v>600</v>
      </c>
      <c r="B883" s="374"/>
      <c r="C883" s="386"/>
      <c r="D883" s="387" t="s">
        <v>525</v>
      </c>
      <c r="E883" s="388"/>
      <c r="F883" s="388">
        <f>F884</f>
        <v>1544500</v>
      </c>
      <c r="G883" s="388"/>
      <c r="H883" s="388"/>
    </row>
    <row r="884" spans="1:8" s="8" customFormat="1" ht="19.5" customHeight="1">
      <c r="A884" s="50"/>
      <c r="B884" s="3">
        <v>60015</v>
      </c>
      <c r="C884" s="58"/>
      <c r="D884" s="59" t="s">
        <v>1113</v>
      </c>
      <c r="E884" s="43"/>
      <c r="F884" s="43">
        <f>F885</f>
        <v>1544500</v>
      </c>
      <c r="G884" s="43"/>
      <c r="H884" s="43"/>
    </row>
    <row r="885" spans="1:8" s="8" customFormat="1" ht="25.5">
      <c r="A885" s="50"/>
      <c r="B885" s="50"/>
      <c r="C885" s="30"/>
      <c r="D885" s="29" t="s">
        <v>628</v>
      </c>
      <c r="E885" s="44"/>
      <c r="F885" s="44">
        <f>F886</f>
        <v>1544500</v>
      </c>
      <c r="G885" s="44"/>
      <c r="H885" s="44"/>
    </row>
    <row r="886" spans="1:8" s="8" customFormat="1" ht="27.75" customHeight="1">
      <c r="A886" s="50"/>
      <c r="B886" s="45"/>
      <c r="C886" s="26">
        <v>6423</v>
      </c>
      <c r="D886" s="20" t="s">
        <v>178</v>
      </c>
      <c r="E886" s="98"/>
      <c r="F886" s="98">
        <v>1544500</v>
      </c>
      <c r="G886" s="51"/>
      <c r="H886" s="51"/>
    </row>
    <row r="887" spans="1:8" s="1" customFormat="1" ht="21" customHeight="1" thickBot="1">
      <c r="A887" s="385">
        <v>852</v>
      </c>
      <c r="B887" s="374"/>
      <c r="C887" s="386"/>
      <c r="D887" s="387" t="s">
        <v>129</v>
      </c>
      <c r="E887" s="388"/>
      <c r="F887" s="388">
        <f>F888+F891</f>
        <v>2460000</v>
      </c>
      <c r="G887" s="388"/>
      <c r="H887" s="388"/>
    </row>
    <row r="888" spans="1:8" s="1" customFormat="1" ht="21" customHeight="1">
      <c r="A888" s="2"/>
      <c r="B888" s="63">
        <v>85201</v>
      </c>
      <c r="C888" s="33"/>
      <c r="D888" s="37" t="s">
        <v>773</v>
      </c>
      <c r="E888" s="34"/>
      <c r="F888" s="34">
        <f>F889</f>
        <v>2160000</v>
      </c>
      <c r="G888" s="34"/>
      <c r="H888" s="34"/>
    </row>
    <row r="889" spans="1:8" s="1" customFormat="1" ht="26.25" customHeight="1">
      <c r="A889" s="86"/>
      <c r="B889" s="86"/>
      <c r="C889" s="122"/>
      <c r="D889" s="29" t="s">
        <v>667</v>
      </c>
      <c r="E889" s="17"/>
      <c r="F889" s="17">
        <f>F890</f>
        <v>2160000</v>
      </c>
      <c r="G889" s="17"/>
      <c r="H889" s="17"/>
    </row>
    <row r="890" spans="1:8" s="1" customFormat="1" ht="26.25" customHeight="1">
      <c r="A890" s="18"/>
      <c r="B890" s="22"/>
      <c r="C890" s="22">
        <v>2320</v>
      </c>
      <c r="D890" s="27" t="s">
        <v>668</v>
      </c>
      <c r="E890" s="6"/>
      <c r="F890" s="6">
        <v>2160000</v>
      </c>
      <c r="G890" s="6"/>
      <c r="H890" s="6"/>
    </row>
    <row r="891" spans="1:8" s="1" customFormat="1" ht="21" customHeight="1">
      <c r="A891" s="2"/>
      <c r="B891" s="63">
        <v>85204</v>
      </c>
      <c r="C891" s="33"/>
      <c r="D891" s="37" t="s">
        <v>289</v>
      </c>
      <c r="E891" s="34"/>
      <c r="F891" s="34">
        <f>F892</f>
        <v>300000</v>
      </c>
      <c r="G891" s="34"/>
      <c r="H891" s="34"/>
    </row>
    <row r="892" spans="1:8" s="1" customFormat="1" ht="27.75" customHeight="1">
      <c r="A892" s="86"/>
      <c r="B892" s="86"/>
      <c r="C892" s="122"/>
      <c r="D892" s="29" t="s">
        <v>404</v>
      </c>
      <c r="E892" s="17"/>
      <c r="F892" s="17">
        <f>F893</f>
        <v>300000</v>
      </c>
      <c r="G892" s="17"/>
      <c r="H892" s="17"/>
    </row>
    <row r="893" spans="1:8" s="1" customFormat="1" ht="27.75" customHeight="1">
      <c r="A893" s="22"/>
      <c r="B893" s="22"/>
      <c r="C893" s="22">
        <v>2320</v>
      </c>
      <c r="D893" s="27" t="s">
        <v>668</v>
      </c>
      <c r="E893" s="6"/>
      <c r="F893" s="6">
        <v>300000</v>
      </c>
      <c r="G893" s="6"/>
      <c r="H893" s="6"/>
    </row>
    <row r="894" ht="39" customHeight="1"/>
    <row r="895" spans="1:8" ht="18" customHeight="1" thickBot="1">
      <c r="A895" s="932">
        <v>853</v>
      </c>
      <c r="B895" s="932"/>
      <c r="C895" s="932"/>
      <c r="D895" s="933" t="s">
        <v>277</v>
      </c>
      <c r="E895" s="978"/>
      <c r="F895" s="979">
        <f>F896</f>
        <v>11558</v>
      </c>
      <c r="G895" s="978"/>
      <c r="H895" s="978"/>
    </row>
    <row r="896" spans="1:8" ht="18" customHeight="1">
      <c r="A896" s="934"/>
      <c r="B896" s="935">
        <v>85311</v>
      </c>
      <c r="C896" s="935"/>
      <c r="D896" s="980" t="s">
        <v>785</v>
      </c>
      <c r="E896" s="936"/>
      <c r="F896" s="937">
        <f>F897</f>
        <v>11558</v>
      </c>
      <c r="G896" s="936"/>
      <c r="H896" s="936"/>
    </row>
    <row r="897" spans="1:8" ht="25.5">
      <c r="A897" s="938"/>
      <c r="B897" s="938"/>
      <c r="C897" s="938"/>
      <c r="D897" s="904" t="s">
        <v>805</v>
      </c>
      <c r="E897" s="904"/>
      <c r="F897" s="939">
        <f>F898</f>
        <v>11558</v>
      </c>
      <c r="G897" s="904"/>
      <c r="H897" s="904"/>
    </row>
    <row r="898" spans="1:8" ht="25.5">
      <c r="A898" s="908"/>
      <c r="B898" s="908"/>
      <c r="C898" s="908">
        <v>2320</v>
      </c>
      <c r="D898" s="77" t="s">
        <v>668</v>
      </c>
      <c r="E898" s="78"/>
      <c r="F898" s="942">
        <v>11558</v>
      </c>
      <c r="G898" s="78"/>
      <c r="H898" s="981"/>
    </row>
    <row r="899" spans="1:8" ht="19.5" customHeight="1" thickBot="1">
      <c r="A899" s="381">
        <v>854</v>
      </c>
      <c r="B899" s="382"/>
      <c r="C899" s="382"/>
      <c r="D899" s="383" t="s">
        <v>618</v>
      </c>
      <c r="E899" s="384"/>
      <c r="F899" s="384">
        <f>F900</f>
        <v>837915</v>
      </c>
      <c r="G899" s="384"/>
      <c r="H899" s="384"/>
    </row>
    <row r="900" spans="1:8" s="1" customFormat="1" ht="19.5" customHeight="1">
      <c r="A900" s="18"/>
      <c r="B900" s="3">
        <v>85415</v>
      </c>
      <c r="C900" s="3"/>
      <c r="D900" s="23" t="s">
        <v>396</v>
      </c>
      <c r="E900" s="4"/>
      <c r="F900" s="4">
        <f>F901</f>
        <v>837915</v>
      </c>
      <c r="G900" s="4"/>
      <c r="H900" s="4"/>
    </row>
    <row r="901" spans="1:8" s="1" customFormat="1" ht="25.5" customHeight="1">
      <c r="A901" s="18"/>
      <c r="B901" s="18"/>
      <c r="C901" s="128"/>
      <c r="D901" s="29" t="s">
        <v>179</v>
      </c>
      <c r="E901" s="17"/>
      <c r="F901" s="17">
        <f>SUM(F902:F903)</f>
        <v>837915</v>
      </c>
      <c r="G901" s="9"/>
      <c r="H901" s="9"/>
    </row>
    <row r="902" spans="1:8" s="1" customFormat="1" ht="38.25">
      <c r="A902" s="18"/>
      <c r="B902" s="18"/>
      <c r="C902" s="22">
        <v>2888</v>
      </c>
      <c r="D902" s="69" t="s">
        <v>979</v>
      </c>
      <c r="E902" s="6"/>
      <c r="F902" s="6">
        <f>561528+8674</f>
        <v>570202</v>
      </c>
      <c r="G902" s="6"/>
      <c r="H902" s="6"/>
    </row>
    <row r="903" spans="1:8" s="1" customFormat="1" ht="42" customHeight="1">
      <c r="A903" s="18"/>
      <c r="B903" s="18"/>
      <c r="C903" s="144">
        <v>2889</v>
      </c>
      <c r="D903" s="1040" t="s">
        <v>979</v>
      </c>
      <c r="E903" s="65"/>
      <c r="F903" s="65">
        <f>263642+4071</f>
        <v>267713</v>
      </c>
      <c r="G903" s="65"/>
      <c r="H903" s="65"/>
    </row>
    <row r="904" spans="1:8" s="8" customFormat="1" ht="30.75" customHeight="1" thickBot="1">
      <c r="A904" s="45"/>
      <c r="B904" s="45"/>
      <c r="C904" s="45"/>
      <c r="D904" s="64" t="s">
        <v>658</v>
      </c>
      <c r="E904" s="24"/>
      <c r="F904" s="24">
        <f>F905+F909+F919+F926+F932+F939+F953</f>
        <v>25348978</v>
      </c>
      <c r="G904" s="24"/>
      <c r="H904" s="24"/>
    </row>
    <row r="905" spans="1:8" s="1" customFormat="1" ht="21" customHeight="1" thickBot="1" thickTop="1">
      <c r="A905" s="385">
        <v>700</v>
      </c>
      <c r="B905" s="389"/>
      <c r="C905" s="390"/>
      <c r="D905" s="391" t="s">
        <v>433</v>
      </c>
      <c r="E905" s="392"/>
      <c r="F905" s="392">
        <f>F906</f>
        <v>1001150</v>
      </c>
      <c r="G905" s="392"/>
      <c r="H905" s="392"/>
    </row>
    <row r="906" spans="1:8" s="1" customFormat="1" ht="21" customHeight="1">
      <c r="A906" s="2"/>
      <c r="B906" s="63">
        <v>70005</v>
      </c>
      <c r="C906" s="33"/>
      <c r="D906" s="37" t="s">
        <v>435</v>
      </c>
      <c r="E906" s="34"/>
      <c r="F906" s="34">
        <f>F907</f>
        <v>1001150</v>
      </c>
      <c r="G906" s="34"/>
      <c r="H906" s="34"/>
    </row>
    <row r="907" spans="1:8" s="1" customFormat="1" ht="27.75" customHeight="1">
      <c r="A907" s="86"/>
      <c r="B907" s="86"/>
      <c r="C907" s="122"/>
      <c r="D907" s="29" t="s">
        <v>727</v>
      </c>
      <c r="E907" s="17"/>
      <c r="F907" s="17">
        <f>F908</f>
        <v>1001150</v>
      </c>
      <c r="G907" s="17"/>
      <c r="H907" s="17"/>
    </row>
    <row r="908" spans="1:8" s="1" customFormat="1" ht="25.5">
      <c r="A908" s="22"/>
      <c r="B908" s="22"/>
      <c r="C908" s="52">
        <v>2110</v>
      </c>
      <c r="D908" s="27" t="s">
        <v>726</v>
      </c>
      <c r="E908" s="6"/>
      <c r="F908" s="6">
        <f>827500+173650</f>
        <v>1001150</v>
      </c>
      <c r="G908" s="6"/>
      <c r="H908" s="6"/>
    </row>
    <row r="909" spans="1:8" s="1" customFormat="1" ht="19.5" customHeight="1" thickBot="1">
      <c r="A909" s="385">
        <v>710</v>
      </c>
      <c r="B909" s="374"/>
      <c r="C909" s="386"/>
      <c r="D909" s="387" t="s">
        <v>436</v>
      </c>
      <c r="E909" s="388"/>
      <c r="F909" s="388">
        <f>F910+F913</f>
        <v>615661</v>
      </c>
      <c r="G909" s="388"/>
      <c r="H909" s="388"/>
    </row>
    <row r="910" spans="1:8" s="1" customFormat="1" ht="19.5" customHeight="1">
      <c r="A910" s="2"/>
      <c r="B910" s="63">
        <v>71013</v>
      </c>
      <c r="C910" s="33"/>
      <c r="D910" s="37" t="s">
        <v>490</v>
      </c>
      <c r="E910" s="34"/>
      <c r="F910" s="34">
        <f>F911</f>
        <v>100000</v>
      </c>
      <c r="G910" s="34"/>
      <c r="H910" s="34"/>
    </row>
    <row r="911" spans="1:8" s="1" customFormat="1" ht="19.5" customHeight="1">
      <c r="A911" s="86"/>
      <c r="B911" s="86"/>
      <c r="C911" s="122"/>
      <c r="D911" s="29" t="s">
        <v>171</v>
      </c>
      <c r="E911" s="17"/>
      <c r="F911" s="17">
        <f>F912</f>
        <v>100000</v>
      </c>
      <c r="G911" s="17"/>
      <c r="H911" s="17"/>
    </row>
    <row r="912" spans="1:8" s="1" customFormat="1" ht="25.5">
      <c r="A912" s="18"/>
      <c r="B912" s="22"/>
      <c r="C912" s="52">
        <v>2110</v>
      </c>
      <c r="D912" s="27" t="s">
        <v>726</v>
      </c>
      <c r="E912" s="6"/>
      <c r="F912" s="6">
        <v>100000</v>
      </c>
      <c r="G912" s="6"/>
      <c r="H912" s="6"/>
    </row>
    <row r="913" spans="1:8" s="1" customFormat="1" ht="19.5" customHeight="1">
      <c r="A913" s="2"/>
      <c r="B913" s="25">
        <v>71015</v>
      </c>
      <c r="C913" s="33"/>
      <c r="D913" s="37" t="s">
        <v>290</v>
      </c>
      <c r="E913" s="34"/>
      <c r="F913" s="34">
        <f>F914+F917</f>
        <v>515661</v>
      </c>
      <c r="G913" s="34"/>
      <c r="H913" s="34"/>
    </row>
    <row r="914" spans="1:8" s="1" customFormat="1" ht="27" customHeight="1">
      <c r="A914" s="86"/>
      <c r="B914" s="86"/>
      <c r="C914" s="122"/>
      <c r="D914" s="29" t="s">
        <v>172</v>
      </c>
      <c r="E914" s="17"/>
      <c r="F914" s="17">
        <f>F915</f>
        <v>470661</v>
      </c>
      <c r="G914" s="17"/>
      <c r="H914" s="17"/>
    </row>
    <row r="915" spans="1:8" s="1" customFormat="1" ht="25.5">
      <c r="A915" s="22"/>
      <c r="B915" s="22"/>
      <c r="C915" s="52">
        <v>2110</v>
      </c>
      <c r="D915" s="27" t="s">
        <v>726</v>
      </c>
      <c r="E915" s="6"/>
      <c r="F915" s="6">
        <v>470661</v>
      </c>
      <c r="G915" s="6"/>
      <c r="H915" s="6"/>
    </row>
    <row r="916" ht="23.25" customHeight="1"/>
    <row r="917" spans="1:8" s="1" customFormat="1" ht="27" customHeight="1">
      <c r="A917" s="86"/>
      <c r="B917" s="86"/>
      <c r="C917" s="145"/>
      <c r="D917" s="101" t="s">
        <v>180</v>
      </c>
      <c r="E917" s="17"/>
      <c r="F917" s="17">
        <f>F918</f>
        <v>45000</v>
      </c>
      <c r="G917" s="17"/>
      <c r="H917" s="17"/>
    </row>
    <row r="918" spans="1:8" s="1" customFormat="1" ht="38.25">
      <c r="A918" s="22"/>
      <c r="B918" s="22"/>
      <c r="C918" s="26">
        <v>6410</v>
      </c>
      <c r="D918" s="27" t="s">
        <v>405</v>
      </c>
      <c r="E918" s="6"/>
      <c r="F918" s="6">
        <v>45000</v>
      </c>
      <c r="G918" s="6"/>
      <c r="H918" s="6"/>
    </row>
    <row r="919" spans="1:8" s="1" customFormat="1" ht="19.5" customHeight="1" thickBot="1">
      <c r="A919" s="385">
        <v>750</v>
      </c>
      <c r="B919" s="374"/>
      <c r="C919" s="386"/>
      <c r="D919" s="387" t="s">
        <v>439</v>
      </c>
      <c r="E919" s="388"/>
      <c r="F919" s="388">
        <f>F920+F923</f>
        <v>924596</v>
      </c>
      <c r="G919" s="388"/>
      <c r="H919" s="388"/>
    </row>
    <row r="920" spans="1:8" s="1" customFormat="1" ht="19.5" customHeight="1">
      <c r="A920" s="2"/>
      <c r="B920" s="25">
        <v>75011</v>
      </c>
      <c r="C920" s="33"/>
      <c r="D920" s="37" t="s">
        <v>1049</v>
      </c>
      <c r="E920" s="34"/>
      <c r="F920" s="34">
        <f>F921</f>
        <v>829596</v>
      </c>
      <c r="G920" s="34"/>
      <c r="H920" s="34"/>
    </row>
    <row r="921" spans="1:8" s="1" customFormat="1" ht="27" customHeight="1">
      <c r="A921" s="86"/>
      <c r="B921" s="86"/>
      <c r="C921" s="122"/>
      <c r="D921" s="29" t="s">
        <v>103</v>
      </c>
      <c r="E921" s="17"/>
      <c r="F921" s="17">
        <f>F922</f>
        <v>829596</v>
      </c>
      <c r="G921" s="17"/>
      <c r="H921" s="17"/>
    </row>
    <row r="922" spans="1:8" s="1" customFormat="1" ht="25.5">
      <c r="A922" s="18"/>
      <c r="B922" s="22"/>
      <c r="C922" s="52">
        <v>2110</v>
      </c>
      <c r="D922" s="27" t="s">
        <v>726</v>
      </c>
      <c r="E922" s="6"/>
      <c r="F922" s="6">
        <v>829596</v>
      </c>
      <c r="G922" s="6"/>
      <c r="H922" s="6"/>
    </row>
    <row r="923" spans="1:8" s="1" customFormat="1" ht="19.5" customHeight="1">
      <c r="A923" s="2"/>
      <c r="B923" s="25">
        <v>75045</v>
      </c>
      <c r="C923" s="33"/>
      <c r="D923" s="37" t="s">
        <v>291</v>
      </c>
      <c r="E923" s="34"/>
      <c r="F923" s="34">
        <f>F924</f>
        <v>95000</v>
      </c>
      <c r="G923" s="34"/>
      <c r="H923" s="34"/>
    </row>
    <row r="924" spans="1:8" s="1" customFormat="1" ht="19.5" customHeight="1">
      <c r="A924" s="86"/>
      <c r="B924" s="122"/>
      <c r="C924" s="122"/>
      <c r="D924" s="101" t="s">
        <v>564</v>
      </c>
      <c r="E924" s="17"/>
      <c r="F924" s="17">
        <f>F925</f>
        <v>95000</v>
      </c>
      <c r="G924" s="17"/>
      <c r="H924" s="17"/>
    </row>
    <row r="925" spans="1:8" s="1" customFormat="1" ht="25.5">
      <c r="A925" s="22"/>
      <c r="B925" s="22"/>
      <c r="C925" s="52">
        <v>2110</v>
      </c>
      <c r="D925" s="27" t="s">
        <v>726</v>
      </c>
      <c r="E925" s="6"/>
      <c r="F925" s="6">
        <v>95000</v>
      </c>
      <c r="G925" s="6"/>
      <c r="H925" s="6"/>
    </row>
    <row r="926" spans="1:8" s="1" customFormat="1" ht="21" customHeight="1" thickBot="1">
      <c r="A926" s="385">
        <v>754</v>
      </c>
      <c r="B926" s="374"/>
      <c r="C926" s="386"/>
      <c r="D926" s="387" t="s">
        <v>441</v>
      </c>
      <c r="E926" s="388"/>
      <c r="F926" s="388">
        <f>F927</f>
        <v>14101100</v>
      </c>
      <c r="G926" s="388"/>
      <c r="H926" s="388"/>
    </row>
    <row r="927" spans="1:8" s="1" customFormat="1" ht="21" customHeight="1">
      <c r="A927" s="2"/>
      <c r="B927" s="25">
        <v>75411</v>
      </c>
      <c r="C927" s="33"/>
      <c r="D927" s="37" t="s">
        <v>442</v>
      </c>
      <c r="E927" s="34"/>
      <c r="F927" s="34">
        <f>F928+F930</f>
        <v>14101100</v>
      </c>
      <c r="G927" s="34"/>
      <c r="H927" s="34"/>
    </row>
    <row r="928" spans="1:8" s="1" customFormat="1" ht="27" customHeight="1">
      <c r="A928" s="86"/>
      <c r="B928" s="86"/>
      <c r="C928" s="86"/>
      <c r="D928" s="101" t="s">
        <v>742</v>
      </c>
      <c r="E928" s="17"/>
      <c r="F928" s="17">
        <f>F929</f>
        <v>13851100</v>
      </c>
      <c r="G928" s="17"/>
      <c r="H928" s="17"/>
    </row>
    <row r="929" spans="1:8" s="1" customFormat="1" ht="25.5">
      <c r="A929" s="18"/>
      <c r="B929" s="18"/>
      <c r="C929" s="52">
        <v>2110</v>
      </c>
      <c r="D929" s="27" t="s">
        <v>726</v>
      </c>
      <c r="E929" s="6"/>
      <c r="F929" s="6">
        <f>12941000+910100</f>
        <v>13851100</v>
      </c>
      <c r="G929" s="6"/>
      <c r="H929" s="6"/>
    </row>
    <row r="930" spans="1:8" s="1" customFormat="1" ht="27" customHeight="1">
      <c r="A930" s="86"/>
      <c r="B930" s="86"/>
      <c r="C930" s="145"/>
      <c r="D930" s="101" t="s">
        <v>181</v>
      </c>
      <c r="E930" s="17"/>
      <c r="F930" s="17">
        <f>F931</f>
        <v>250000</v>
      </c>
      <c r="G930" s="17"/>
      <c r="H930" s="17"/>
    </row>
    <row r="931" spans="1:8" s="1" customFormat="1" ht="38.25">
      <c r="A931" s="22"/>
      <c r="B931" s="22"/>
      <c r="C931" s="26">
        <v>6410</v>
      </c>
      <c r="D931" s="27" t="s">
        <v>405</v>
      </c>
      <c r="E931" s="6"/>
      <c r="F931" s="6">
        <f>150000+100000</f>
        <v>250000</v>
      </c>
      <c r="G931" s="6"/>
      <c r="H931" s="6"/>
    </row>
    <row r="932" spans="1:8" s="1" customFormat="1" ht="20.25" customHeight="1" thickBot="1">
      <c r="A932" s="385">
        <v>851</v>
      </c>
      <c r="B932" s="374"/>
      <c r="C932" s="386"/>
      <c r="D932" s="387" t="s">
        <v>106</v>
      </c>
      <c r="E932" s="388"/>
      <c r="F932" s="388">
        <f>F933</f>
        <v>4387800</v>
      </c>
      <c r="G932" s="388"/>
      <c r="H932" s="388"/>
    </row>
    <row r="933" spans="1:8" s="1" customFormat="1" ht="27" customHeight="1">
      <c r="A933" s="2"/>
      <c r="B933" s="3">
        <v>85156</v>
      </c>
      <c r="C933" s="35"/>
      <c r="D933" s="23" t="s">
        <v>561</v>
      </c>
      <c r="E933" s="34"/>
      <c r="F933" s="34">
        <f>F934+F936</f>
        <v>4387800</v>
      </c>
      <c r="G933" s="34"/>
      <c r="H933" s="34"/>
    </row>
    <row r="934" spans="1:8" s="1" customFormat="1" ht="25.5">
      <c r="A934" s="86"/>
      <c r="B934" s="86"/>
      <c r="C934" s="86"/>
      <c r="D934" s="29" t="s">
        <v>980</v>
      </c>
      <c r="E934" s="66"/>
      <c r="F934" s="66">
        <f>F935</f>
        <v>100800</v>
      </c>
      <c r="G934" s="66"/>
      <c r="H934" s="66"/>
    </row>
    <row r="935" spans="1:8" s="1" customFormat="1" ht="25.5">
      <c r="A935" s="18"/>
      <c r="B935" s="18"/>
      <c r="C935" s="22">
        <v>2110</v>
      </c>
      <c r="D935" s="27" t="s">
        <v>726</v>
      </c>
      <c r="E935" s="6"/>
      <c r="F935" s="6">
        <v>100800</v>
      </c>
      <c r="G935" s="6"/>
      <c r="H935" s="6"/>
    </row>
    <row r="936" spans="1:8" s="1" customFormat="1" ht="25.5" customHeight="1">
      <c r="A936" s="18"/>
      <c r="B936" s="18"/>
      <c r="C936" s="18"/>
      <c r="D936" s="93" t="s">
        <v>410</v>
      </c>
      <c r="E936" s="66"/>
      <c r="F936" s="66">
        <f>F937</f>
        <v>4287000</v>
      </c>
      <c r="G936" s="66"/>
      <c r="H936" s="66"/>
    </row>
    <row r="937" spans="1:8" s="1" customFormat="1" ht="25.5">
      <c r="A937" s="22"/>
      <c r="B937" s="22"/>
      <c r="C937" s="52">
        <v>2110</v>
      </c>
      <c r="D937" s="27" t="s">
        <v>726</v>
      </c>
      <c r="E937" s="6"/>
      <c r="F937" s="6">
        <v>4287000</v>
      </c>
      <c r="G937" s="6"/>
      <c r="H937" s="6"/>
    </row>
    <row r="938" ht="12.75"/>
    <row r="939" spans="1:8" s="1" customFormat="1" ht="21" customHeight="1" thickBot="1">
      <c r="A939" s="394">
        <v>852</v>
      </c>
      <c r="B939" s="394"/>
      <c r="C939" s="394"/>
      <c r="D939" s="395" t="s">
        <v>129</v>
      </c>
      <c r="E939" s="377"/>
      <c r="F939" s="377">
        <f>F940+F947+F950</f>
        <v>3758000</v>
      </c>
      <c r="G939" s="377"/>
      <c r="H939" s="377"/>
    </row>
    <row r="940" spans="1:8" s="1" customFormat="1" ht="21" customHeight="1">
      <c r="A940" s="2"/>
      <c r="B940" s="25">
        <v>85203</v>
      </c>
      <c r="C940" s="146"/>
      <c r="D940" s="67" t="s">
        <v>126</v>
      </c>
      <c r="E940" s="4"/>
      <c r="F940" s="4">
        <f>F941+F943+F945</f>
        <v>3516250</v>
      </c>
      <c r="G940" s="4"/>
      <c r="H940" s="4"/>
    </row>
    <row r="941" spans="1:8" s="1" customFormat="1" ht="16.5" customHeight="1">
      <c r="A941" s="86"/>
      <c r="B941" s="86"/>
      <c r="C941" s="86"/>
      <c r="D941" s="93" t="s">
        <v>182</v>
      </c>
      <c r="E941" s="17"/>
      <c r="F941" s="17">
        <f>F942</f>
        <v>3464000</v>
      </c>
      <c r="G941" s="9"/>
      <c r="H941" s="9"/>
    </row>
    <row r="942" spans="1:8" s="1" customFormat="1" ht="25.5">
      <c r="A942" s="18"/>
      <c r="B942" s="18"/>
      <c r="C942" s="449">
        <v>2110</v>
      </c>
      <c r="D942" s="360" t="s">
        <v>726</v>
      </c>
      <c r="E942" s="279"/>
      <c r="F942" s="279">
        <v>3464000</v>
      </c>
      <c r="G942" s="279"/>
      <c r="H942" s="279"/>
    </row>
    <row r="943" spans="1:8" s="1" customFormat="1" ht="25.5">
      <c r="A943" s="86"/>
      <c r="B943" s="86"/>
      <c r="C943" s="122"/>
      <c r="D943" s="16" t="s">
        <v>183</v>
      </c>
      <c r="E943" s="17"/>
      <c r="F943" s="17">
        <f>F944</f>
        <v>50000</v>
      </c>
      <c r="G943" s="9"/>
      <c r="H943" s="9"/>
    </row>
    <row r="944" spans="1:8" s="1" customFormat="1" ht="38.25">
      <c r="A944" s="18"/>
      <c r="B944" s="18"/>
      <c r="C944" s="22">
        <v>6410</v>
      </c>
      <c r="D944" s="147" t="s">
        <v>405</v>
      </c>
      <c r="E944" s="6"/>
      <c r="F944" s="6">
        <v>50000</v>
      </c>
      <c r="G944" s="6"/>
      <c r="H944" s="6"/>
    </row>
    <row r="945" spans="1:8" s="1" customFormat="1" ht="25.5">
      <c r="A945" s="86"/>
      <c r="B945" s="86"/>
      <c r="C945" s="122"/>
      <c r="D945" s="93" t="s">
        <v>376</v>
      </c>
      <c r="E945" s="17"/>
      <c r="F945" s="17">
        <f>F946</f>
        <v>2250</v>
      </c>
      <c r="G945" s="9"/>
      <c r="H945" s="9"/>
    </row>
    <row r="946" spans="1:8" s="1" customFormat="1" ht="25.5">
      <c r="A946" s="18"/>
      <c r="B946" s="22"/>
      <c r="C946" s="52">
        <v>2110</v>
      </c>
      <c r="D946" s="27" t="s">
        <v>726</v>
      </c>
      <c r="E946" s="88"/>
      <c r="F946" s="88">
        <v>2250</v>
      </c>
      <c r="G946" s="88"/>
      <c r="H946" s="88"/>
    </row>
    <row r="947" spans="1:8" s="1" customFormat="1" ht="18" customHeight="1">
      <c r="A947" s="18"/>
      <c r="B947" s="3">
        <v>85231</v>
      </c>
      <c r="C947" s="52"/>
      <c r="D947" s="104" t="s">
        <v>388</v>
      </c>
      <c r="E947" s="4"/>
      <c r="F947" s="4">
        <f>F948</f>
        <v>234000</v>
      </c>
      <c r="G947" s="4"/>
      <c r="H947" s="4"/>
    </row>
    <row r="948" spans="1:8" s="1" customFormat="1" ht="25.5">
      <c r="A948" s="18"/>
      <c r="B948" s="128"/>
      <c r="C948" s="128"/>
      <c r="D948" s="16" t="s">
        <v>406</v>
      </c>
      <c r="E948" s="17"/>
      <c r="F948" s="17">
        <f>F949</f>
        <v>234000</v>
      </c>
      <c r="G948" s="17"/>
      <c r="H948" s="17"/>
    </row>
    <row r="949" spans="1:8" s="1" customFormat="1" ht="25.5">
      <c r="A949" s="18"/>
      <c r="B949" s="22"/>
      <c r="C949" s="52">
        <v>2110</v>
      </c>
      <c r="D949" s="27" t="s">
        <v>726</v>
      </c>
      <c r="E949" s="6"/>
      <c r="F949" s="6">
        <v>234000</v>
      </c>
      <c r="G949" s="6"/>
      <c r="H949" s="6"/>
    </row>
    <row r="950" spans="1:8" s="1" customFormat="1" ht="19.5" customHeight="1">
      <c r="A950" s="18"/>
      <c r="B950" s="13">
        <v>85295</v>
      </c>
      <c r="C950" s="1041"/>
      <c r="D950" s="104" t="s">
        <v>100</v>
      </c>
      <c r="E950" s="15"/>
      <c r="F950" s="15">
        <f>F951</f>
        <v>7750</v>
      </c>
      <c r="G950" s="15"/>
      <c r="H950" s="15"/>
    </row>
    <row r="951" spans="1:8" s="1" customFormat="1" ht="25.5">
      <c r="A951" s="18"/>
      <c r="B951" s="128"/>
      <c r="C951" s="128"/>
      <c r="D951" s="16" t="s">
        <v>553</v>
      </c>
      <c r="E951" s="17"/>
      <c r="F951" s="17">
        <f>F952</f>
        <v>7750</v>
      </c>
      <c r="G951" s="17"/>
      <c r="H951" s="17"/>
    </row>
    <row r="952" spans="1:8" s="1" customFormat="1" ht="25.5">
      <c r="A952" s="22"/>
      <c r="B952" s="22"/>
      <c r="C952" s="52">
        <v>2110</v>
      </c>
      <c r="D952" s="27" t="s">
        <v>726</v>
      </c>
      <c r="E952" s="6"/>
      <c r="F952" s="6">
        <v>7750</v>
      </c>
      <c r="G952" s="6"/>
      <c r="H952" s="6"/>
    </row>
    <row r="953" spans="1:8" s="1" customFormat="1" ht="19.5" customHeight="1" thickBot="1">
      <c r="A953" s="375">
        <v>853</v>
      </c>
      <c r="B953" s="375"/>
      <c r="C953" s="375"/>
      <c r="D953" s="376" t="s">
        <v>277</v>
      </c>
      <c r="E953" s="378"/>
      <c r="F953" s="378">
        <f>F954+F957</f>
        <v>560671</v>
      </c>
      <c r="G953" s="378"/>
      <c r="H953" s="378"/>
    </row>
    <row r="954" spans="1:8" s="1" customFormat="1" ht="19.5" customHeight="1">
      <c r="A954" s="2"/>
      <c r="B954" s="3">
        <v>85321</v>
      </c>
      <c r="C954" s="3"/>
      <c r="D954" s="3" t="s">
        <v>630</v>
      </c>
      <c r="E954" s="4"/>
      <c r="F954" s="4">
        <f>F955</f>
        <v>528000</v>
      </c>
      <c r="G954" s="4"/>
      <c r="H954" s="4"/>
    </row>
    <row r="955" spans="1:8" s="1" customFormat="1" ht="25.5">
      <c r="A955" s="86"/>
      <c r="B955" s="86"/>
      <c r="C955" s="122"/>
      <c r="D955" s="16" t="s">
        <v>184</v>
      </c>
      <c r="E955" s="17"/>
      <c r="F955" s="17">
        <f>F956</f>
        <v>528000</v>
      </c>
      <c r="G955" s="17"/>
      <c r="H955" s="17"/>
    </row>
    <row r="956" spans="1:8" s="1" customFormat="1" ht="25.5">
      <c r="A956" s="18"/>
      <c r="B956" s="18"/>
      <c r="C956" s="52">
        <v>2110</v>
      </c>
      <c r="D956" s="27" t="s">
        <v>726</v>
      </c>
      <c r="E956" s="6"/>
      <c r="F956" s="6">
        <v>528000</v>
      </c>
      <c r="G956" s="6"/>
      <c r="H956" s="6"/>
    </row>
    <row r="957" spans="1:8" s="1" customFormat="1" ht="19.5" customHeight="1">
      <c r="A957" s="2"/>
      <c r="B957" s="13">
        <v>85334</v>
      </c>
      <c r="C957" s="3"/>
      <c r="D957" s="3" t="s">
        <v>885</v>
      </c>
      <c r="E957" s="4"/>
      <c r="F957" s="4">
        <f>F958</f>
        <v>32671</v>
      </c>
      <c r="G957" s="4"/>
      <c r="H957" s="4"/>
    </row>
    <row r="958" spans="1:8" s="1" customFormat="1" ht="17.25" customHeight="1">
      <c r="A958" s="86"/>
      <c r="B958" s="86"/>
      <c r="C958" s="122"/>
      <c r="D958" s="16" t="s">
        <v>554</v>
      </c>
      <c r="E958" s="17"/>
      <c r="F958" s="17">
        <f>F959</f>
        <v>32671</v>
      </c>
      <c r="G958" s="17"/>
      <c r="H958" s="17"/>
    </row>
    <row r="959" spans="1:8" s="1" customFormat="1" ht="25.5">
      <c r="A959" s="22"/>
      <c r="B959" s="22"/>
      <c r="C959" s="52">
        <v>2110</v>
      </c>
      <c r="D959" s="27" t="s">
        <v>726</v>
      </c>
      <c r="E959" s="6"/>
      <c r="F959" s="6">
        <f>24850+7821</f>
        <v>32671</v>
      </c>
      <c r="G959" s="6"/>
      <c r="H959" s="6"/>
    </row>
    <row r="960" ht="55.5" customHeight="1"/>
    <row r="961" spans="1:8" s="1" customFormat="1" ht="20.25" customHeight="1" thickBot="1">
      <c r="A961" s="91"/>
      <c r="B961" s="91"/>
      <c r="C961" s="91"/>
      <c r="D961" s="84" t="s">
        <v>646</v>
      </c>
      <c r="E961" s="284"/>
      <c r="F961" s="284"/>
      <c r="G961" s="24"/>
      <c r="H961" s="24">
        <f>H962+H966+H976+H992+H1003+H1010+H1025</f>
        <v>26615091</v>
      </c>
    </row>
    <row r="962" spans="1:8" s="149" customFormat="1" ht="20.25" customHeight="1" thickBot="1" thickTop="1">
      <c r="A962" s="394">
        <v>750</v>
      </c>
      <c r="B962" s="394"/>
      <c r="C962" s="394"/>
      <c r="D962" s="394" t="s">
        <v>439</v>
      </c>
      <c r="E962" s="377"/>
      <c r="F962" s="377"/>
      <c r="G962" s="377"/>
      <c r="H962" s="377">
        <f>H963</f>
        <v>100000</v>
      </c>
    </row>
    <row r="963" spans="1:8" s="149" customFormat="1" ht="19.5" customHeight="1">
      <c r="A963" s="2"/>
      <c r="B963" s="3">
        <v>75023</v>
      </c>
      <c r="C963" s="3"/>
      <c r="D963" s="3" t="s">
        <v>1061</v>
      </c>
      <c r="E963" s="264"/>
      <c r="F963" s="264"/>
      <c r="G963" s="264"/>
      <c r="H963" s="264">
        <f>H964</f>
        <v>100000</v>
      </c>
    </row>
    <row r="964" spans="1:8" s="149" customFormat="1" ht="19.5" customHeight="1">
      <c r="A964" s="86"/>
      <c r="B964" s="18"/>
      <c r="C964" s="18"/>
      <c r="D964" s="16" t="s">
        <v>703</v>
      </c>
      <c r="E964" s="17"/>
      <c r="F964" s="17"/>
      <c r="G964" s="17"/>
      <c r="H964" s="17">
        <f>H965</f>
        <v>100000</v>
      </c>
    </row>
    <row r="965" spans="1:8" s="149" customFormat="1" ht="19.5" customHeight="1">
      <c r="A965" s="107"/>
      <c r="B965" s="22"/>
      <c r="C965" s="22">
        <v>4300</v>
      </c>
      <c r="D965" s="20" t="s">
        <v>815</v>
      </c>
      <c r="E965" s="6"/>
      <c r="F965" s="6"/>
      <c r="G965" s="6"/>
      <c r="H965" s="6">
        <v>100000</v>
      </c>
    </row>
    <row r="966" spans="1:8" ht="19.5" customHeight="1" thickBot="1">
      <c r="A966" s="394">
        <v>757</v>
      </c>
      <c r="B966" s="394"/>
      <c r="C966" s="394"/>
      <c r="D966" s="394" t="s">
        <v>444</v>
      </c>
      <c r="E966" s="377"/>
      <c r="F966" s="377"/>
      <c r="G966" s="377"/>
      <c r="H966" s="377">
        <f>H967+H973</f>
        <v>13200000</v>
      </c>
    </row>
    <row r="967" spans="1:8" ht="27.75" customHeight="1">
      <c r="A967" s="86"/>
      <c r="B967" s="25">
        <v>75702</v>
      </c>
      <c r="C967" s="25"/>
      <c r="D967" s="67" t="s">
        <v>445</v>
      </c>
      <c r="E967" s="4"/>
      <c r="F967" s="4"/>
      <c r="G967" s="4"/>
      <c r="H967" s="4">
        <f>H968+H970</f>
        <v>9200000</v>
      </c>
    </row>
    <row r="968" spans="1:8" ht="19.5" customHeight="1">
      <c r="A968" s="86"/>
      <c r="B968" s="86"/>
      <c r="C968" s="18"/>
      <c r="D968" s="16" t="s">
        <v>225</v>
      </c>
      <c r="E968" s="17"/>
      <c r="F968" s="17"/>
      <c r="G968" s="17"/>
      <c r="H968" s="17">
        <f>SUM(H969:H969)</f>
        <v>3100000</v>
      </c>
    </row>
    <row r="969" spans="1:8" ht="19.5" customHeight="1">
      <c r="A969" s="86"/>
      <c r="B969" s="86"/>
      <c r="C969" s="22">
        <v>8110</v>
      </c>
      <c r="D969" s="20" t="s">
        <v>307</v>
      </c>
      <c r="E969" s="6"/>
      <c r="F969" s="6"/>
      <c r="G969" s="6"/>
      <c r="H969" s="6">
        <v>3100000</v>
      </c>
    </row>
    <row r="970" spans="1:8" ht="19.5" customHeight="1">
      <c r="A970" s="86"/>
      <c r="B970" s="86"/>
      <c r="C970" s="18"/>
      <c r="D970" s="316" t="s">
        <v>674</v>
      </c>
      <c r="E970" s="66"/>
      <c r="F970" s="66"/>
      <c r="G970" s="17"/>
      <c r="H970" s="17">
        <f>SUM(H971:H972)</f>
        <v>6100000</v>
      </c>
    </row>
    <row r="971" spans="1:8" ht="19.5" customHeight="1">
      <c r="A971" s="86"/>
      <c r="B971" s="86"/>
      <c r="C971" s="22">
        <v>4300</v>
      </c>
      <c r="D971" s="20" t="s">
        <v>815</v>
      </c>
      <c r="E971" s="6"/>
      <c r="F971" s="6"/>
      <c r="G971" s="6"/>
      <c r="H971" s="6">
        <v>25000</v>
      </c>
    </row>
    <row r="972" spans="1:8" ht="26.25" customHeight="1">
      <c r="A972" s="86"/>
      <c r="B972" s="86"/>
      <c r="C972" s="18">
        <v>8070</v>
      </c>
      <c r="D972" s="221" t="s">
        <v>985</v>
      </c>
      <c r="E972" s="279"/>
      <c r="F972" s="279"/>
      <c r="G972" s="295"/>
      <c r="H972" s="295">
        <f>6100000-25000</f>
        <v>6075000</v>
      </c>
    </row>
    <row r="973" spans="1:8" ht="27" customHeight="1">
      <c r="A973" s="86"/>
      <c r="B973" s="104">
        <v>75704</v>
      </c>
      <c r="C973" s="401"/>
      <c r="D973" s="14" t="s">
        <v>371</v>
      </c>
      <c r="E973" s="65"/>
      <c r="F973" s="65"/>
      <c r="G973" s="15"/>
      <c r="H973" s="15">
        <f>H974</f>
        <v>4000000</v>
      </c>
    </row>
    <row r="974" spans="1:8" ht="18.75" customHeight="1">
      <c r="A974" s="86"/>
      <c r="B974" s="86"/>
      <c r="C974" s="18"/>
      <c r="D974" s="16" t="s">
        <v>373</v>
      </c>
      <c r="E974" s="17"/>
      <c r="F974" s="17"/>
      <c r="G974" s="17"/>
      <c r="H974" s="17">
        <f>H975</f>
        <v>4000000</v>
      </c>
    </row>
    <row r="975" spans="1:8" ht="18.75" customHeight="1">
      <c r="A975" s="107"/>
      <c r="B975" s="107"/>
      <c r="C975" s="22">
        <v>8020</v>
      </c>
      <c r="D975" s="20" t="s">
        <v>372</v>
      </c>
      <c r="E975" s="6"/>
      <c r="F975" s="6"/>
      <c r="G975" s="6"/>
      <c r="H975" s="6">
        <v>4000000</v>
      </c>
    </row>
    <row r="976" spans="1:8" ht="18.75" customHeight="1" thickBot="1">
      <c r="A976" s="394">
        <v>758</v>
      </c>
      <c r="B976" s="394"/>
      <c r="C976" s="394"/>
      <c r="D976" s="394" t="s">
        <v>446</v>
      </c>
      <c r="E976" s="377"/>
      <c r="F976" s="377"/>
      <c r="G976" s="377"/>
      <c r="H976" s="377">
        <f>H977+H980</f>
        <v>9818590</v>
      </c>
    </row>
    <row r="977" spans="1:8" ht="18.75" customHeight="1">
      <c r="A977" s="86"/>
      <c r="B977" s="3">
        <v>75814</v>
      </c>
      <c r="C977" s="3"/>
      <c r="D977" s="3" t="s">
        <v>384</v>
      </c>
      <c r="E977" s="4"/>
      <c r="F977" s="4"/>
      <c r="G977" s="4"/>
      <c r="H977" s="4">
        <f>H978</f>
        <v>5090085</v>
      </c>
    </row>
    <row r="978" spans="1:8" ht="18.75" customHeight="1">
      <c r="A978" s="86"/>
      <c r="B978" s="86"/>
      <c r="C978" s="86"/>
      <c r="D978" s="16" t="s">
        <v>552</v>
      </c>
      <c r="E978" s="17"/>
      <c r="F978" s="17"/>
      <c r="G978" s="17"/>
      <c r="H978" s="17">
        <f>H979</f>
        <v>5090085</v>
      </c>
    </row>
    <row r="979" spans="1:8" ht="18.75" customHeight="1">
      <c r="A979" s="86"/>
      <c r="B979" s="107"/>
      <c r="C979" s="22">
        <v>2930</v>
      </c>
      <c r="D979" s="20" t="s">
        <v>429</v>
      </c>
      <c r="E979" s="88"/>
      <c r="F979" s="88"/>
      <c r="G979" s="88"/>
      <c r="H979" s="88">
        <v>5090085</v>
      </c>
    </row>
    <row r="980" spans="1:8" ht="18.75" customHeight="1">
      <c r="A980" s="86"/>
      <c r="B980" s="3">
        <v>75818</v>
      </c>
      <c r="C980" s="3"/>
      <c r="D980" s="3" t="s">
        <v>447</v>
      </c>
      <c r="E980" s="4"/>
      <c r="F980" s="4"/>
      <c r="G980" s="4"/>
      <c r="H980" s="4">
        <f>H981+H983+H986+H988+H990</f>
        <v>4728505</v>
      </c>
    </row>
    <row r="981" spans="1:8" ht="18.75" customHeight="1">
      <c r="A981" s="277"/>
      <c r="B981" s="122"/>
      <c r="C981" s="128"/>
      <c r="D981" s="16" t="s">
        <v>409</v>
      </c>
      <c r="E981" s="17"/>
      <c r="F981" s="17"/>
      <c r="G981" s="17"/>
      <c r="H981" s="17">
        <f>H982</f>
        <v>3329730</v>
      </c>
    </row>
    <row r="982" spans="1:8" ht="18.75" customHeight="1">
      <c r="A982" s="277"/>
      <c r="B982" s="86"/>
      <c r="C982" s="18">
        <v>4810</v>
      </c>
      <c r="D982" s="221" t="s">
        <v>891</v>
      </c>
      <c r="E982" s="295"/>
      <c r="F982" s="295"/>
      <c r="G982" s="295"/>
      <c r="H982" s="295">
        <f>4079027-598227-151070</f>
        <v>3329730</v>
      </c>
    </row>
    <row r="983" spans="1:8" ht="25.5" customHeight="1">
      <c r="A983" s="277"/>
      <c r="B983" s="86"/>
      <c r="C983" s="128"/>
      <c r="D983" s="16" t="s">
        <v>625</v>
      </c>
      <c r="E983" s="17"/>
      <c r="F983" s="17"/>
      <c r="G983" s="17"/>
      <c r="H983" s="17">
        <f>SUM(H984:H985)</f>
        <v>838775</v>
      </c>
    </row>
    <row r="984" spans="1:8" ht="18.75" customHeight="1">
      <c r="A984" s="277"/>
      <c r="B984" s="86"/>
      <c r="C984" s="22">
        <v>4810</v>
      </c>
      <c r="D984" s="20" t="s">
        <v>891</v>
      </c>
      <c r="E984" s="88"/>
      <c r="F984" s="88"/>
      <c r="G984" s="88"/>
      <c r="H984" s="88">
        <f>358775-20000</f>
        <v>338775</v>
      </c>
    </row>
    <row r="985" spans="1:8" ht="18.75" customHeight="1">
      <c r="A985" s="277"/>
      <c r="B985" s="86"/>
      <c r="C985" s="22">
        <v>6800</v>
      </c>
      <c r="D985" s="20" t="s">
        <v>308</v>
      </c>
      <c r="E985" s="65"/>
      <c r="F985" s="65"/>
      <c r="G985" s="65"/>
      <c r="H985" s="65">
        <v>500000</v>
      </c>
    </row>
    <row r="986" spans="1:8" ht="26.25" customHeight="1">
      <c r="A986" s="277"/>
      <c r="B986" s="86"/>
      <c r="C986" s="18"/>
      <c r="D986" s="93" t="s">
        <v>374</v>
      </c>
      <c r="E986" s="66"/>
      <c r="F986" s="66"/>
      <c r="G986" s="66"/>
      <c r="H986" s="66">
        <f>H987</f>
        <v>10000</v>
      </c>
    </row>
    <row r="987" spans="1:8" ht="18.75" customHeight="1">
      <c r="A987" s="291"/>
      <c r="B987" s="107"/>
      <c r="C987" s="22">
        <v>4810</v>
      </c>
      <c r="D987" s="20" t="s">
        <v>891</v>
      </c>
      <c r="E987" s="88"/>
      <c r="F987" s="88"/>
      <c r="G987" s="88"/>
      <c r="H987" s="88">
        <v>10000</v>
      </c>
    </row>
    <row r="988" spans="1:8" ht="25.5">
      <c r="A988" s="277"/>
      <c r="B988" s="86"/>
      <c r="C988" s="18"/>
      <c r="D988" s="93" t="s">
        <v>375</v>
      </c>
      <c r="E988" s="66"/>
      <c r="F988" s="66"/>
      <c r="G988" s="66"/>
      <c r="H988" s="66">
        <f>H989</f>
        <v>500000</v>
      </c>
    </row>
    <row r="989" spans="1:8" ht="18.75" customHeight="1">
      <c r="A989" s="277"/>
      <c r="B989" s="86"/>
      <c r="C989" s="22">
        <v>4810</v>
      </c>
      <c r="D989" s="20" t="s">
        <v>891</v>
      </c>
      <c r="E989" s="88"/>
      <c r="F989" s="88"/>
      <c r="G989" s="88"/>
      <c r="H989" s="88">
        <v>500000</v>
      </c>
    </row>
    <row r="990" spans="1:8" ht="18.75" customHeight="1">
      <c r="A990" s="277"/>
      <c r="B990" s="86"/>
      <c r="C990" s="18"/>
      <c r="D990" s="316" t="s">
        <v>226</v>
      </c>
      <c r="E990" s="66"/>
      <c r="F990" s="66"/>
      <c r="G990" s="66"/>
      <c r="H990" s="66">
        <f>H991</f>
        <v>50000</v>
      </c>
    </row>
    <row r="991" spans="1:8" ht="18.75" customHeight="1">
      <c r="A991" s="291"/>
      <c r="B991" s="107"/>
      <c r="C991" s="22">
        <v>4810</v>
      </c>
      <c r="D991" s="20" t="s">
        <v>891</v>
      </c>
      <c r="E991" s="88"/>
      <c r="F991" s="88"/>
      <c r="G991" s="88"/>
      <c r="H991" s="88">
        <v>50000</v>
      </c>
    </row>
    <row r="992" spans="1:8" s="149" customFormat="1" ht="18.75" customHeight="1" thickBot="1">
      <c r="A992" s="394">
        <v>801</v>
      </c>
      <c r="B992" s="394"/>
      <c r="C992" s="394"/>
      <c r="D992" s="394" t="s">
        <v>448</v>
      </c>
      <c r="E992" s="377"/>
      <c r="F992" s="377"/>
      <c r="G992" s="377"/>
      <c r="H992" s="377">
        <f>H993+H999</f>
        <v>140650</v>
      </c>
    </row>
    <row r="993" spans="1:8" s="149" customFormat="1" ht="18.75" customHeight="1">
      <c r="A993" s="2"/>
      <c r="B993" s="3">
        <v>80101</v>
      </c>
      <c r="C993" s="3"/>
      <c r="D993" s="3" t="s">
        <v>449</v>
      </c>
      <c r="E993" s="264"/>
      <c r="F993" s="264"/>
      <c r="G993" s="264"/>
      <c r="H993" s="264">
        <f>H994+H997</f>
        <v>45650</v>
      </c>
    </row>
    <row r="994" spans="1:8" s="149" customFormat="1" ht="18.75" customHeight="1">
      <c r="A994" s="86"/>
      <c r="B994" s="18"/>
      <c r="C994" s="18"/>
      <c r="D994" s="348" t="s">
        <v>319</v>
      </c>
      <c r="E994" s="280"/>
      <c r="F994" s="280"/>
      <c r="G994" s="280"/>
      <c r="H994" s="280">
        <f>H995</f>
        <v>45300</v>
      </c>
    </row>
    <row r="995" spans="1:8" s="149" customFormat="1" ht="18.75" customHeight="1">
      <c r="A995" s="86"/>
      <c r="B995" s="18"/>
      <c r="C995" s="86"/>
      <c r="D995" s="421" t="s">
        <v>368</v>
      </c>
      <c r="E995" s="10"/>
      <c r="F995" s="10"/>
      <c r="G995" s="10"/>
      <c r="H995" s="10">
        <v>45300</v>
      </c>
    </row>
    <row r="996" spans="1:8" s="149" customFormat="1" ht="18.75" customHeight="1">
      <c r="A996" s="86"/>
      <c r="B996" s="18"/>
      <c r="C996" s="22">
        <v>6050</v>
      </c>
      <c r="D996" s="22" t="s">
        <v>746</v>
      </c>
      <c r="E996" s="228"/>
      <c r="F996" s="228"/>
      <c r="G996" s="228"/>
      <c r="H996" s="228">
        <f>H995</f>
        <v>45300</v>
      </c>
    </row>
    <row r="997" spans="1:8" s="149" customFormat="1" ht="21.75" customHeight="1">
      <c r="A997" s="86"/>
      <c r="B997" s="18"/>
      <c r="C997" s="18"/>
      <c r="D997" s="348" t="s">
        <v>212</v>
      </c>
      <c r="E997" s="280"/>
      <c r="F997" s="280"/>
      <c r="G997" s="280"/>
      <c r="H997" s="280">
        <f>H998</f>
        <v>350</v>
      </c>
    </row>
    <row r="998" spans="1:8" ht="25.5">
      <c r="A998" s="982"/>
      <c r="B998" s="1002"/>
      <c r="C998" s="181">
        <v>2917</v>
      </c>
      <c r="D998" s="984" t="s">
        <v>249</v>
      </c>
      <c r="E998" s="985"/>
      <c r="F998" s="986"/>
      <c r="G998" s="986"/>
      <c r="H998" s="986">
        <v>350</v>
      </c>
    </row>
    <row r="999" spans="1:8" s="149" customFormat="1" ht="21" customHeight="1">
      <c r="A999" s="2"/>
      <c r="B999" s="3">
        <v>80130</v>
      </c>
      <c r="C999" s="3"/>
      <c r="D999" s="3" t="s">
        <v>494</v>
      </c>
      <c r="E999" s="283"/>
      <c r="F999" s="283"/>
      <c r="G999" s="283"/>
      <c r="H999" s="283">
        <f>H1000</f>
        <v>95000</v>
      </c>
    </row>
    <row r="1000" spans="1:8" s="149" customFormat="1" ht="18.75" customHeight="1">
      <c r="A1000" s="86"/>
      <c r="B1000" s="18"/>
      <c r="C1000" s="18"/>
      <c r="D1000" s="16" t="s">
        <v>325</v>
      </c>
      <c r="E1000" s="280"/>
      <c r="F1000" s="280"/>
      <c r="G1000" s="280"/>
      <c r="H1000" s="280">
        <f>H1002</f>
        <v>95000</v>
      </c>
    </row>
    <row r="1001" spans="1:8" s="149" customFormat="1" ht="18.75" customHeight="1">
      <c r="A1001" s="86"/>
      <c r="B1001" s="18"/>
      <c r="C1001" s="86"/>
      <c r="D1001" s="331" t="s">
        <v>368</v>
      </c>
      <c r="E1001" s="10"/>
      <c r="F1001" s="10"/>
      <c r="G1001" s="10"/>
      <c r="H1001" s="10">
        <v>95000</v>
      </c>
    </row>
    <row r="1002" spans="1:8" s="149" customFormat="1" ht="18.75" customHeight="1">
      <c r="A1002" s="107"/>
      <c r="B1002" s="22"/>
      <c r="C1002" s="22">
        <v>6050</v>
      </c>
      <c r="D1002" s="22" t="s">
        <v>746</v>
      </c>
      <c r="E1002" s="228"/>
      <c r="F1002" s="228"/>
      <c r="G1002" s="228"/>
      <c r="H1002" s="228">
        <f>H1001</f>
        <v>95000</v>
      </c>
    </row>
    <row r="1003" spans="1:8" s="149" customFormat="1" ht="18.75" customHeight="1" thickBot="1">
      <c r="A1003" s="394">
        <v>851</v>
      </c>
      <c r="B1003" s="394"/>
      <c r="C1003" s="394"/>
      <c r="D1003" s="394" t="s">
        <v>106</v>
      </c>
      <c r="E1003" s="377"/>
      <c r="F1003" s="377"/>
      <c r="G1003" s="377"/>
      <c r="H1003" s="377">
        <f>H1004</f>
        <v>30000</v>
      </c>
    </row>
    <row r="1004" spans="1:8" s="149" customFormat="1" ht="18.75" customHeight="1">
      <c r="A1004" s="2"/>
      <c r="B1004" s="3">
        <v>85154</v>
      </c>
      <c r="C1004" s="3"/>
      <c r="D1004" s="3" t="s">
        <v>124</v>
      </c>
      <c r="E1004" s="283"/>
      <c r="F1004" s="283"/>
      <c r="G1004" s="283"/>
      <c r="H1004" s="283">
        <f>H1005</f>
        <v>30000</v>
      </c>
    </row>
    <row r="1005" spans="1:8" s="149" customFormat="1" ht="19.5" customHeight="1">
      <c r="A1005" s="86"/>
      <c r="B1005" s="18"/>
      <c r="C1005" s="18"/>
      <c r="D1005" s="16" t="s">
        <v>519</v>
      </c>
      <c r="E1005" s="17"/>
      <c r="F1005" s="17"/>
      <c r="G1005" s="17"/>
      <c r="H1005" s="17">
        <f>H1006</f>
        <v>30000</v>
      </c>
    </row>
    <row r="1006" spans="1:8" s="149" customFormat="1" ht="18.75" customHeight="1">
      <c r="A1006" s="86"/>
      <c r="B1006" s="18"/>
      <c r="C1006" s="86"/>
      <c r="D1006" s="288" t="s">
        <v>1040</v>
      </c>
      <c r="E1006" s="346"/>
      <c r="F1006" s="346"/>
      <c r="G1006" s="289"/>
      <c r="H1006" s="289">
        <f>H1007+H1008</f>
        <v>30000</v>
      </c>
    </row>
    <row r="1007" spans="1:8" s="149" customFormat="1" ht="18.75" customHeight="1">
      <c r="A1007" s="86"/>
      <c r="B1007" s="18"/>
      <c r="C1007" s="237">
        <v>4210</v>
      </c>
      <c r="D1007" s="237" t="s">
        <v>748</v>
      </c>
      <c r="E1007" s="6"/>
      <c r="F1007" s="6"/>
      <c r="G1007" s="6"/>
      <c r="H1007" s="6">
        <v>10000</v>
      </c>
    </row>
    <row r="1008" spans="1:8" s="149" customFormat="1" ht="18.75" customHeight="1">
      <c r="A1008" s="86"/>
      <c r="B1008" s="18"/>
      <c r="C1008" s="370"/>
      <c r="D1008" s="370" t="s">
        <v>555</v>
      </c>
      <c r="E1008" s="279"/>
      <c r="F1008" s="279"/>
      <c r="G1008" s="279"/>
      <c r="H1008" s="279">
        <f>H1009</f>
        <v>20000</v>
      </c>
    </row>
    <row r="1009" spans="1:8" s="149" customFormat="1" ht="18.75" customHeight="1">
      <c r="A1009" s="107"/>
      <c r="B1009" s="22"/>
      <c r="C1009" s="237">
        <v>6060</v>
      </c>
      <c r="D1009" s="371" t="s">
        <v>685</v>
      </c>
      <c r="E1009" s="228"/>
      <c r="F1009" s="228"/>
      <c r="G1009" s="228"/>
      <c r="H1009" s="228">
        <v>20000</v>
      </c>
    </row>
    <row r="1010" spans="1:8" s="149" customFormat="1" ht="18.75" customHeight="1" thickBot="1">
      <c r="A1010" s="394">
        <v>852</v>
      </c>
      <c r="B1010" s="394"/>
      <c r="C1010" s="394"/>
      <c r="D1010" s="394" t="s">
        <v>129</v>
      </c>
      <c r="E1010" s="377"/>
      <c r="F1010" s="377"/>
      <c r="G1010" s="377"/>
      <c r="H1010" s="377">
        <f>H1011+H1015+H1018+H1021</f>
        <v>3321615</v>
      </c>
    </row>
    <row r="1011" spans="1:8" s="1056" customFormat="1" ht="18.75" customHeight="1">
      <c r="A1011" s="56"/>
      <c r="B1011" s="165">
        <v>85201</v>
      </c>
      <c r="C1011" s="165"/>
      <c r="D1011" s="185" t="s">
        <v>55</v>
      </c>
      <c r="E1011" s="347"/>
      <c r="F1011" s="347"/>
      <c r="G1011" s="347"/>
      <c r="H1011" s="347">
        <f>H1012</f>
        <v>2700000</v>
      </c>
    </row>
    <row r="1012" spans="1:8" s="1056" customFormat="1" ht="25.5" customHeight="1">
      <c r="A1012" s="56"/>
      <c r="B1012" s="56"/>
      <c r="C1012" s="170"/>
      <c r="D1012" s="196" t="s">
        <v>1115</v>
      </c>
      <c r="E1012" s="169"/>
      <c r="F1012" s="169"/>
      <c r="G1012" s="169"/>
      <c r="H1012" s="169">
        <f>H1013</f>
        <v>2700000</v>
      </c>
    </row>
    <row r="1013" spans="1:8" s="1056" customFormat="1" ht="25.5" customHeight="1">
      <c r="A1013" s="158"/>
      <c r="B1013" s="158"/>
      <c r="C1013" s="181">
        <v>2320</v>
      </c>
      <c r="D1013" s="189" t="s">
        <v>997</v>
      </c>
      <c r="E1013" s="176"/>
      <c r="F1013" s="176"/>
      <c r="G1013" s="176"/>
      <c r="H1013" s="176">
        <v>2700000</v>
      </c>
    </row>
    <row r="1014" ht="25.5" customHeight="1"/>
    <row r="1015" spans="1:8" s="1056" customFormat="1" ht="19.5" customHeight="1">
      <c r="A1015" s="56"/>
      <c r="B1015" s="165">
        <v>85204</v>
      </c>
      <c r="C1015" s="165"/>
      <c r="D1015" s="185" t="s">
        <v>289</v>
      </c>
      <c r="E1015" s="347"/>
      <c r="F1015" s="347"/>
      <c r="G1015" s="347"/>
      <c r="H1015" s="347">
        <f>H1016</f>
        <v>550000</v>
      </c>
    </row>
    <row r="1016" spans="1:8" s="1056" customFormat="1" ht="25.5" customHeight="1">
      <c r="A1016" s="301"/>
      <c r="B1016" s="56"/>
      <c r="C1016" s="193"/>
      <c r="D1016" s="186" t="s">
        <v>300</v>
      </c>
      <c r="E1016" s="169"/>
      <c r="F1016" s="169"/>
      <c r="G1016" s="169"/>
      <c r="H1016" s="169">
        <f>H1017</f>
        <v>550000</v>
      </c>
    </row>
    <row r="1017" spans="1:8" s="1056" customFormat="1" ht="25.5" customHeight="1">
      <c r="A1017" s="301"/>
      <c r="B1017" s="158"/>
      <c r="C1017" s="181">
        <v>2320</v>
      </c>
      <c r="D1017" s="189" t="s">
        <v>997</v>
      </c>
      <c r="E1017" s="176"/>
      <c r="F1017" s="176"/>
      <c r="G1017" s="176"/>
      <c r="H1017" s="176">
        <v>550000</v>
      </c>
    </row>
    <row r="1018" spans="1:8" s="1056" customFormat="1" ht="25.5">
      <c r="A1018" s="56"/>
      <c r="B1018" s="165">
        <v>85220</v>
      </c>
      <c r="C1018" s="165"/>
      <c r="D1018" s="185" t="s">
        <v>222</v>
      </c>
      <c r="E1018" s="347"/>
      <c r="F1018" s="347"/>
      <c r="G1018" s="347"/>
      <c r="H1018" s="347">
        <f>H1019</f>
        <v>60000</v>
      </c>
    </row>
    <row r="1019" spans="1:8" s="1056" customFormat="1" ht="19.5" customHeight="1">
      <c r="A1019" s="301"/>
      <c r="B1019" s="56"/>
      <c r="C1019" s="193"/>
      <c r="D1019" s="186" t="s">
        <v>344</v>
      </c>
      <c r="E1019" s="169"/>
      <c r="F1019" s="169"/>
      <c r="G1019" s="169"/>
      <c r="H1019" s="169">
        <f>H1020</f>
        <v>60000</v>
      </c>
    </row>
    <row r="1020" spans="1:8" s="1056" customFormat="1" ht="19.5" customHeight="1">
      <c r="A1020" s="301"/>
      <c r="B1020" s="158"/>
      <c r="C1020" s="181">
        <v>4210</v>
      </c>
      <c r="D1020" s="189" t="s">
        <v>748</v>
      </c>
      <c r="E1020" s="176"/>
      <c r="F1020" s="176"/>
      <c r="G1020" s="176"/>
      <c r="H1020" s="176">
        <v>60000</v>
      </c>
    </row>
    <row r="1021" spans="1:8" s="149" customFormat="1" ht="19.5" customHeight="1">
      <c r="A1021" s="2"/>
      <c r="B1021" s="3">
        <v>85295</v>
      </c>
      <c r="C1021" s="45"/>
      <c r="D1021" s="67" t="s">
        <v>100</v>
      </c>
      <c r="E1021" s="151"/>
      <c r="F1021" s="151"/>
      <c r="G1021" s="151"/>
      <c r="H1021" s="151">
        <f>H1022</f>
        <v>11615</v>
      </c>
    </row>
    <row r="1022" spans="1:8" s="149" customFormat="1" ht="19.5" customHeight="1">
      <c r="A1022" s="86"/>
      <c r="B1022" s="86"/>
      <c r="C1022" s="18"/>
      <c r="D1022" s="316" t="s">
        <v>892</v>
      </c>
      <c r="E1022" s="17"/>
      <c r="F1022" s="17"/>
      <c r="G1022" s="17"/>
      <c r="H1022" s="17">
        <f>H1023+H1024</f>
        <v>11615</v>
      </c>
    </row>
    <row r="1023" spans="1:8" s="149" customFormat="1" ht="29.25" customHeight="1">
      <c r="A1023" s="86"/>
      <c r="B1023" s="86"/>
      <c r="C1023" s="22">
        <v>2910</v>
      </c>
      <c r="D1023" s="20" t="s">
        <v>249</v>
      </c>
      <c r="E1023" s="6"/>
      <c r="F1023" s="6"/>
      <c r="G1023" s="6"/>
      <c r="H1023" s="6">
        <v>11545</v>
      </c>
    </row>
    <row r="1024" spans="1:11" s="989" customFormat="1" ht="25.5">
      <c r="A1024" s="56"/>
      <c r="B1024" s="56"/>
      <c r="C1024" s="961">
        <v>4560</v>
      </c>
      <c r="D1024" s="930" t="s">
        <v>806</v>
      </c>
      <c r="E1024" s="987"/>
      <c r="F1024" s="987"/>
      <c r="G1024" s="190"/>
      <c r="H1024" s="190">
        <v>70</v>
      </c>
      <c r="I1024" s="988"/>
      <c r="J1024" s="988"/>
      <c r="K1024" s="988"/>
    </row>
    <row r="1025" spans="1:8" ht="18" customHeight="1" thickBot="1">
      <c r="A1025" s="920">
        <v>853</v>
      </c>
      <c r="B1025" s="920"/>
      <c r="C1025" s="921"/>
      <c r="D1025" s="922" t="s">
        <v>277</v>
      </c>
      <c r="E1025" s="954"/>
      <c r="F1025" s="954"/>
      <c r="G1025" s="954"/>
      <c r="H1025" s="954">
        <f>H1026</f>
        <v>4236</v>
      </c>
    </row>
    <row r="1026" spans="1:8" ht="18" customHeight="1">
      <c r="A1026" s="923"/>
      <c r="B1026" s="924">
        <v>85311</v>
      </c>
      <c r="C1026" s="925"/>
      <c r="D1026" s="926" t="s">
        <v>785</v>
      </c>
      <c r="E1026" s="955"/>
      <c r="F1026" s="955"/>
      <c r="G1026" s="955"/>
      <c r="H1026" s="955">
        <f>H1027</f>
        <v>4236</v>
      </c>
    </row>
    <row r="1027" spans="1:8" ht="25.5" customHeight="1">
      <c r="A1027" s="923"/>
      <c r="B1027" s="923"/>
      <c r="C1027" s="927"/>
      <c r="D1027" s="928" t="s">
        <v>786</v>
      </c>
      <c r="E1027" s="956"/>
      <c r="F1027" s="956"/>
      <c r="G1027" s="956"/>
      <c r="H1027" s="956">
        <f>H1028</f>
        <v>4236</v>
      </c>
    </row>
    <row r="1028" spans="1:8" ht="25.5" customHeight="1">
      <c r="A1028" s="931"/>
      <c r="B1028" s="170"/>
      <c r="C1028" s="22">
        <v>2320</v>
      </c>
      <c r="D1028" s="930" t="s">
        <v>997</v>
      </c>
      <c r="E1028" s="943"/>
      <c r="F1028" s="943"/>
      <c r="G1028" s="943"/>
      <c r="H1028" s="943">
        <v>4236</v>
      </c>
    </row>
    <row r="1029" spans="1:8" s="1" customFormat="1" ht="21.75" customHeight="1">
      <c r="A1029" s="156"/>
      <c r="B1029" s="156"/>
      <c r="C1029" s="257"/>
      <c r="D1029" s="1034" t="s">
        <v>858</v>
      </c>
      <c r="E1029" s="1035"/>
      <c r="F1029" s="1035">
        <f>F1030</f>
        <v>134779700</v>
      </c>
      <c r="G1029" s="1035"/>
      <c r="H1029" s="1035">
        <f>H1064+H1076</f>
        <v>282548</v>
      </c>
    </row>
    <row r="1030" spans="1:8" s="1" customFormat="1" ht="21.75" customHeight="1">
      <c r="A1030" s="2"/>
      <c r="B1030" s="2"/>
      <c r="C1030" s="2"/>
      <c r="D1030" s="89" t="s">
        <v>614</v>
      </c>
      <c r="E1030" s="90"/>
      <c r="F1030" s="90">
        <f>F1031</f>
        <v>134779700</v>
      </c>
      <c r="G1030" s="90"/>
      <c r="H1030" s="90"/>
    </row>
    <row r="1031" spans="1:8" s="1" customFormat="1" ht="19.5" customHeight="1" thickBot="1">
      <c r="A1031" s="91"/>
      <c r="B1031" s="91"/>
      <c r="C1031" s="91"/>
      <c r="D1031" s="84" t="s">
        <v>513</v>
      </c>
      <c r="E1031" s="85"/>
      <c r="F1031" s="85">
        <f>F1032</f>
        <v>134779700</v>
      </c>
      <c r="G1031" s="85"/>
      <c r="H1031" s="85"/>
    </row>
    <row r="1032" spans="1:8" ht="27.75" customHeight="1" thickBot="1" thickTop="1">
      <c r="A1032" s="425">
        <v>756</v>
      </c>
      <c r="B1032" s="405"/>
      <c r="C1032" s="405"/>
      <c r="D1032" s="426" t="s">
        <v>380</v>
      </c>
      <c r="E1032" s="406"/>
      <c r="F1032" s="406">
        <f>F1033+F1044+F1059</f>
        <v>134779700</v>
      </c>
      <c r="G1032" s="406"/>
      <c r="H1032" s="406"/>
    </row>
    <row r="1033" spans="1:8" s="1" customFormat="1" ht="36" customHeight="1">
      <c r="A1033" s="2"/>
      <c r="B1033" s="3">
        <v>75615</v>
      </c>
      <c r="C1033" s="13"/>
      <c r="D1033" s="14" t="s">
        <v>1102</v>
      </c>
      <c r="E1033" s="15"/>
      <c r="F1033" s="15">
        <f>F1034+F1036+F1038+F1040+F1042</f>
        <v>102926200</v>
      </c>
      <c r="G1033" s="15"/>
      <c r="H1033" s="15"/>
    </row>
    <row r="1034" spans="1:8" s="1" customFormat="1" ht="19.5" customHeight="1">
      <c r="A1034" s="2"/>
      <c r="B1034" s="2"/>
      <c r="C1034" s="5"/>
      <c r="D1034" s="87" t="s">
        <v>236</v>
      </c>
      <c r="E1034" s="17"/>
      <c r="F1034" s="17">
        <f>F1035</f>
        <v>96500000</v>
      </c>
      <c r="G1034" s="17"/>
      <c r="H1034" s="17"/>
    </row>
    <row r="1035" spans="1:8" s="1" customFormat="1" ht="19.5" customHeight="1">
      <c r="A1035" s="18"/>
      <c r="B1035" s="18"/>
      <c r="C1035" s="19" t="s">
        <v>1067</v>
      </c>
      <c r="D1035" s="22" t="s">
        <v>683</v>
      </c>
      <c r="E1035" s="6"/>
      <c r="F1035" s="6">
        <v>96500000</v>
      </c>
      <c r="G1035" s="6"/>
      <c r="H1035" s="6"/>
    </row>
    <row r="1036" spans="1:8" s="1" customFormat="1" ht="18" customHeight="1">
      <c r="A1036" s="18"/>
      <c r="B1036" s="18"/>
      <c r="C1036" s="21"/>
      <c r="D1036" s="87" t="s">
        <v>237</v>
      </c>
      <c r="E1036" s="17"/>
      <c r="F1036" s="17">
        <f>F1037</f>
        <v>8400</v>
      </c>
      <c r="G1036" s="17"/>
      <c r="H1036" s="17"/>
    </row>
    <row r="1037" spans="1:8" s="1" customFormat="1" ht="18" customHeight="1">
      <c r="A1037" s="18"/>
      <c r="B1037" s="18"/>
      <c r="C1037" s="19" t="s">
        <v>1068</v>
      </c>
      <c r="D1037" s="22" t="s">
        <v>238</v>
      </c>
      <c r="E1037" s="6"/>
      <c r="F1037" s="6">
        <v>8400</v>
      </c>
      <c r="G1037" s="6"/>
      <c r="H1037" s="6"/>
    </row>
    <row r="1038" spans="1:8" s="1" customFormat="1" ht="19.5" customHeight="1">
      <c r="A1038" s="18"/>
      <c r="B1038" s="18"/>
      <c r="C1038" s="21"/>
      <c r="D1038" s="16" t="s">
        <v>239</v>
      </c>
      <c r="E1038" s="66"/>
      <c r="F1038" s="66">
        <f>F1039</f>
        <v>17800</v>
      </c>
      <c r="G1038" s="66"/>
      <c r="H1038" s="66"/>
    </row>
    <row r="1039" spans="1:8" s="1" customFormat="1" ht="19.5" customHeight="1">
      <c r="A1039" s="22"/>
      <c r="B1039" s="22"/>
      <c r="C1039" s="19" t="s">
        <v>1069</v>
      </c>
      <c r="D1039" s="20" t="s">
        <v>240</v>
      </c>
      <c r="E1039" s="6"/>
      <c r="F1039" s="6">
        <v>17800</v>
      </c>
      <c r="G1039" s="6"/>
      <c r="H1039" s="6"/>
    </row>
    <row r="1040" spans="1:8" s="1" customFormat="1" ht="19.5" customHeight="1">
      <c r="A1040" s="18"/>
      <c r="B1040" s="18"/>
      <c r="C1040" s="92"/>
      <c r="D1040" s="93" t="s">
        <v>648</v>
      </c>
      <c r="E1040" s="66"/>
      <c r="F1040" s="66">
        <f>F1041</f>
        <v>4900000</v>
      </c>
      <c r="G1040" s="66"/>
      <c r="H1040" s="66"/>
    </row>
    <row r="1041" spans="1:8" s="1" customFormat="1" ht="19.5" customHeight="1">
      <c r="A1041" s="18"/>
      <c r="B1041" s="18"/>
      <c r="C1041" s="19" t="s">
        <v>1070</v>
      </c>
      <c r="D1041" s="20" t="s">
        <v>649</v>
      </c>
      <c r="E1041" s="6"/>
      <c r="F1041" s="6">
        <v>4900000</v>
      </c>
      <c r="G1041" s="6"/>
      <c r="H1041" s="6"/>
    </row>
    <row r="1042" spans="1:8" s="1" customFormat="1" ht="19.5" customHeight="1">
      <c r="A1042" s="18"/>
      <c r="B1042" s="18"/>
      <c r="C1042" s="21"/>
      <c r="D1042" s="16" t="s">
        <v>40</v>
      </c>
      <c r="E1042" s="17"/>
      <c r="F1042" s="17">
        <f>F1043</f>
        <v>1500000</v>
      </c>
      <c r="G1042" s="9"/>
      <c r="H1042" s="9"/>
    </row>
    <row r="1043" spans="1:8" s="1" customFormat="1" ht="19.5" customHeight="1">
      <c r="A1043" s="18"/>
      <c r="B1043" s="22"/>
      <c r="C1043" s="19" t="s">
        <v>1066</v>
      </c>
      <c r="D1043" s="20" t="s">
        <v>235</v>
      </c>
      <c r="E1043" s="6"/>
      <c r="F1043" s="6">
        <v>1500000</v>
      </c>
      <c r="G1043" s="6"/>
      <c r="H1043" s="6"/>
    </row>
    <row r="1044" spans="1:8" s="1" customFormat="1" ht="38.25">
      <c r="A1044" s="2"/>
      <c r="B1044" s="3">
        <v>75616</v>
      </c>
      <c r="C1044" s="13"/>
      <c r="D1044" s="14" t="s">
        <v>501</v>
      </c>
      <c r="E1044" s="15"/>
      <c r="F1044" s="15">
        <f>F1045+F1047+F1049+F1051+F1053+F1057+F1055</f>
        <v>23248500</v>
      </c>
      <c r="G1044" s="15"/>
      <c r="H1044" s="15"/>
    </row>
    <row r="1045" spans="1:8" s="1" customFormat="1" ht="18.75" customHeight="1">
      <c r="A1045" s="2"/>
      <c r="B1045" s="2"/>
      <c r="C1045" s="5"/>
      <c r="D1045" s="87" t="s">
        <v>236</v>
      </c>
      <c r="E1045" s="17"/>
      <c r="F1045" s="17">
        <f>F1046</f>
        <v>17000000</v>
      </c>
      <c r="G1045" s="17"/>
      <c r="H1045" s="17"/>
    </row>
    <row r="1046" spans="1:8" s="1" customFormat="1" ht="18.75" customHeight="1">
      <c r="A1046" s="18"/>
      <c r="B1046" s="18"/>
      <c r="C1046" s="19" t="s">
        <v>1067</v>
      </c>
      <c r="D1046" s="22" t="s">
        <v>683</v>
      </c>
      <c r="E1046" s="6"/>
      <c r="F1046" s="6">
        <v>17000000</v>
      </c>
      <c r="G1046" s="6"/>
      <c r="H1046" s="6"/>
    </row>
    <row r="1047" spans="1:8" s="1" customFormat="1" ht="18.75" customHeight="1">
      <c r="A1047" s="18"/>
      <c r="B1047" s="18"/>
      <c r="C1047" s="92"/>
      <c r="D1047" s="94" t="s">
        <v>237</v>
      </c>
      <c r="E1047" s="66"/>
      <c r="F1047" s="66">
        <f>F1048</f>
        <v>640000</v>
      </c>
      <c r="G1047" s="66"/>
      <c r="H1047" s="66"/>
    </row>
    <row r="1048" spans="1:8" s="1" customFormat="1" ht="18.75" customHeight="1">
      <c r="A1048" s="18"/>
      <c r="B1048" s="18"/>
      <c r="C1048" s="19" t="s">
        <v>1068</v>
      </c>
      <c r="D1048" s="22" t="s">
        <v>238</v>
      </c>
      <c r="E1048" s="6"/>
      <c r="F1048" s="6">
        <v>640000</v>
      </c>
      <c r="G1048" s="6"/>
      <c r="H1048" s="6"/>
    </row>
    <row r="1049" spans="1:8" s="1" customFormat="1" ht="18.75" customHeight="1">
      <c r="A1049" s="18"/>
      <c r="B1049" s="18"/>
      <c r="C1049" s="21"/>
      <c r="D1049" s="16" t="s">
        <v>239</v>
      </c>
      <c r="E1049" s="66"/>
      <c r="F1049" s="66">
        <f>F1050</f>
        <v>8500</v>
      </c>
      <c r="G1049" s="66"/>
      <c r="H1049" s="66"/>
    </row>
    <row r="1050" spans="1:8" s="1" customFormat="1" ht="18.75" customHeight="1">
      <c r="A1050" s="18"/>
      <c r="B1050" s="18"/>
      <c r="C1050" s="19" t="s">
        <v>1069</v>
      </c>
      <c r="D1050" s="20" t="s">
        <v>240</v>
      </c>
      <c r="E1050" s="6"/>
      <c r="F1050" s="6">
        <v>8500</v>
      </c>
      <c r="G1050" s="6"/>
      <c r="H1050" s="6"/>
    </row>
    <row r="1051" spans="1:8" s="1" customFormat="1" ht="18.75" customHeight="1">
      <c r="A1051" s="18"/>
      <c r="B1051" s="18"/>
      <c r="C1051" s="21"/>
      <c r="D1051" s="16" t="s">
        <v>648</v>
      </c>
      <c r="E1051" s="17"/>
      <c r="F1051" s="17">
        <f>F1052</f>
        <v>2800000</v>
      </c>
      <c r="G1051" s="17"/>
      <c r="H1051" s="17"/>
    </row>
    <row r="1052" spans="1:8" s="1" customFormat="1" ht="18.75" customHeight="1">
      <c r="A1052" s="18"/>
      <c r="B1052" s="18"/>
      <c r="C1052" s="19" t="s">
        <v>1070</v>
      </c>
      <c r="D1052" s="20" t="s">
        <v>649</v>
      </c>
      <c r="E1052" s="6"/>
      <c r="F1052" s="6">
        <v>2800000</v>
      </c>
      <c r="G1052" s="6"/>
      <c r="H1052" s="6"/>
    </row>
    <row r="1053" spans="1:8" s="1" customFormat="1" ht="18.75" customHeight="1">
      <c r="A1053" s="18"/>
      <c r="B1053" s="18"/>
      <c r="C1053" s="21"/>
      <c r="D1053" s="95" t="s">
        <v>599</v>
      </c>
      <c r="E1053" s="44"/>
      <c r="F1053" s="44">
        <f>F1054</f>
        <v>300000</v>
      </c>
      <c r="G1053" s="44"/>
      <c r="H1053" s="44"/>
    </row>
    <row r="1054" spans="1:8" s="1" customFormat="1" ht="18.75" customHeight="1">
      <c r="A1054" s="18"/>
      <c r="B1054" s="18"/>
      <c r="C1054" s="19" t="s">
        <v>1075</v>
      </c>
      <c r="D1054" s="237" t="s">
        <v>722</v>
      </c>
      <c r="E1054" s="98"/>
      <c r="F1054" s="98">
        <v>300000</v>
      </c>
      <c r="G1054" s="98"/>
      <c r="H1054" s="98"/>
    </row>
    <row r="1055" spans="1:8" s="150" customFormat="1" ht="20.25" customHeight="1">
      <c r="A1055" s="56"/>
      <c r="B1055" s="56"/>
      <c r="C1055" s="193"/>
      <c r="D1055" s="186" t="s">
        <v>1121</v>
      </c>
      <c r="E1055" s="169"/>
      <c r="F1055" s="169">
        <f>F1056</f>
        <v>1500000</v>
      </c>
      <c r="G1055" s="169"/>
      <c r="H1055" s="169"/>
    </row>
    <row r="1056" spans="1:8" s="150" customFormat="1" ht="18.75" customHeight="1">
      <c r="A1056" s="170"/>
      <c r="B1056" s="170"/>
      <c r="C1056" s="188" t="s">
        <v>636</v>
      </c>
      <c r="D1056" s="189" t="s">
        <v>1122</v>
      </c>
      <c r="E1056" s="173"/>
      <c r="F1056" s="173">
        <v>1500000</v>
      </c>
      <c r="G1056" s="173"/>
      <c r="H1056" s="173"/>
    </row>
    <row r="1057" spans="1:8" s="1" customFormat="1" ht="18.75" customHeight="1">
      <c r="A1057" s="18"/>
      <c r="B1057" s="18"/>
      <c r="C1057" s="21"/>
      <c r="D1057" s="16" t="s">
        <v>40</v>
      </c>
      <c r="E1057" s="17"/>
      <c r="F1057" s="17">
        <f>F1058</f>
        <v>1000000</v>
      </c>
      <c r="G1057" s="9"/>
      <c r="H1057" s="9"/>
    </row>
    <row r="1058" spans="1:8" s="1" customFormat="1" ht="18.75" customHeight="1">
      <c r="A1058" s="18"/>
      <c r="B1058" s="22"/>
      <c r="C1058" s="19" t="s">
        <v>1066</v>
      </c>
      <c r="D1058" s="20" t="s">
        <v>235</v>
      </c>
      <c r="E1058" s="6"/>
      <c r="F1058" s="6">
        <v>1000000</v>
      </c>
      <c r="G1058" s="6"/>
      <c r="H1058" s="6"/>
    </row>
    <row r="1059" spans="1:8" s="1" customFormat="1" ht="25.5">
      <c r="A1059" s="2"/>
      <c r="B1059" s="25">
        <v>75618</v>
      </c>
      <c r="C1059" s="99"/>
      <c r="D1059" s="23" t="s">
        <v>989</v>
      </c>
      <c r="E1059" s="4"/>
      <c r="F1059" s="4">
        <f>F1060+F1062</f>
        <v>8605000</v>
      </c>
      <c r="G1059" s="4"/>
      <c r="H1059" s="4"/>
    </row>
    <row r="1060" spans="1:8" s="1" customFormat="1" ht="18" customHeight="1">
      <c r="A1060" s="2"/>
      <c r="B1060" s="36"/>
      <c r="C1060" s="100"/>
      <c r="D1060" s="101" t="s">
        <v>724</v>
      </c>
      <c r="E1060" s="17"/>
      <c r="F1060" s="17">
        <f>F1061</f>
        <v>8600000</v>
      </c>
      <c r="G1060" s="17"/>
      <c r="H1060" s="17"/>
    </row>
    <row r="1061" spans="1:8" s="1" customFormat="1" ht="18" customHeight="1">
      <c r="A1061" s="18"/>
      <c r="B1061" s="18"/>
      <c r="C1061" s="68" t="s">
        <v>1077</v>
      </c>
      <c r="D1061" s="69" t="s">
        <v>877</v>
      </c>
      <c r="E1061" s="98"/>
      <c r="F1061" s="98">
        <v>8600000</v>
      </c>
      <c r="G1061" s="98"/>
      <c r="H1061" s="98"/>
    </row>
    <row r="1062" spans="1:8" s="1" customFormat="1" ht="18" customHeight="1">
      <c r="A1062" s="18"/>
      <c r="B1062" s="18"/>
      <c r="C1062" s="92"/>
      <c r="D1062" s="75" t="s">
        <v>174</v>
      </c>
      <c r="E1062" s="102"/>
      <c r="F1062" s="102">
        <f>F1063</f>
        <v>5000</v>
      </c>
      <c r="G1062" s="103"/>
      <c r="H1062" s="103"/>
    </row>
    <row r="1063" spans="1:8" s="1" customFormat="1" ht="18" customHeight="1">
      <c r="A1063" s="18"/>
      <c r="B1063" s="18"/>
      <c r="C1063" s="19" t="s">
        <v>1066</v>
      </c>
      <c r="D1063" s="20" t="s">
        <v>235</v>
      </c>
      <c r="E1063" s="98"/>
      <c r="F1063" s="98">
        <v>5000</v>
      </c>
      <c r="G1063" s="98"/>
      <c r="H1063" s="98"/>
    </row>
    <row r="1064" spans="1:8" s="1" customFormat="1" ht="19.5" customHeight="1" thickBot="1">
      <c r="A1064" s="91"/>
      <c r="B1064" s="91"/>
      <c r="C1064" s="91"/>
      <c r="D1064" s="84" t="s">
        <v>646</v>
      </c>
      <c r="E1064" s="284"/>
      <c r="F1064" s="284"/>
      <c r="G1064" s="24"/>
      <c r="H1064" s="24">
        <f>H1065+H1069</f>
        <v>278000</v>
      </c>
    </row>
    <row r="1065" spans="1:8" ht="18" customHeight="1" thickBot="1" thickTop="1">
      <c r="A1065" s="396" t="s">
        <v>1022</v>
      </c>
      <c r="B1065" s="394"/>
      <c r="C1065" s="375"/>
      <c r="D1065" s="375" t="s">
        <v>1023</v>
      </c>
      <c r="E1065" s="397"/>
      <c r="F1065" s="397"/>
      <c r="G1065" s="398"/>
      <c r="H1065" s="398">
        <f>H1066</f>
        <v>11000</v>
      </c>
    </row>
    <row r="1066" spans="1:8" ht="19.5" customHeight="1">
      <c r="A1066" s="2"/>
      <c r="B1066" s="63" t="s">
        <v>842</v>
      </c>
      <c r="C1066" s="63"/>
      <c r="D1066" s="3" t="s">
        <v>757</v>
      </c>
      <c r="E1066" s="4"/>
      <c r="F1066" s="4"/>
      <c r="G1066" s="4"/>
      <c r="H1066" s="4">
        <f>H1067</f>
        <v>11000</v>
      </c>
    </row>
    <row r="1067" spans="1:8" ht="19.5" customHeight="1">
      <c r="A1067" s="22"/>
      <c r="B1067" s="22"/>
      <c r="C1067" s="144"/>
      <c r="D1067" s="1065" t="s">
        <v>843</v>
      </c>
      <c r="E1067" s="1046"/>
      <c r="F1067" s="1046"/>
      <c r="G1067" s="1046"/>
      <c r="H1067" s="1046">
        <f>H1068</f>
        <v>11000</v>
      </c>
    </row>
    <row r="1068" spans="1:8" ht="25.5">
      <c r="A1068" s="22"/>
      <c r="B1068" s="22"/>
      <c r="C1068" s="22">
        <v>2850</v>
      </c>
      <c r="D1068" s="20" t="s">
        <v>478</v>
      </c>
      <c r="E1068" s="6"/>
      <c r="F1068" s="6"/>
      <c r="G1068" s="6"/>
      <c r="H1068" s="6">
        <v>11000</v>
      </c>
    </row>
    <row r="1069" spans="1:8" ht="26.25" thickBot="1">
      <c r="A1069" s="394">
        <v>756</v>
      </c>
      <c r="B1069" s="394"/>
      <c r="C1069" s="394"/>
      <c r="D1069" s="395" t="s">
        <v>452</v>
      </c>
      <c r="E1069" s="399"/>
      <c r="F1069" s="399"/>
      <c r="G1069" s="400"/>
      <c r="H1069" s="400">
        <f>H1070</f>
        <v>267000</v>
      </c>
    </row>
    <row r="1070" spans="1:8" ht="19.5" customHeight="1">
      <c r="A1070" s="86"/>
      <c r="B1070" s="25">
        <v>75647</v>
      </c>
      <c r="C1070" s="25"/>
      <c r="D1070" s="67" t="s">
        <v>493</v>
      </c>
      <c r="E1070" s="4"/>
      <c r="F1070" s="4"/>
      <c r="G1070" s="4"/>
      <c r="H1070" s="4">
        <f>H1071</f>
        <v>267000</v>
      </c>
    </row>
    <row r="1071" spans="1:8" ht="19.5" customHeight="1">
      <c r="A1071" s="86"/>
      <c r="B1071" s="122"/>
      <c r="C1071" s="86"/>
      <c r="D1071" s="263" t="s">
        <v>49</v>
      </c>
      <c r="E1071" s="17"/>
      <c r="F1071" s="17"/>
      <c r="G1071" s="17"/>
      <c r="H1071" s="17">
        <f>H1074+H1075+H1072+H1073</f>
        <v>267000</v>
      </c>
    </row>
    <row r="1072" spans="1:8" ht="19.5" customHeight="1">
      <c r="A1072" s="86"/>
      <c r="B1072" s="86"/>
      <c r="C1072" s="22">
        <v>4110</v>
      </c>
      <c r="D1072" s="22" t="s">
        <v>681</v>
      </c>
      <c r="E1072" s="6"/>
      <c r="F1072" s="6"/>
      <c r="G1072" s="6"/>
      <c r="H1072" s="6">
        <v>2000</v>
      </c>
    </row>
    <row r="1073" spans="1:8" ht="19.5" customHeight="1">
      <c r="A1073" s="86"/>
      <c r="B1073" s="86"/>
      <c r="C1073" s="22">
        <v>4120</v>
      </c>
      <c r="D1073" s="20" t="s">
        <v>682</v>
      </c>
      <c r="E1073" s="6"/>
      <c r="F1073" s="6"/>
      <c r="G1073" s="6"/>
      <c r="H1073" s="6">
        <v>500</v>
      </c>
    </row>
    <row r="1074" spans="1:8" ht="19.5" customHeight="1">
      <c r="A1074" s="86"/>
      <c r="B1074" s="86"/>
      <c r="C1074" s="22">
        <v>4170</v>
      </c>
      <c r="D1074" s="22" t="s">
        <v>740</v>
      </c>
      <c r="E1074" s="6"/>
      <c r="F1074" s="6"/>
      <c r="G1074" s="6"/>
      <c r="H1074" s="6">
        <f>58000-2500</f>
        <v>55500</v>
      </c>
    </row>
    <row r="1075" spans="1:8" ht="19.5" customHeight="1">
      <c r="A1075" s="86"/>
      <c r="B1075" s="86"/>
      <c r="C1075" s="22">
        <v>4300</v>
      </c>
      <c r="D1075" s="20" t="s">
        <v>815</v>
      </c>
      <c r="E1075" s="6"/>
      <c r="F1075" s="6"/>
      <c r="G1075" s="6"/>
      <c r="H1075" s="6">
        <f>19000+190000</f>
        <v>209000</v>
      </c>
    </row>
    <row r="1076" spans="1:8" s="1" customFormat="1" ht="19.5" customHeight="1" thickBot="1">
      <c r="A1076" s="91"/>
      <c r="B1076" s="91"/>
      <c r="C1076" s="91"/>
      <c r="D1076" s="84" t="s">
        <v>523</v>
      </c>
      <c r="E1076" s="284"/>
      <c r="F1076" s="284"/>
      <c r="G1076" s="24"/>
      <c r="H1076" s="24">
        <f>H1077</f>
        <v>4548</v>
      </c>
    </row>
    <row r="1077" spans="1:8" ht="18" customHeight="1" thickBot="1" thickTop="1">
      <c r="A1077" s="410" t="s">
        <v>1022</v>
      </c>
      <c r="B1077" s="394"/>
      <c r="C1077" s="375"/>
      <c r="D1077" s="375" t="s">
        <v>1023</v>
      </c>
      <c r="E1077" s="397"/>
      <c r="F1077" s="397"/>
      <c r="G1077" s="398"/>
      <c r="H1077" s="398">
        <f>H1078</f>
        <v>4548</v>
      </c>
    </row>
    <row r="1078" spans="1:8" ht="19.5" customHeight="1">
      <c r="A1078" s="2"/>
      <c r="B1078" s="63" t="s">
        <v>743</v>
      </c>
      <c r="C1078" s="63"/>
      <c r="D1078" s="3" t="s">
        <v>100</v>
      </c>
      <c r="E1078" s="4"/>
      <c r="F1078" s="4"/>
      <c r="G1078" s="4"/>
      <c r="H1078" s="4">
        <f>H1079</f>
        <v>4548</v>
      </c>
    </row>
    <row r="1079" spans="1:8" ht="19.5" customHeight="1">
      <c r="A1079" s="18"/>
      <c r="B1079" s="18"/>
      <c r="C1079" s="128"/>
      <c r="D1079" s="16" t="s">
        <v>61</v>
      </c>
      <c r="E1079" s="17"/>
      <c r="F1079" s="17"/>
      <c r="G1079" s="17"/>
      <c r="H1079" s="17">
        <f>H1080+H1081</f>
        <v>4548</v>
      </c>
    </row>
    <row r="1080" spans="1:8" s="1056" customFormat="1" ht="19.5" customHeight="1">
      <c r="A1080" s="301"/>
      <c r="B1080" s="56"/>
      <c r="C1080" s="181">
        <v>4210</v>
      </c>
      <c r="D1080" s="189" t="s">
        <v>748</v>
      </c>
      <c r="E1080" s="176"/>
      <c r="F1080" s="176"/>
      <c r="G1080" s="176"/>
      <c r="H1080" s="176">
        <v>90</v>
      </c>
    </row>
    <row r="1081" spans="1:8" s="149" customFormat="1" ht="20.25" customHeight="1">
      <c r="A1081" s="86"/>
      <c r="B1081" s="86"/>
      <c r="C1081" s="22">
        <v>4430</v>
      </c>
      <c r="D1081" s="20" t="s">
        <v>750</v>
      </c>
      <c r="E1081" s="6"/>
      <c r="F1081" s="6"/>
      <c r="G1081" s="6"/>
      <c r="H1081" s="6">
        <v>4458</v>
      </c>
    </row>
    <row r="1082" spans="1:8" s="1" customFormat="1" ht="22.5" customHeight="1">
      <c r="A1082" s="86"/>
      <c r="B1082" s="86"/>
      <c r="C1082" s="128"/>
      <c r="D1082" s="1042" t="s">
        <v>859</v>
      </c>
      <c r="E1082" s="1043"/>
      <c r="F1082" s="1043"/>
      <c r="G1082" s="1043">
        <f>G1083+G1120</f>
        <v>1432587</v>
      </c>
      <c r="H1082" s="1043"/>
    </row>
    <row r="1083" spans="1:8" s="1" customFormat="1" ht="19.5" customHeight="1" thickBot="1">
      <c r="A1083" s="107"/>
      <c r="B1083" s="107"/>
      <c r="C1083" s="22"/>
      <c r="D1083" s="84" t="s">
        <v>646</v>
      </c>
      <c r="E1083" s="85"/>
      <c r="F1083" s="85"/>
      <c r="G1083" s="85">
        <f>G1084+G1089</f>
        <v>626371</v>
      </c>
      <c r="H1083" s="85"/>
    </row>
    <row r="1084" spans="1:8" s="1" customFormat="1" ht="19.5" customHeight="1" thickBot="1" thickTop="1">
      <c r="A1084" s="396">
        <v>754</v>
      </c>
      <c r="B1084" s="394"/>
      <c r="C1084" s="402"/>
      <c r="D1084" s="376" t="s">
        <v>441</v>
      </c>
      <c r="E1084" s="403"/>
      <c r="F1084" s="403"/>
      <c r="G1084" s="404">
        <f>G1085</f>
        <v>7740</v>
      </c>
      <c r="H1084" s="404"/>
    </row>
    <row r="1085" spans="1:8" s="1" customFormat="1" ht="19.5" customHeight="1">
      <c r="A1085" s="86"/>
      <c r="B1085" s="3">
        <v>75495</v>
      </c>
      <c r="C1085" s="45"/>
      <c r="D1085" s="67" t="s">
        <v>100</v>
      </c>
      <c r="E1085" s="4"/>
      <c r="F1085" s="4"/>
      <c r="G1085" s="4">
        <f>G1086</f>
        <v>7740</v>
      </c>
      <c r="H1085" s="4"/>
    </row>
    <row r="1086" spans="1:8" s="1" customFormat="1" ht="19.5" customHeight="1">
      <c r="A1086" s="86"/>
      <c r="B1086" s="86"/>
      <c r="C1086" s="18"/>
      <c r="D1086" s="316" t="s">
        <v>672</v>
      </c>
      <c r="E1086" s="325"/>
      <c r="F1086" s="325"/>
      <c r="G1086" s="282">
        <f>G1088</f>
        <v>7740</v>
      </c>
      <c r="H1086" s="282"/>
    </row>
    <row r="1087" spans="1:8" s="1" customFormat="1" ht="25.5">
      <c r="A1087" s="86"/>
      <c r="B1087" s="86"/>
      <c r="C1087" s="18"/>
      <c r="D1087" s="253" t="s">
        <v>341</v>
      </c>
      <c r="E1087" s="249"/>
      <c r="F1087" s="249"/>
      <c r="G1087" s="249">
        <v>7740</v>
      </c>
      <c r="H1087" s="249"/>
    </row>
    <row r="1088" spans="1:8" s="1" customFormat="1" ht="33.75" customHeight="1">
      <c r="A1088" s="107"/>
      <c r="B1088" s="107"/>
      <c r="C1088" s="22">
        <v>2679</v>
      </c>
      <c r="D1088" s="20" t="s">
        <v>850</v>
      </c>
      <c r="E1088" s="235"/>
      <c r="F1088" s="235"/>
      <c r="G1088" s="176">
        <f>G1087</f>
        <v>7740</v>
      </c>
      <c r="H1088" s="176"/>
    </row>
    <row r="1089" spans="1:8" ht="21" customHeight="1" thickBot="1">
      <c r="A1089" s="405">
        <v>758</v>
      </c>
      <c r="B1089" s="405"/>
      <c r="C1089" s="405"/>
      <c r="D1089" s="405" t="s">
        <v>446</v>
      </c>
      <c r="E1089" s="406"/>
      <c r="F1089" s="406"/>
      <c r="G1089" s="406">
        <f>G1090</f>
        <v>618631</v>
      </c>
      <c r="H1089" s="406"/>
    </row>
    <row r="1090" spans="1:8" ht="21" customHeight="1">
      <c r="A1090" s="56"/>
      <c r="B1090" s="165">
        <v>75860</v>
      </c>
      <c r="C1090" s="256"/>
      <c r="D1090" s="165" t="s">
        <v>309</v>
      </c>
      <c r="E1090" s="167"/>
      <c r="F1090" s="167"/>
      <c r="G1090" s="167">
        <f>G1091+G1098+G1104</f>
        <v>618631</v>
      </c>
      <c r="H1090" s="167"/>
    </row>
    <row r="1091" spans="1:8" ht="25.5">
      <c r="A1091" s="86"/>
      <c r="B1091" s="86"/>
      <c r="C1091" s="18"/>
      <c r="D1091" s="407" t="s">
        <v>557</v>
      </c>
      <c r="E1091" s="66"/>
      <c r="F1091" s="66"/>
      <c r="G1091" s="66">
        <f>SUM(G1092:G1097)</f>
        <v>90940</v>
      </c>
      <c r="H1091" s="66"/>
    </row>
    <row r="1092" spans="1:8" ht="21" customHeight="1">
      <c r="A1092" s="86"/>
      <c r="B1092" s="86"/>
      <c r="C1092" s="22">
        <v>4018</v>
      </c>
      <c r="D1092" s="20" t="s">
        <v>754</v>
      </c>
      <c r="E1092" s="6"/>
      <c r="F1092" s="6"/>
      <c r="G1092" s="6">
        <v>953</v>
      </c>
      <c r="H1092" s="6"/>
    </row>
    <row r="1093" spans="1:8" ht="21" customHeight="1">
      <c r="A1093" s="107"/>
      <c r="B1093" s="107"/>
      <c r="C1093" s="144">
        <v>4019</v>
      </c>
      <c r="D1093" s="252" t="s">
        <v>754</v>
      </c>
      <c r="E1093" s="65"/>
      <c r="F1093" s="65"/>
      <c r="G1093" s="65">
        <v>317</v>
      </c>
      <c r="H1093" s="65"/>
    </row>
    <row r="1094" spans="1:8" ht="21" customHeight="1">
      <c r="A1094" s="86"/>
      <c r="B1094" s="86"/>
      <c r="C1094" s="22">
        <v>4178</v>
      </c>
      <c r="D1094" s="20" t="s">
        <v>740</v>
      </c>
      <c r="E1094" s="6"/>
      <c r="F1094" s="6"/>
      <c r="G1094" s="6">
        <v>5735</v>
      </c>
      <c r="H1094" s="6"/>
    </row>
    <row r="1095" spans="1:8" ht="21" customHeight="1">
      <c r="A1095" s="86"/>
      <c r="B1095" s="86"/>
      <c r="C1095" s="22">
        <v>4179</v>
      </c>
      <c r="D1095" s="20" t="s">
        <v>740</v>
      </c>
      <c r="E1095" s="6"/>
      <c r="F1095" s="6"/>
      <c r="G1095" s="6">
        <v>1912</v>
      </c>
      <c r="H1095" s="6"/>
    </row>
    <row r="1096" spans="1:8" ht="21" customHeight="1">
      <c r="A1096" s="86"/>
      <c r="B1096" s="86"/>
      <c r="C1096" s="22">
        <v>4308</v>
      </c>
      <c r="D1096" s="20" t="s">
        <v>815</v>
      </c>
      <c r="E1096" s="6"/>
      <c r="F1096" s="6"/>
      <c r="G1096" s="6">
        <v>6000</v>
      </c>
      <c r="H1096" s="6"/>
    </row>
    <row r="1097" spans="1:8" ht="21" customHeight="1">
      <c r="A1097" s="86"/>
      <c r="B1097" s="86"/>
      <c r="C1097" s="144">
        <v>4309</v>
      </c>
      <c r="D1097" s="20" t="s">
        <v>815</v>
      </c>
      <c r="E1097" s="65"/>
      <c r="F1097" s="65"/>
      <c r="G1097" s="65">
        <v>76023</v>
      </c>
      <c r="H1097" s="65"/>
    </row>
    <row r="1098" spans="1:8" ht="25.5">
      <c r="A1098" s="86"/>
      <c r="B1098" s="86"/>
      <c r="C1098" s="18"/>
      <c r="D1098" s="407" t="s">
        <v>342</v>
      </c>
      <c r="E1098" s="408"/>
      <c r="F1098" s="408"/>
      <c r="G1098" s="408">
        <f>SUM(G1099:G1103)</f>
        <v>375000</v>
      </c>
      <c r="H1098" s="408"/>
    </row>
    <row r="1099" spans="1:8" ht="21" customHeight="1">
      <c r="A1099" s="86"/>
      <c r="B1099" s="86"/>
      <c r="C1099" s="22">
        <v>4010</v>
      </c>
      <c r="D1099" s="20" t="s">
        <v>754</v>
      </c>
      <c r="E1099" s="6"/>
      <c r="F1099" s="6"/>
      <c r="G1099" s="6">
        <v>12283</v>
      </c>
      <c r="H1099" s="6"/>
    </row>
    <row r="1100" spans="1:8" ht="21" customHeight="1">
      <c r="A1100" s="86"/>
      <c r="B1100" s="86"/>
      <c r="C1100" s="144">
        <v>4170</v>
      </c>
      <c r="D1100" s="252" t="s">
        <v>740</v>
      </c>
      <c r="E1100" s="65"/>
      <c r="F1100" s="65"/>
      <c r="G1100" s="65">
        <v>4717</v>
      </c>
      <c r="H1100" s="65"/>
    </row>
    <row r="1101" spans="1:8" ht="21" customHeight="1">
      <c r="A1101" s="86"/>
      <c r="B1101" s="86"/>
      <c r="C1101" s="22">
        <v>4210</v>
      </c>
      <c r="D1101" s="20" t="s">
        <v>748</v>
      </c>
      <c r="E1101" s="6"/>
      <c r="F1101" s="6"/>
      <c r="G1101" s="6">
        <v>3333</v>
      </c>
      <c r="H1101" s="6"/>
    </row>
    <row r="1102" spans="1:8" ht="21" customHeight="1">
      <c r="A1102" s="86"/>
      <c r="B1102" s="86"/>
      <c r="C1102" s="22">
        <v>4300</v>
      </c>
      <c r="D1102" s="20" t="s">
        <v>815</v>
      </c>
      <c r="E1102" s="6"/>
      <c r="F1102" s="6"/>
      <c r="G1102" s="6">
        <v>351917</v>
      </c>
      <c r="H1102" s="6"/>
    </row>
    <row r="1103" spans="1:8" ht="21" customHeight="1">
      <c r="A1103" s="86"/>
      <c r="B1103" s="86"/>
      <c r="C1103" s="22">
        <v>4420</v>
      </c>
      <c r="D1103" s="20" t="s">
        <v>686</v>
      </c>
      <c r="E1103" s="6"/>
      <c r="F1103" s="6"/>
      <c r="G1103" s="6">
        <v>2750</v>
      </c>
      <c r="H1103" s="6"/>
    </row>
    <row r="1104" spans="1:8" ht="25.5">
      <c r="A1104" s="86"/>
      <c r="B1104" s="86"/>
      <c r="C1104" s="18"/>
      <c r="D1104" s="407" t="s">
        <v>1018</v>
      </c>
      <c r="E1104" s="408"/>
      <c r="F1104" s="408"/>
      <c r="G1104" s="408">
        <f>SUM(G1105:G1118)</f>
        <v>152691</v>
      </c>
      <c r="H1104" s="408"/>
    </row>
    <row r="1105" spans="1:8" ht="21" customHeight="1">
      <c r="A1105" s="86"/>
      <c r="B1105" s="86"/>
      <c r="C1105" s="22">
        <v>4018</v>
      </c>
      <c r="D1105" s="20" t="s">
        <v>754</v>
      </c>
      <c r="E1105" s="6"/>
      <c r="F1105" s="6"/>
      <c r="G1105" s="6">
        <v>3761</v>
      </c>
      <c r="H1105" s="6"/>
    </row>
    <row r="1106" spans="1:8" ht="21" customHeight="1">
      <c r="A1106" s="86"/>
      <c r="B1106" s="86"/>
      <c r="C1106" s="144">
        <v>4019</v>
      </c>
      <c r="D1106" s="252" t="s">
        <v>754</v>
      </c>
      <c r="E1106" s="65"/>
      <c r="F1106" s="65"/>
      <c r="G1106" s="65">
        <v>1254</v>
      </c>
      <c r="H1106" s="65"/>
    </row>
    <row r="1107" spans="1:8" ht="21" customHeight="1">
      <c r="A1107" s="86"/>
      <c r="B1107" s="86"/>
      <c r="C1107" s="144">
        <v>4118</v>
      </c>
      <c r="D1107" s="252" t="s">
        <v>681</v>
      </c>
      <c r="E1107" s="65"/>
      <c r="F1107" s="65"/>
      <c r="G1107" s="65">
        <v>646</v>
      </c>
      <c r="H1107" s="65"/>
    </row>
    <row r="1108" spans="1:8" ht="21" customHeight="1">
      <c r="A1108" s="86"/>
      <c r="B1108" s="86"/>
      <c r="C1108" s="22">
        <v>4119</v>
      </c>
      <c r="D1108" s="252" t="s">
        <v>681</v>
      </c>
      <c r="E1108" s="6"/>
      <c r="F1108" s="6"/>
      <c r="G1108" s="6">
        <v>216</v>
      </c>
      <c r="H1108" s="6"/>
    </row>
    <row r="1109" spans="1:8" ht="21" customHeight="1">
      <c r="A1109" s="86"/>
      <c r="B1109" s="86"/>
      <c r="C1109" s="22">
        <v>4128</v>
      </c>
      <c r="D1109" s="252" t="s">
        <v>682</v>
      </c>
      <c r="E1109" s="6"/>
      <c r="F1109" s="6"/>
      <c r="G1109" s="6">
        <v>92</v>
      </c>
      <c r="H1109" s="6"/>
    </row>
    <row r="1110" spans="1:8" ht="21" customHeight="1">
      <c r="A1110" s="86"/>
      <c r="B1110" s="86"/>
      <c r="C1110" s="22">
        <v>4129</v>
      </c>
      <c r="D1110" s="252" t="s">
        <v>682</v>
      </c>
      <c r="E1110" s="6"/>
      <c r="F1110" s="6"/>
      <c r="G1110" s="6">
        <v>31</v>
      </c>
      <c r="H1110" s="6"/>
    </row>
    <row r="1111" spans="1:8" ht="21" customHeight="1">
      <c r="A1111" s="86"/>
      <c r="B1111" s="86"/>
      <c r="C1111" s="22">
        <v>4178</v>
      </c>
      <c r="D1111" s="20" t="s">
        <v>740</v>
      </c>
      <c r="E1111" s="6"/>
      <c r="F1111" s="6"/>
      <c r="G1111" s="6">
        <v>18506</v>
      </c>
      <c r="H1111" s="6"/>
    </row>
    <row r="1112" spans="1:8" ht="21" customHeight="1">
      <c r="A1112" s="86"/>
      <c r="B1112" s="86"/>
      <c r="C1112" s="22">
        <v>4179</v>
      </c>
      <c r="D1112" s="20" t="s">
        <v>740</v>
      </c>
      <c r="E1112" s="6"/>
      <c r="F1112" s="6"/>
      <c r="G1112" s="6">
        <v>6169</v>
      </c>
      <c r="H1112" s="6"/>
    </row>
    <row r="1113" spans="1:8" ht="21" customHeight="1">
      <c r="A1113" s="86"/>
      <c r="B1113" s="86"/>
      <c r="C1113" s="22">
        <v>4218</v>
      </c>
      <c r="D1113" s="20" t="s">
        <v>748</v>
      </c>
      <c r="E1113" s="6"/>
      <c r="F1113" s="6"/>
      <c r="G1113" s="6">
        <v>2406</v>
      </c>
      <c r="H1113" s="6"/>
    </row>
    <row r="1114" spans="1:8" ht="21" customHeight="1">
      <c r="A1114" s="86"/>
      <c r="B1114" s="86"/>
      <c r="C1114" s="144">
        <v>4219</v>
      </c>
      <c r="D1114" s="252" t="s">
        <v>748</v>
      </c>
      <c r="E1114" s="65"/>
      <c r="F1114" s="65"/>
      <c r="G1114" s="65">
        <v>800</v>
      </c>
      <c r="H1114" s="65"/>
    </row>
    <row r="1115" spans="1:8" ht="21" customHeight="1">
      <c r="A1115" s="86"/>
      <c r="B1115" s="86"/>
      <c r="C1115" s="22">
        <v>4308</v>
      </c>
      <c r="D1115" s="20" t="s">
        <v>815</v>
      </c>
      <c r="E1115" s="6"/>
      <c r="F1115" s="6"/>
      <c r="G1115" s="6">
        <v>87307</v>
      </c>
      <c r="H1115" s="6"/>
    </row>
    <row r="1116" spans="1:8" ht="21" customHeight="1">
      <c r="A1116" s="86"/>
      <c r="B1116" s="86"/>
      <c r="C1116" s="144">
        <v>4309</v>
      </c>
      <c r="D1116" s="20" t="s">
        <v>815</v>
      </c>
      <c r="E1116" s="65"/>
      <c r="F1116" s="65"/>
      <c r="G1116" s="65">
        <v>29103</v>
      </c>
      <c r="H1116" s="65"/>
    </row>
    <row r="1117" spans="1:8" ht="21" customHeight="1">
      <c r="A1117" s="86"/>
      <c r="B1117" s="86"/>
      <c r="C1117" s="22">
        <v>4428</v>
      </c>
      <c r="D1117" s="20" t="s">
        <v>686</v>
      </c>
      <c r="E1117" s="6"/>
      <c r="F1117" s="6"/>
      <c r="G1117" s="6">
        <v>1800</v>
      </c>
      <c r="H1117" s="6"/>
    </row>
    <row r="1118" spans="1:8" ht="21" customHeight="1">
      <c r="A1118" s="107"/>
      <c r="B1118" s="107"/>
      <c r="C1118" s="144">
        <v>4429</v>
      </c>
      <c r="D1118" s="252" t="s">
        <v>686</v>
      </c>
      <c r="E1118" s="65"/>
      <c r="F1118" s="65"/>
      <c r="G1118" s="65">
        <v>600</v>
      </c>
      <c r="H1118" s="65"/>
    </row>
    <row r="1119" ht="21" customHeight="1"/>
    <row r="1120" spans="1:8" s="1" customFormat="1" ht="20.25" customHeight="1" thickBot="1">
      <c r="A1120" s="91"/>
      <c r="B1120" s="91"/>
      <c r="C1120" s="91"/>
      <c r="D1120" s="64" t="s">
        <v>1041</v>
      </c>
      <c r="E1120" s="24"/>
      <c r="F1120" s="24"/>
      <c r="G1120" s="24">
        <f>G1121</f>
        <v>806216</v>
      </c>
      <c r="H1120" s="24"/>
    </row>
    <row r="1121" spans="1:8" ht="21" customHeight="1" thickBot="1" thickTop="1">
      <c r="A1121" s="394">
        <v>150</v>
      </c>
      <c r="B1121" s="394"/>
      <c r="C1121" s="409"/>
      <c r="D1121" s="395" t="s">
        <v>905</v>
      </c>
      <c r="E1121" s="377"/>
      <c r="F1121" s="377"/>
      <c r="G1121" s="377">
        <f>G1122</f>
        <v>806216</v>
      </c>
      <c r="H1121" s="377"/>
    </row>
    <row r="1122" spans="1:8" ht="21" customHeight="1">
      <c r="A1122" s="122"/>
      <c r="B1122" s="3">
        <v>15011</v>
      </c>
      <c r="C1122" s="45"/>
      <c r="D1122" s="14" t="s">
        <v>416</v>
      </c>
      <c r="E1122" s="151"/>
      <c r="F1122" s="151"/>
      <c r="G1122" s="151">
        <f>G1123</f>
        <v>806216</v>
      </c>
      <c r="H1122" s="151"/>
    </row>
    <row r="1123" spans="1:8" ht="21" customHeight="1">
      <c r="A1123" s="86"/>
      <c r="B1123" s="2"/>
      <c r="C1123" s="50"/>
      <c r="D1123" s="16" t="s">
        <v>558</v>
      </c>
      <c r="E1123" s="17"/>
      <c r="F1123" s="17"/>
      <c r="G1123" s="17">
        <f>SUM(G1124:G1139)</f>
        <v>806216</v>
      </c>
      <c r="H1123" s="17"/>
    </row>
    <row r="1124" spans="1:8" ht="19.5" customHeight="1">
      <c r="A1124" s="86"/>
      <c r="B1124" s="86"/>
      <c r="C1124" s="22">
        <v>4018</v>
      </c>
      <c r="D1124" s="20" t="s">
        <v>754</v>
      </c>
      <c r="E1124" s="88"/>
      <c r="F1124" s="88"/>
      <c r="G1124" s="88">
        <v>105397</v>
      </c>
      <c r="H1124" s="88"/>
    </row>
    <row r="1125" spans="1:8" ht="19.5" customHeight="1">
      <c r="A1125" s="86"/>
      <c r="B1125" s="86"/>
      <c r="C1125" s="22">
        <v>4019</v>
      </c>
      <c r="D1125" s="20" t="s">
        <v>754</v>
      </c>
      <c r="E1125" s="65"/>
      <c r="F1125" s="65"/>
      <c r="G1125" s="65">
        <v>35132</v>
      </c>
      <c r="H1125" s="65"/>
    </row>
    <row r="1126" spans="1:8" ht="19.5" customHeight="1">
      <c r="A1126" s="86"/>
      <c r="B1126" s="86"/>
      <c r="C1126" s="144">
        <v>4118</v>
      </c>
      <c r="D1126" s="144" t="s">
        <v>681</v>
      </c>
      <c r="E1126" s="65"/>
      <c r="F1126" s="65"/>
      <c r="G1126" s="65">
        <v>19192</v>
      </c>
      <c r="H1126" s="65"/>
    </row>
    <row r="1127" spans="1:8" ht="19.5" customHeight="1">
      <c r="A1127" s="86"/>
      <c r="B1127" s="86"/>
      <c r="C1127" s="144">
        <v>4119</v>
      </c>
      <c r="D1127" s="144" t="s">
        <v>681</v>
      </c>
      <c r="E1127" s="65"/>
      <c r="F1127" s="65"/>
      <c r="G1127" s="65">
        <v>6398</v>
      </c>
      <c r="H1127" s="65"/>
    </row>
    <row r="1128" spans="1:8" ht="19.5" customHeight="1">
      <c r="A1128" s="86"/>
      <c r="B1128" s="86"/>
      <c r="C1128" s="144">
        <v>4128</v>
      </c>
      <c r="D1128" s="252" t="s">
        <v>682</v>
      </c>
      <c r="E1128" s="65"/>
      <c r="F1128" s="65"/>
      <c r="G1128" s="65">
        <v>2735</v>
      </c>
      <c r="H1128" s="65"/>
    </row>
    <row r="1129" spans="1:8" ht="19.5" customHeight="1">
      <c r="A1129" s="86"/>
      <c r="B1129" s="86"/>
      <c r="C1129" s="144">
        <v>4129</v>
      </c>
      <c r="D1129" s="252" t="s">
        <v>682</v>
      </c>
      <c r="E1129" s="65"/>
      <c r="F1129" s="65"/>
      <c r="G1129" s="65">
        <v>912</v>
      </c>
      <c r="H1129" s="65"/>
    </row>
    <row r="1130" spans="1:8" ht="19.5" customHeight="1">
      <c r="A1130" s="86"/>
      <c r="B1130" s="86"/>
      <c r="C1130" s="22">
        <v>4178</v>
      </c>
      <c r="D1130" s="20" t="s">
        <v>740</v>
      </c>
      <c r="E1130" s="88"/>
      <c r="F1130" s="88"/>
      <c r="G1130" s="88">
        <v>185874</v>
      </c>
      <c r="H1130" s="88"/>
    </row>
    <row r="1131" spans="1:8" ht="19.5" customHeight="1">
      <c r="A1131" s="86"/>
      <c r="B1131" s="86"/>
      <c r="C1131" s="22">
        <v>4179</v>
      </c>
      <c r="D1131" s="20" t="s">
        <v>740</v>
      </c>
      <c r="E1131" s="65"/>
      <c r="F1131" s="65"/>
      <c r="G1131" s="65">
        <v>61958</v>
      </c>
      <c r="H1131" s="65"/>
    </row>
    <row r="1132" spans="1:8" ht="19.5" customHeight="1">
      <c r="A1132" s="86"/>
      <c r="B1132" s="86"/>
      <c r="C1132" s="144">
        <v>4218</v>
      </c>
      <c r="D1132" s="144" t="s">
        <v>748</v>
      </c>
      <c r="E1132" s="65"/>
      <c r="F1132" s="65"/>
      <c r="G1132" s="65">
        <v>7720</v>
      </c>
      <c r="H1132" s="65"/>
    </row>
    <row r="1133" spans="1:8" ht="19.5" customHeight="1">
      <c r="A1133" s="86"/>
      <c r="B1133" s="86"/>
      <c r="C1133" s="144">
        <v>4219</v>
      </c>
      <c r="D1133" s="144" t="s">
        <v>748</v>
      </c>
      <c r="E1133" s="65"/>
      <c r="F1133" s="65"/>
      <c r="G1133" s="65">
        <v>2574</v>
      </c>
      <c r="H1133" s="65"/>
    </row>
    <row r="1134" spans="1:8" ht="19.5" customHeight="1">
      <c r="A1134" s="86"/>
      <c r="B1134" s="86"/>
      <c r="C1134" s="144">
        <v>4308</v>
      </c>
      <c r="D1134" s="252" t="s">
        <v>815</v>
      </c>
      <c r="E1134" s="65"/>
      <c r="F1134" s="65"/>
      <c r="G1134" s="65">
        <f>255843+1</f>
        <v>255844</v>
      </c>
      <c r="H1134" s="65"/>
    </row>
    <row r="1135" spans="1:8" ht="19.5" customHeight="1">
      <c r="A1135" s="86"/>
      <c r="B1135" s="86"/>
      <c r="C1135" s="144">
        <v>4309</v>
      </c>
      <c r="D1135" s="252" t="s">
        <v>815</v>
      </c>
      <c r="E1135" s="65"/>
      <c r="F1135" s="65"/>
      <c r="G1135" s="65">
        <f>85281-1</f>
        <v>85280</v>
      </c>
      <c r="H1135" s="65"/>
    </row>
    <row r="1136" spans="1:8" ht="19.5" customHeight="1">
      <c r="A1136" s="86"/>
      <c r="B1136" s="86"/>
      <c r="C1136" s="22">
        <v>4388</v>
      </c>
      <c r="D1136" s="20" t="s">
        <v>199</v>
      </c>
      <c r="E1136" s="88"/>
      <c r="F1136" s="88"/>
      <c r="G1136" s="88">
        <v>1650</v>
      </c>
      <c r="H1136" s="88"/>
    </row>
    <row r="1137" spans="1:8" ht="19.5" customHeight="1">
      <c r="A1137" s="86"/>
      <c r="B1137" s="86"/>
      <c r="C1137" s="22">
        <v>4389</v>
      </c>
      <c r="D1137" s="20" t="s">
        <v>199</v>
      </c>
      <c r="E1137" s="65"/>
      <c r="F1137" s="65"/>
      <c r="G1137" s="65">
        <v>550</v>
      </c>
      <c r="H1137" s="65"/>
    </row>
    <row r="1138" spans="1:8" ht="19.5" customHeight="1">
      <c r="A1138" s="86"/>
      <c r="B1138" s="86"/>
      <c r="C1138" s="144">
        <v>4418</v>
      </c>
      <c r="D1138" s="144" t="s">
        <v>749</v>
      </c>
      <c r="E1138" s="65"/>
      <c r="F1138" s="65"/>
      <c r="G1138" s="65">
        <v>26250</v>
      </c>
      <c r="H1138" s="65"/>
    </row>
    <row r="1139" spans="1:8" ht="19.5" customHeight="1">
      <c r="A1139" s="86"/>
      <c r="B1139" s="86"/>
      <c r="C1139" s="144">
        <v>4419</v>
      </c>
      <c r="D1139" s="144" t="s">
        <v>749</v>
      </c>
      <c r="E1139" s="65"/>
      <c r="F1139" s="65"/>
      <c r="G1139" s="65">
        <v>8750</v>
      </c>
      <c r="H1139" s="65"/>
    </row>
    <row r="1140" spans="1:8" s="1" customFormat="1" ht="20.25" customHeight="1">
      <c r="A1140" s="86"/>
      <c r="B1140" s="86"/>
      <c r="C1140" s="18"/>
      <c r="D1140" s="82" t="s">
        <v>860</v>
      </c>
      <c r="E1140" s="225"/>
      <c r="F1140" s="225"/>
      <c r="G1140" s="225"/>
      <c r="H1140" s="225">
        <f>H1141+H1177</f>
        <v>1432587</v>
      </c>
    </row>
    <row r="1141" spans="1:8" s="1" customFormat="1" ht="19.5" customHeight="1" thickBot="1">
      <c r="A1141" s="107"/>
      <c r="B1141" s="107"/>
      <c r="C1141" s="22"/>
      <c r="D1141" s="84" t="s">
        <v>646</v>
      </c>
      <c r="E1141" s="85"/>
      <c r="F1141" s="85"/>
      <c r="G1141" s="85"/>
      <c r="H1141" s="85">
        <f>H1142+H1147</f>
        <v>626371</v>
      </c>
    </row>
    <row r="1142" spans="1:8" s="1" customFormat="1" ht="19.5" customHeight="1" thickBot="1" thickTop="1">
      <c r="A1142" s="396">
        <v>754</v>
      </c>
      <c r="B1142" s="394"/>
      <c r="C1142" s="402"/>
      <c r="D1142" s="376" t="s">
        <v>441</v>
      </c>
      <c r="E1142" s="403"/>
      <c r="F1142" s="403"/>
      <c r="G1142" s="404"/>
      <c r="H1142" s="404">
        <f>H1143</f>
        <v>7740</v>
      </c>
    </row>
    <row r="1143" spans="1:8" s="1" customFormat="1" ht="19.5" customHeight="1">
      <c r="A1143" s="86"/>
      <c r="B1143" s="3">
        <v>75495</v>
      </c>
      <c r="C1143" s="45"/>
      <c r="D1143" s="67" t="s">
        <v>100</v>
      </c>
      <c r="E1143" s="4"/>
      <c r="F1143" s="4"/>
      <c r="G1143" s="4"/>
      <c r="H1143" s="4">
        <f>H1144</f>
        <v>7740</v>
      </c>
    </row>
    <row r="1144" spans="1:8" s="1" customFormat="1" ht="19.5" customHeight="1">
      <c r="A1144" s="86"/>
      <c r="B1144" s="86"/>
      <c r="C1144" s="18"/>
      <c r="D1144" s="316" t="s">
        <v>672</v>
      </c>
      <c r="E1144" s="325"/>
      <c r="F1144" s="325"/>
      <c r="G1144" s="282"/>
      <c r="H1144" s="282">
        <f>H1146</f>
        <v>7740</v>
      </c>
    </row>
    <row r="1145" spans="1:8" s="1" customFormat="1" ht="25.5">
      <c r="A1145" s="86"/>
      <c r="B1145" s="86"/>
      <c r="C1145" s="18"/>
      <c r="D1145" s="253" t="s">
        <v>341</v>
      </c>
      <c r="E1145" s="249"/>
      <c r="F1145" s="249"/>
      <c r="G1145" s="249"/>
      <c r="H1145" s="249">
        <v>7740</v>
      </c>
    </row>
    <row r="1146" spans="1:8" s="1" customFormat="1" ht="38.25">
      <c r="A1146" s="107"/>
      <c r="B1146" s="107"/>
      <c r="C1146" s="22">
        <v>2679</v>
      </c>
      <c r="D1146" s="20" t="s">
        <v>850</v>
      </c>
      <c r="E1146" s="235"/>
      <c r="F1146" s="235"/>
      <c r="G1146" s="176"/>
      <c r="H1146" s="176">
        <f>H1145</f>
        <v>7740</v>
      </c>
    </row>
    <row r="1147" spans="1:8" ht="21" customHeight="1" thickBot="1">
      <c r="A1147" s="405">
        <v>758</v>
      </c>
      <c r="B1147" s="405"/>
      <c r="C1147" s="405"/>
      <c r="D1147" s="405" t="s">
        <v>446</v>
      </c>
      <c r="E1147" s="406"/>
      <c r="F1147" s="406"/>
      <c r="G1147" s="406"/>
      <c r="H1147" s="406">
        <f>H1148</f>
        <v>618631</v>
      </c>
    </row>
    <row r="1148" spans="1:8" ht="21" customHeight="1">
      <c r="A1148" s="56"/>
      <c r="B1148" s="165">
        <v>75860</v>
      </c>
      <c r="C1148" s="256"/>
      <c r="D1148" s="165" t="s">
        <v>309</v>
      </c>
      <c r="E1148" s="167"/>
      <c r="F1148" s="167"/>
      <c r="G1148" s="167"/>
      <c r="H1148" s="167">
        <f>H1149+H1156+H1162</f>
        <v>618631</v>
      </c>
    </row>
    <row r="1149" spans="1:8" ht="25.5">
      <c r="A1149" s="86"/>
      <c r="B1149" s="86"/>
      <c r="C1149" s="18"/>
      <c r="D1149" s="407" t="s">
        <v>557</v>
      </c>
      <c r="E1149" s="66"/>
      <c r="F1149" s="66"/>
      <c r="G1149" s="66"/>
      <c r="H1149" s="66">
        <f>SUM(H1150:H1155)</f>
        <v>90940</v>
      </c>
    </row>
    <row r="1150" spans="1:8" ht="21" customHeight="1">
      <c r="A1150" s="86"/>
      <c r="B1150" s="86"/>
      <c r="C1150" s="22">
        <v>4018</v>
      </c>
      <c r="D1150" s="20" t="s">
        <v>754</v>
      </c>
      <c r="E1150" s="6"/>
      <c r="F1150" s="6"/>
      <c r="G1150" s="6"/>
      <c r="H1150" s="6">
        <v>953</v>
      </c>
    </row>
    <row r="1151" spans="1:8" ht="21" customHeight="1">
      <c r="A1151" s="86"/>
      <c r="B1151" s="86"/>
      <c r="C1151" s="144">
        <v>4019</v>
      </c>
      <c r="D1151" s="252" t="s">
        <v>754</v>
      </c>
      <c r="E1151" s="65"/>
      <c r="F1151" s="65"/>
      <c r="G1151" s="65"/>
      <c r="H1151" s="65">
        <v>317</v>
      </c>
    </row>
    <row r="1152" spans="1:8" ht="21" customHeight="1">
      <c r="A1152" s="86"/>
      <c r="B1152" s="86"/>
      <c r="C1152" s="22">
        <v>4178</v>
      </c>
      <c r="D1152" s="20" t="s">
        <v>740</v>
      </c>
      <c r="E1152" s="6"/>
      <c r="F1152" s="6"/>
      <c r="G1152" s="6"/>
      <c r="H1152" s="6">
        <v>5735</v>
      </c>
    </row>
    <row r="1153" spans="1:8" ht="21" customHeight="1">
      <c r="A1153" s="86"/>
      <c r="B1153" s="86"/>
      <c r="C1153" s="22">
        <v>4179</v>
      </c>
      <c r="D1153" s="20" t="s">
        <v>740</v>
      </c>
      <c r="E1153" s="6"/>
      <c r="F1153" s="6"/>
      <c r="G1153" s="6"/>
      <c r="H1153" s="6">
        <v>1912</v>
      </c>
    </row>
    <row r="1154" spans="1:8" ht="21" customHeight="1">
      <c r="A1154" s="86"/>
      <c r="B1154" s="86"/>
      <c r="C1154" s="22">
        <v>4308</v>
      </c>
      <c r="D1154" s="20" t="s">
        <v>815</v>
      </c>
      <c r="E1154" s="6"/>
      <c r="F1154" s="6"/>
      <c r="G1154" s="6"/>
      <c r="H1154" s="6">
        <v>6000</v>
      </c>
    </row>
    <row r="1155" spans="1:8" ht="21" customHeight="1">
      <c r="A1155" s="86"/>
      <c r="B1155" s="86"/>
      <c r="C1155" s="144">
        <v>4309</v>
      </c>
      <c r="D1155" s="20" t="s">
        <v>815</v>
      </c>
      <c r="E1155" s="65"/>
      <c r="F1155" s="65"/>
      <c r="G1155" s="65"/>
      <c r="H1155" s="65">
        <v>76023</v>
      </c>
    </row>
    <row r="1156" spans="1:8" ht="25.5">
      <c r="A1156" s="86"/>
      <c r="B1156" s="86"/>
      <c r="C1156" s="18"/>
      <c r="D1156" s="407" t="s">
        <v>342</v>
      </c>
      <c r="E1156" s="408"/>
      <c r="F1156" s="408"/>
      <c r="G1156" s="408"/>
      <c r="H1156" s="408">
        <f>SUM(H1157:H1161)</f>
        <v>375000</v>
      </c>
    </row>
    <row r="1157" spans="1:8" ht="21" customHeight="1">
      <c r="A1157" s="86"/>
      <c r="B1157" s="86"/>
      <c r="C1157" s="22">
        <v>4010</v>
      </c>
      <c r="D1157" s="20" t="s">
        <v>754</v>
      </c>
      <c r="E1157" s="6"/>
      <c r="F1157" s="6"/>
      <c r="G1157" s="6"/>
      <c r="H1157" s="6">
        <v>12283</v>
      </c>
    </row>
    <row r="1158" spans="1:8" ht="21" customHeight="1">
      <c r="A1158" s="86"/>
      <c r="B1158" s="86"/>
      <c r="C1158" s="144">
        <v>4170</v>
      </c>
      <c r="D1158" s="252" t="s">
        <v>740</v>
      </c>
      <c r="E1158" s="65"/>
      <c r="F1158" s="65"/>
      <c r="G1158" s="65"/>
      <c r="H1158" s="65">
        <v>4717</v>
      </c>
    </row>
    <row r="1159" spans="1:8" ht="21" customHeight="1">
      <c r="A1159" s="86"/>
      <c r="B1159" s="86"/>
      <c r="C1159" s="144">
        <v>4210</v>
      </c>
      <c r="D1159" s="252" t="s">
        <v>748</v>
      </c>
      <c r="E1159" s="65"/>
      <c r="F1159" s="65"/>
      <c r="G1159" s="65"/>
      <c r="H1159" s="65">
        <v>3333</v>
      </c>
    </row>
    <row r="1160" spans="1:8" ht="21" customHeight="1">
      <c r="A1160" s="86"/>
      <c r="B1160" s="86"/>
      <c r="C1160" s="22">
        <v>4300</v>
      </c>
      <c r="D1160" s="20" t="s">
        <v>815</v>
      </c>
      <c r="E1160" s="6"/>
      <c r="F1160" s="6"/>
      <c r="G1160" s="6"/>
      <c r="H1160" s="6">
        <v>351917</v>
      </c>
    </row>
    <row r="1161" spans="1:8" ht="21" customHeight="1">
      <c r="A1161" s="86"/>
      <c r="B1161" s="86"/>
      <c r="C1161" s="22">
        <v>4420</v>
      </c>
      <c r="D1161" s="20" t="s">
        <v>686</v>
      </c>
      <c r="E1161" s="6"/>
      <c r="F1161" s="6"/>
      <c r="G1161" s="6"/>
      <c r="H1161" s="6">
        <v>2750</v>
      </c>
    </row>
    <row r="1162" spans="1:8" ht="25.5">
      <c r="A1162" s="86"/>
      <c r="B1162" s="86"/>
      <c r="C1162" s="18"/>
      <c r="D1162" s="407" t="s">
        <v>1018</v>
      </c>
      <c r="E1162" s="408"/>
      <c r="F1162" s="408"/>
      <c r="G1162" s="408"/>
      <c r="H1162" s="408">
        <f>SUM(H1163:H1176)</f>
        <v>152691</v>
      </c>
    </row>
    <row r="1163" spans="1:8" ht="21" customHeight="1">
      <c r="A1163" s="86"/>
      <c r="B1163" s="86"/>
      <c r="C1163" s="22">
        <v>4018</v>
      </c>
      <c r="D1163" s="20" t="s">
        <v>754</v>
      </c>
      <c r="E1163" s="6"/>
      <c r="F1163" s="6"/>
      <c r="G1163" s="6"/>
      <c r="H1163" s="6">
        <v>3761</v>
      </c>
    </row>
    <row r="1164" spans="1:8" ht="21" customHeight="1">
      <c r="A1164" s="86"/>
      <c r="B1164" s="86"/>
      <c r="C1164" s="144">
        <v>4019</v>
      </c>
      <c r="D1164" s="252" t="s">
        <v>754</v>
      </c>
      <c r="E1164" s="65"/>
      <c r="F1164" s="65"/>
      <c r="G1164" s="65"/>
      <c r="H1164" s="65">
        <v>1254</v>
      </c>
    </row>
    <row r="1165" spans="1:8" ht="21" customHeight="1">
      <c r="A1165" s="86"/>
      <c r="B1165" s="86"/>
      <c r="C1165" s="22">
        <v>4118</v>
      </c>
      <c r="D1165" s="252" t="s">
        <v>681</v>
      </c>
      <c r="E1165" s="6"/>
      <c r="F1165" s="6"/>
      <c r="G1165" s="6"/>
      <c r="H1165" s="6">
        <v>646</v>
      </c>
    </row>
    <row r="1166" spans="1:8" ht="21" customHeight="1">
      <c r="A1166" s="86"/>
      <c r="B1166" s="86"/>
      <c r="C1166" s="22">
        <v>4119</v>
      </c>
      <c r="D1166" s="252" t="s">
        <v>681</v>
      </c>
      <c r="E1166" s="6"/>
      <c r="F1166" s="6"/>
      <c r="G1166" s="6"/>
      <c r="H1166" s="6">
        <v>216</v>
      </c>
    </row>
    <row r="1167" spans="1:8" ht="21" customHeight="1">
      <c r="A1167" s="86"/>
      <c r="B1167" s="86"/>
      <c r="C1167" s="22">
        <v>4128</v>
      </c>
      <c r="D1167" s="252" t="s">
        <v>682</v>
      </c>
      <c r="E1167" s="6"/>
      <c r="F1167" s="6"/>
      <c r="G1167" s="6"/>
      <c r="H1167" s="6">
        <v>92</v>
      </c>
    </row>
    <row r="1168" spans="1:8" ht="21" customHeight="1">
      <c r="A1168" s="86"/>
      <c r="B1168" s="86"/>
      <c r="C1168" s="22">
        <v>4129</v>
      </c>
      <c r="D1168" s="252" t="s">
        <v>682</v>
      </c>
      <c r="E1168" s="6"/>
      <c r="F1168" s="6"/>
      <c r="G1168" s="6"/>
      <c r="H1168" s="6">
        <v>31</v>
      </c>
    </row>
    <row r="1169" spans="1:8" ht="21" customHeight="1">
      <c r="A1169" s="86"/>
      <c r="B1169" s="86"/>
      <c r="C1169" s="22">
        <v>4178</v>
      </c>
      <c r="D1169" s="20" t="s">
        <v>740</v>
      </c>
      <c r="E1169" s="6"/>
      <c r="F1169" s="6"/>
      <c r="G1169" s="6"/>
      <c r="H1169" s="6">
        <v>18506</v>
      </c>
    </row>
    <row r="1170" spans="1:8" ht="21" customHeight="1">
      <c r="A1170" s="86"/>
      <c r="B1170" s="86"/>
      <c r="C1170" s="22">
        <v>4179</v>
      </c>
      <c r="D1170" s="20" t="s">
        <v>740</v>
      </c>
      <c r="E1170" s="6"/>
      <c r="F1170" s="6"/>
      <c r="G1170" s="6"/>
      <c r="H1170" s="6">
        <v>6169</v>
      </c>
    </row>
    <row r="1171" spans="1:8" ht="21" customHeight="1">
      <c r="A1171" s="86"/>
      <c r="B1171" s="86"/>
      <c r="C1171" s="22">
        <v>4218</v>
      </c>
      <c r="D1171" s="20" t="s">
        <v>748</v>
      </c>
      <c r="E1171" s="6"/>
      <c r="F1171" s="6"/>
      <c r="G1171" s="6"/>
      <c r="H1171" s="6">
        <v>2406</v>
      </c>
    </row>
    <row r="1172" spans="1:8" ht="21" customHeight="1">
      <c r="A1172" s="107"/>
      <c r="B1172" s="107"/>
      <c r="C1172" s="144">
        <v>4219</v>
      </c>
      <c r="D1172" s="252" t="s">
        <v>748</v>
      </c>
      <c r="E1172" s="65"/>
      <c r="F1172" s="65"/>
      <c r="G1172" s="65"/>
      <c r="H1172" s="65">
        <v>800</v>
      </c>
    </row>
    <row r="1173" spans="1:8" ht="21" customHeight="1">
      <c r="A1173" s="86"/>
      <c r="B1173" s="86"/>
      <c r="C1173" s="22">
        <v>4308</v>
      </c>
      <c r="D1173" s="20" t="s">
        <v>815</v>
      </c>
      <c r="E1173" s="6"/>
      <c r="F1173" s="6"/>
      <c r="G1173" s="6"/>
      <c r="H1173" s="6">
        <v>87307</v>
      </c>
    </row>
    <row r="1174" spans="1:8" ht="21" customHeight="1">
      <c r="A1174" s="86"/>
      <c r="B1174" s="86"/>
      <c r="C1174" s="144">
        <v>4309</v>
      </c>
      <c r="D1174" s="20" t="s">
        <v>815</v>
      </c>
      <c r="E1174" s="65"/>
      <c r="F1174" s="65"/>
      <c r="G1174" s="65"/>
      <c r="H1174" s="65">
        <v>29103</v>
      </c>
    </row>
    <row r="1175" spans="1:8" ht="21" customHeight="1">
      <c r="A1175" s="86"/>
      <c r="B1175" s="86"/>
      <c r="C1175" s="22">
        <v>4428</v>
      </c>
      <c r="D1175" s="20" t="s">
        <v>686</v>
      </c>
      <c r="E1175" s="6"/>
      <c r="F1175" s="6"/>
      <c r="G1175" s="6"/>
      <c r="H1175" s="6">
        <v>1800</v>
      </c>
    </row>
    <row r="1176" spans="1:8" ht="21" customHeight="1">
      <c r="A1176" s="86"/>
      <c r="B1176" s="86"/>
      <c r="C1176" s="144">
        <v>4429</v>
      </c>
      <c r="D1176" s="252" t="s">
        <v>686</v>
      </c>
      <c r="E1176" s="65"/>
      <c r="F1176" s="65"/>
      <c r="G1176" s="65"/>
      <c r="H1176" s="65">
        <v>600</v>
      </c>
    </row>
    <row r="1177" spans="1:8" s="1" customFormat="1" ht="24.75" customHeight="1" thickBot="1">
      <c r="A1177" s="91"/>
      <c r="B1177" s="91"/>
      <c r="C1177" s="91"/>
      <c r="D1177" s="64" t="s">
        <v>1041</v>
      </c>
      <c r="E1177" s="24"/>
      <c r="F1177" s="24"/>
      <c r="G1177" s="24"/>
      <c r="H1177" s="24">
        <f>H1178</f>
        <v>806216</v>
      </c>
    </row>
    <row r="1178" spans="1:8" ht="21" customHeight="1" thickBot="1" thickTop="1">
      <c r="A1178" s="394">
        <v>150</v>
      </c>
      <c r="B1178" s="394"/>
      <c r="C1178" s="409"/>
      <c r="D1178" s="395" t="s">
        <v>905</v>
      </c>
      <c r="E1178" s="377"/>
      <c r="F1178" s="377"/>
      <c r="G1178" s="377"/>
      <c r="H1178" s="377">
        <f>H1179</f>
        <v>806216</v>
      </c>
    </row>
    <row r="1179" spans="1:8" ht="21" customHeight="1">
      <c r="A1179" s="122"/>
      <c r="B1179" s="3">
        <v>15011</v>
      </c>
      <c r="C1179" s="45"/>
      <c r="D1179" s="14" t="s">
        <v>416</v>
      </c>
      <c r="E1179" s="151"/>
      <c r="F1179" s="151"/>
      <c r="G1179" s="151"/>
      <c r="H1179" s="151">
        <f>H1180</f>
        <v>806216</v>
      </c>
    </row>
    <row r="1180" spans="1:8" ht="21" customHeight="1">
      <c r="A1180" s="86"/>
      <c r="B1180" s="2"/>
      <c r="C1180" s="50"/>
      <c r="D1180" s="16" t="s">
        <v>558</v>
      </c>
      <c r="E1180" s="17"/>
      <c r="F1180" s="17"/>
      <c r="G1180" s="17"/>
      <c r="H1180" s="17">
        <f>SUM(H1181:H1196)</f>
        <v>806216</v>
      </c>
    </row>
    <row r="1181" spans="1:8" ht="21" customHeight="1">
      <c r="A1181" s="86"/>
      <c r="B1181" s="86"/>
      <c r="C1181" s="22">
        <v>4018</v>
      </c>
      <c r="D1181" s="20" t="s">
        <v>754</v>
      </c>
      <c r="E1181" s="88"/>
      <c r="F1181" s="88"/>
      <c r="G1181" s="88"/>
      <c r="H1181" s="88">
        <v>105397</v>
      </c>
    </row>
    <row r="1182" spans="1:8" ht="21" customHeight="1">
      <c r="A1182" s="86"/>
      <c r="B1182" s="86"/>
      <c r="C1182" s="22">
        <v>4019</v>
      </c>
      <c r="D1182" s="20" t="s">
        <v>754</v>
      </c>
      <c r="E1182" s="65"/>
      <c r="F1182" s="65"/>
      <c r="G1182" s="65"/>
      <c r="H1182" s="65">
        <v>35132</v>
      </c>
    </row>
    <row r="1183" spans="1:8" ht="21" customHeight="1">
      <c r="A1183" s="86"/>
      <c r="B1183" s="86"/>
      <c r="C1183" s="144">
        <v>4118</v>
      </c>
      <c r="D1183" s="144" t="s">
        <v>681</v>
      </c>
      <c r="E1183" s="65"/>
      <c r="F1183" s="65"/>
      <c r="G1183" s="65"/>
      <c r="H1183" s="65">
        <v>19192</v>
      </c>
    </row>
    <row r="1184" spans="1:8" ht="21" customHeight="1">
      <c r="A1184" s="86"/>
      <c r="B1184" s="86"/>
      <c r="C1184" s="144">
        <v>4119</v>
      </c>
      <c r="D1184" s="144" t="s">
        <v>681</v>
      </c>
      <c r="E1184" s="65"/>
      <c r="F1184" s="65"/>
      <c r="G1184" s="65"/>
      <c r="H1184" s="65">
        <v>6398</v>
      </c>
    </row>
    <row r="1185" spans="1:8" ht="21" customHeight="1">
      <c r="A1185" s="86"/>
      <c r="B1185" s="86"/>
      <c r="C1185" s="144">
        <v>4128</v>
      </c>
      <c r="D1185" s="252" t="s">
        <v>682</v>
      </c>
      <c r="E1185" s="65"/>
      <c r="F1185" s="65"/>
      <c r="G1185" s="65"/>
      <c r="H1185" s="65">
        <v>2735</v>
      </c>
    </row>
    <row r="1186" spans="1:8" ht="21" customHeight="1">
      <c r="A1186" s="86"/>
      <c r="B1186" s="86"/>
      <c r="C1186" s="144">
        <v>4129</v>
      </c>
      <c r="D1186" s="252" t="s">
        <v>682</v>
      </c>
      <c r="E1186" s="65"/>
      <c r="F1186" s="65"/>
      <c r="G1186" s="65"/>
      <c r="H1186" s="65">
        <v>912</v>
      </c>
    </row>
    <row r="1187" spans="1:8" ht="21" customHeight="1">
      <c r="A1187" s="86"/>
      <c r="B1187" s="86"/>
      <c r="C1187" s="22">
        <v>4178</v>
      </c>
      <c r="D1187" s="20" t="s">
        <v>740</v>
      </c>
      <c r="E1187" s="88"/>
      <c r="F1187" s="88"/>
      <c r="G1187" s="88"/>
      <c r="H1187" s="88">
        <v>185874</v>
      </c>
    </row>
    <row r="1188" spans="1:8" ht="21" customHeight="1">
      <c r="A1188" s="86"/>
      <c r="B1188" s="86"/>
      <c r="C1188" s="22">
        <v>4179</v>
      </c>
      <c r="D1188" s="20" t="s">
        <v>740</v>
      </c>
      <c r="E1188" s="65"/>
      <c r="F1188" s="65"/>
      <c r="G1188" s="65"/>
      <c r="H1188" s="65">
        <v>61958</v>
      </c>
    </row>
    <row r="1189" spans="1:8" ht="21" customHeight="1">
      <c r="A1189" s="86"/>
      <c r="B1189" s="86"/>
      <c r="C1189" s="144">
        <v>4218</v>
      </c>
      <c r="D1189" s="144" t="s">
        <v>748</v>
      </c>
      <c r="E1189" s="65"/>
      <c r="F1189" s="65"/>
      <c r="G1189" s="65"/>
      <c r="H1189" s="65">
        <v>7720</v>
      </c>
    </row>
    <row r="1190" spans="1:8" ht="21" customHeight="1">
      <c r="A1190" s="86"/>
      <c r="B1190" s="86"/>
      <c r="C1190" s="144">
        <v>4219</v>
      </c>
      <c r="D1190" s="144" t="s">
        <v>748</v>
      </c>
      <c r="E1190" s="65"/>
      <c r="F1190" s="65"/>
      <c r="G1190" s="65"/>
      <c r="H1190" s="65">
        <v>2574</v>
      </c>
    </row>
    <row r="1191" spans="1:8" ht="21" customHeight="1">
      <c r="A1191" s="86"/>
      <c r="B1191" s="86"/>
      <c r="C1191" s="144">
        <v>4308</v>
      </c>
      <c r="D1191" s="252" t="s">
        <v>815</v>
      </c>
      <c r="E1191" s="65"/>
      <c r="F1191" s="65"/>
      <c r="G1191" s="65"/>
      <c r="H1191" s="65">
        <f>255843+1</f>
        <v>255844</v>
      </c>
    </row>
    <row r="1192" spans="1:8" ht="21" customHeight="1">
      <c r="A1192" s="86"/>
      <c r="B1192" s="86"/>
      <c r="C1192" s="144">
        <v>4309</v>
      </c>
      <c r="D1192" s="252" t="s">
        <v>815</v>
      </c>
      <c r="E1192" s="65"/>
      <c r="F1192" s="65"/>
      <c r="G1192" s="65"/>
      <c r="H1192" s="65">
        <f>85281-1</f>
        <v>85280</v>
      </c>
    </row>
    <row r="1193" spans="1:8" ht="21" customHeight="1">
      <c r="A1193" s="86"/>
      <c r="B1193" s="86"/>
      <c r="C1193" s="22">
        <v>4388</v>
      </c>
      <c r="D1193" s="20" t="s">
        <v>199</v>
      </c>
      <c r="E1193" s="88"/>
      <c r="F1193" s="88"/>
      <c r="G1193" s="88"/>
      <c r="H1193" s="88">
        <v>1650</v>
      </c>
    </row>
    <row r="1194" spans="1:8" ht="21" customHeight="1">
      <c r="A1194" s="86"/>
      <c r="B1194" s="86"/>
      <c r="C1194" s="22">
        <v>4389</v>
      </c>
      <c r="D1194" s="20" t="s">
        <v>199</v>
      </c>
      <c r="E1194" s="65"/>
      <c r="F1194" s="65"/>
      <c r="G1194" s="65"/>
      <c r="H1194" s="65">
        <v>550</v>
      </c>
    </row>
    <row r="1195" spans="1:8" ht="21" customHeight="1">
      <c r="A1195" s="86"/>
      <c r="B1195" s="86"/>
      <c r="C1195" s="144">
        <v>4418</v>
      </c>
      <c r="D1195" s="144" t="s">
        <v>749</v>
      </c>
      <c r="E1195" s="65"/>
      <c r="F1195" s="65"/>
      <c r="G1195" s="65"/>
      <c r="H1195" s="65">
        <v>26250</v>
      </c>
    </row>
    <row r="1196" spans="1:8" ht="21" customHeight="1">
      <c r="A1196" s="107"/>
      <c r="B1196" s="107"/>
      <c r="C1196" s="144">
        <v>4419</v>
      </c>
      <c r="D1196" s="144" t="s">
        <v>749</v>
      </c>
      <c r="E1196" s="65"/>
      <c r="F1196" s="65"/>
      <c r="G1196" s="65"/>
      <c r="H1196" s="65">
        <v>8750</v>
      </c>
    </row>
    <row r="1197" ht="29.25" customHeight="1"/>
    <row r="1198" spans="1:8" ht="27.75" customHeight="1">
      <c r="A1198" s="156"/>
      <c r="B1198" s="156"/>
      <c r="C1198" s="156"/>
      <c r="D1198" s="7" t="s">
        <v>861</v>
      </c>
      <c r="E1198" s="83">
        <f>E1199+E1233</f>
        <v>35276446</v>
      </c>
      <c r="F1198" s="364"/>
      <c r="G1198" s="83">
        <f>G1238+G1316</f>
        <v>77463940</v>
      </c>
      <c r="H1198" s="83"/>
    </row>
    <row r="1199" spans="1:8" s="1" customFormat="1" ht="21" customHeight="1" thickBot="1">
      <c r="A1199" s="91"/>
      <c r="B1199" s="91"/>
      <c r="C1199" s="91"/>
      <c r="D1199" s="84" t="s">
        <v>461</v>
      </c>
      <c r="E1199" s="24">
        <f>E1200+E1204+E1229</f>
        <v>35272946</v>
      </c>
      <c r="F1199" s="24"/>
      <c r="G1199" s="24"/>
      <c r="H1199" s="24"/>
    </row>
    <row r="1200" spans="1:8" s="1" customFormat="1" ht="20.25" customHeight="1" thickBot="1" thickTop="1">
      <c r="A1200" s="410" t="s">
        <v>1022</v>
      </c>
      <c r="B1200" s="394"/>
      <c r="C1200" s="394"/>
      <c r="D1200" s="375" t="s">
        <v>1023</v>
      </c>
      <c r="E1200" s="378">
        <f>E1201</f>
        <v>170</v>
      </c>
      <c r="F1200" s="378"/>
      <c r="G1200" s="378"/>
      <c r="H1200" s="378"/>
    </row>
    <row r="1201" spans="1:8" s="150" customFormat="1" ht="19.5" customHeight="1">
      <c r="A1201" s="2"/>
      <c r="B1201" s="63" t="s">
        <v>743</v>
      </c>
      <c r="C1201" s="3"/>
      <c r="D1201" s="2" t="s">
        <v>100</v>
      </c>
      <c r="E1201" s="151">
        <f>E1202</f>
        <v>170</v>
      </c>
      <c r="F1201" s="151"/>
      <c r="G1201" s="151"/>
      <c r="H1201" s="151"/>
    </row>
    <row r="1202" spans="1:8" s="1" customFormat="1" ht="16.5" customHeight="1">
      <c r="A1202" s="86"/>
      <c r="B1202" s="86"/>
      <c r="C1202" s="86"/>
      <c r="D1202" s="87" t="s">
        <v>1036</v>
      </c>
      <c r="E1202" s="17">
        <f>E1203</f>
        <v>170</v>
      </c>
      <c r="F1202" s="17"/>
      <c r="G1202" s="17"/>
      <c r="H1202" s="17"/>
    </row>
    <row r="1203" spans="1:8" s="8" customFormat="1" ht="40.5" customHeight="1">
      <c r="A1203" s="18"/>
      <c r="B1203" s="18"/>
      <c r="C1203" s="68" t="s">
        <v>632</v>
      </c>
      <c r="D1203" s="27" t="s">
        <v>999</v>
      </c>
      <c r="E1203" s="6">
        <v>170</v>
      </c>
      <c r="F1203" s="6"/>
      <c r="G1203" s="6"/>
      <c r="H1203" s="6"/>
    </row>
    <row r="1204" spans="1:8" s="1" customFormat="1" ht="21" customHeight="1" thickBot="1">
      <c r="A1204" s="394">
        <v>700</v>
      </c>
      <c r="B1204" s="394"/>
      <c r="C1204" s="394"/>
      <c r="D1204" s="394" t="s">
        <v>433</v>
      </c>
      <c r="E1204" s="377">
        <f>E1205</f>
        <v>34472776</v>
      </c>
      <c r="F1204" s="377"/>
      <c r="G1204" s="377"/>
      <c r="H1204" s="377"/>
    </row>
    <row r="1205" spans="1:8" s="150" customFormat="1" ht="20.25" customHeight="1">
      <c r="A1205" s="2"/>
      <c r="B1205" s="3">
        <v>70005</v>
      </c>
      <c r="C1205" s="3"/>
      <c r="D1205" s="3" t="s">
        <v>435</v>
      </c>
      <c r="E1205" s="4">
        <f>E1206+E1208+E1210+E1212+E1215+E1217+E1220+E1222+E1224+E1227</f>
        <v>34472776</v>
      </c>
      <c r="F1205" s="4"/>
      <c r="G1205" s="4"/>
      <c r="H1205" s="4"/>
    </row>
    <row r="1206" spans="1:8" s="1" customFormat="1" ht="18.75" customHeight="1">
      <c r="A1206" s="86"/>
      <c r="B1206" s="86"/>
      <c r="C1206" s="86"/>
      <c r="D1206" s="93" t="s">
        <v>1106</v>
      </c>
      <c r="E1206" s="152">
        <f>E1207</f>
        <v>6000000</v>
      </c>
      <c r="F1206" s="152"/>
      <c r="G1206" s="152"/>
      <c r="H1206" s="152"/>
    </row>
    <row r="1207" spans="1:8" s="8" customFormat="1" ht="18.75" customHeight="1">
      <c r="A1207" s="18"/>
      <c r="B1207" s="18"/>
      <c r="C1207" s="19" t="s">
        <v>631</v>
      </c>
      <c r="D1207" s="20" t="s">
        <v>1107</v>
      </c>
      <c r="E1207" s="88">
        <v>6000000</v>
      </c>
      <c r="F1207" s="88"/>
      <c r="G1207" s="88"/>
      <c r="H1207" s="88"/>
    </row>
    <row r="1208" spans="1:8" s="1" customFormat="1" ht="19.5" customHeight="1">
      <c r="A1208" s="86"/>
      <c r="B1208" s="86"/>
      <c r="C1208" s="86"/>
      <c r="D1208" s="93" t="s">
        <v>739</v>
      </c>
      <c r="E1208" s="66">
        <f>E1209</f>
        <v>3500000</v>
      </c>
      <c r="F1208" s="66"/>
      <c r="G1208" s="66"/>
      <c r="H1208" s="66"/>
    </row>
    <row r="1209" spans="1:8" s="8" customFormat="1" ht="42" customHeight="1">
      <c r="A1209" s="18"/>
      <c r="B1209" s="18"/>
      <c r="C1209" s="19" t="s">
        <v>632</v>
      </c>
      <c r="D1209" s="20" t="s">
        <v>999</v>
      </c>
      <c r="E1209" s="88">
        <v>3500000</v>
      </c>
      <c r="F1209" s="88"/>
      <c r="G1209" s="88"/>
      <c r="H1209" s="88"/>
    </row>
    <row r="1210" spans="1:8" s="1" customFormat="1" ht="21.75" customHeight="1">
      <c r="A1210" s="86"/>
      <c r="B1210" s="86"/>
      <c r="C1210" s="122"/>
      <c r="D1210" s="16" t="s">
        <v>774</v>
      </c>
      <c r="E1210" s="17">
        <f>E1211</f>
        <v>2797000</v>
      </c>
      <c r="F1210" s="17"/>
      <c r="G1210" s="17"/>
      <c r="H1210" s="17"/>
    </row>
    <row r="1211" spans="1:8" s="8" customFormat="1" ht="40.5" customHeight="1">
      <c r="A1211" s="18"/>
      <c r="B1211" s="18"/>
      <c r="C1211" s="19" t="s">
        <v>632</v>
      </c>
      <c r="D1211" s="20" t="s">
        <v>999</v>
      </c>
      <c r="E1211" s="88">
        <v>2797000</v>
      </c>
      <c r="F1211" s="88"/>
      <c r="G1211" s="88"/>
      <c r="H1211" s="88"/>
    </row>
    <row r="1212" spans="1:8" s="1" customFormat="1" ht="25.5">
      <c r="A1212" s="86"/>
      <c r="B1212" s="86"/>
      <c r="C1212" s="86"/>
      <c r="D1212" s="93" t="s">
        <v>185</v>
      </c>
      <c r="E1212" s="152">
        <f>SUM(E1213:E1214)</f>
        <v>350000</v>
      </c>
      <c r="F1212" s="152"/>
      <c r="G1212" s="152"/>
      <c r="H1212" s="152"/>
    </row>
    <row r="1213" spans="1:8" s="8" customFormat="1" ht="25.5" customHeight="1">
      <c r="A1213" s="18"/>
      <c r="B1213" s="18"/>
      <c r="C1213" s="68" t="s">
        <v>562</v>
      </c>
      <c r="D1213" s="69" t="s">
        <v>563</v>
      </c>
      <c r="E1213" s="88">
        <v>150000</v>
      </c>
      <c r="F1213" s="88"/>
      <c r="G1213" s="88"/>
      <c r="H1213" s="88"/>
    </row>
    <row r="1214" spans="1:8" s="8" customFormat="1" ht="25.5" customHeight="1">
      <c r="A1214" s="18"/>
      <c r="B1214" s="18"/>
      <c r="C1214" s="19" t="s">
        <v>633</v>
      </c>
      <c r="D1214" s="20" t="s">
        <v>407</v>
      </c>
      <c r="E1214" s="6">
        <v>200000</v>
      </c>
      <c r="F1214" s="6"/>
      <c r="G1214" s="6"/>
      <c r="H1214" s="6"/>
    </row>
    <row r="1215" spans="1:8" s="1" customFormat="1" ht="25.5" customHeight="1">
      <c r="A1215" s="86"/>
      <c r="B1215" s="86"/>
      <c r="C1215" s="86"/>
      <c r="D1215" s="93" t="s">
        <v>620</v>
      </c>
      <c r="E1215" s="66">
        <f>E1216</f>
        <v>400000</v>
      </c>
      <c r="F1215" s="66"/>
      <c r="G1215" s="66"/>
      <c r="H1215" s="66"/>
    </row>
    <row r="1216" spans="1:8" s="8" customFormat="1" ht="25.5" customHeight="1">
      <c r="A1216" s="18"/>
      <c r="B1216" s="18"/>
      <c r="C1216" s="19" t="s">
        <v>633</v>
      </c>
      <c r="D1216" s="20" t="s">
        <v>407</v>
      </c>
      <c r="E1216" s="88">
        <v>400000</v>
      </c>
      <c r="F1216" s="88"/>
      <c r="G1216" s="88"/>
      <c r="H1216" s="88"/>
    </row>
    <row r="1217" spans="1:8" s="1" customFormat="1" ht="19.5" customHeight="1">
      <c r="A1217" s="86"/>
      <c r="B1217" s="86"/>
      <c r="C1217" s="86"/>
      <c r="D1217" s="93" t="s">
        <v>775</v>
      </c>
      <c r="E1217" s="152">
        <f>E1218</f>
        <v>5000000</v>
      </c>
      <c r="F1217" s="152"/>
      <c r="G1217" s="152"/>
      <c r="H1217" s="152"/>
    </row>
    <row r="1218" spans="1:8" s="8" customFormat="1" ht="24" customHeight="1">
      <c r="A1218" s="22"/>
      <c r="B1218" s="22"/>
      <c r="C1218" s="19" t="s">
        <v>633</v>
      </c>
      <c r="D1218" s="20" t="s">
        <v>407</v>
      </c>
      <c r="E1218" s="88">
        <v>5000000</v>
      </c>
      <c r="F1218" s="88"/>
      <c r="G1218" s="88"/>
      <c r="H1218" s="88"/>
    </row>
    <row r="1219" ht="24" customHeight="1"/>
    <row r="1220" spans="1:8" s="1" customFormat="1" ht="19.5" customHeight="1">
      <c r="A1220" s="86"/>
      <c r="B1220" s="86"/>
      <c r="C1220" s="86"/>
      <c r="D1220" s="93" t="s">
        <v>347</v>
      </c>
      <c r="E1220" s="152">
        <f>E1221</f>
        <v>4500000</v>
      </c>
      <c r="F1220" s="152"/>
      <c r="G1220" s="152"/>
      <c r="H1220" s="152"/>
    </row>
    <row r="1221" spans="1:8" s="8" customFormat="1" ht="25.5" customHeight="1">
      <c r="A1221" s="18"/>
      <c r="B1221" s="18"/>
      <c r="C1221" s="19" t="s">
        <v>633</v>
      </c>
      <c r="D1221" s="20" t="s">
        <v>407</v>
      </c>
      <c r="E1221" s="88">
        <v>4500000</v>
      </c>
      <c r="F1221" s="88"/>
      <c r="G1221" s="88"/>
      <c r="H1221" s="88"/>
    </row>
    <row r="1222" spans="1:8" s="1" customFormat="1" ht="19.5" customHeight="1">
      <c r="A1222" s="86"/>
      <c r="B1222" s="86"/>
      <c r="C1222" s="86"/>
      <c r="D1222" s="93" t="s">
        <v>634</v>
      </c>
      <c r="E1222" s="152">
        <f>E1223</f>
        <v>10600000</v>
      </c>
      <c r="F1222" s="152"/>
      <c r="G1222" s="152"/>
      <c r="H1222" s="152"/>
    </row>
    <row r="1223" spans="1:8" s="8" customFormat="1" ht="26.25" customHeight="1">
      <c r="A1223" s="18"/>
      <c r="B1223" s="18"/>
      <c r="C1223" s="19" t="s">
        <v>633</v>
      </c>
      <c r="D1223" s="20" t="s">
        <v>407</v>
      </c>
      <c r="E1223" s="88">
        <v>10600000</v>
      </c>
      <c r="F1223" s="88"/>
      <c r="G1223" s="88"/>
      <c r="H1223" s="88"/>
    </row>
    <row r="1224" spans="1:8" s="1" customFormat="1" ht="19.5" customHeight="1">
      <c r="A1224" s="86"/>
      <c r="B1224" s="86"/>
      <c r="C1224" s="86"/>
      <c r="D1224" s="93" t="s">
        <v>690</v>
      </c>
      <c r="E1224" s="66">
        <f>SUM(E1225:E1226)</f>
        <v>200000</v>
      </c>
      <c r="F1224" s="66"/>
      <c r="G1224" s="66"/>
      <c r="H1224" s="66"/>
    </row>
    <row r="1225" spans="1:8" s="174" customFormat="1" ht="19.5" customHeight="1">
      <c r="A1225" s="170"/>
      <c r="B1225" s="170"/>
      <c r="C1225" s="76" t="s">
        <v>1066</v>
      </c>
      <c r="D1225" s="77" t="s">
        <v>235</v>
      </c>
      <c r="E1225" s="173">
        <v>150000</v>
      </c>
      <c r="F1225" s="173"/>
      <c r="G1225" s="173"/>
      <c r="H1225" s="173"/>
    </row>
    <row r="1226" spans="1:8" s="174" customFormat="1" ht="19.5" customHeight="1">
      <c r="A1226" s="170"/>
      <c r="B1226" s="170"/>
      <c r="C1226" s="76" t="s">
        <v>1080</v>
      </c>
      <c r="D1226" s="77" t="s">
        <v>282</v>
      </c>
      <c r="E1226" s="176">
        <v>50000</v>
      </c>
      <c r="F1226" s="176"/>
      <c r="G1226" s="176"/>
      <c r="H1226" s="176"/>
    </row>
    <row r="1227" spans="1:8" ht="19.5" customHeight="1">
      <c r="A1227" s="938"/>
      <c r="B1227" s="938"/>
      <c r="C1227" s="938"/>
      <c r="D1227" s="904" t="s">
        <v>788</v>
      </c>
      <c r="E1227" s="939">
        <f>E1228</f>
        <v>1125776</v>
      </c>
      <c r="F1227" s="939"/>
      <c r="G1227" s="939"/>
      <c r="H1227" s="939"/>
    </row>
    <row r="1228" spans="1:8" ht="19.5" customHeight="1">
      <c r="A1228" s="910"/>
      <c r="B1228" s="910"/>
      <c r="C1228" s="940" t="s">
        <v>1064</v>
      </c>
      <c r="D1228" s="941" t="s">
        <v>882</v>
      </c>
      <c r="E1228" s="942">
        <v>1125776</v>
      </c>
      <c r="F1228" s="942"/>
      <c r="G1228" s="942"/>
      <c r="H1228" s="943"/>
    </row>
    <row r="1229" spans="1:8" s="1" customFormat="1" ht="31.5" customHeight="1" thickBot="1">
      <c r="A1229" s="394">
        <v>756</v>
      </c>
      <c r="B1229" s="394"/>
      <c r="C1229" s="394"/>
      <c r="D1229" s="395" t="s">
        <v>380</v>
      </c>
      <c r="E1229" s="411">
        <f>E1230</f>
        <v>800000</v>
      </c>
      <c r="F1229" s="411"/>
      <c r="G1229" s="377"/>
      <c r="H1229" s="377"/>
    </row>
    <row r="1230" spans="1:8" s="150" customFormat="1" ht="19.5" customHeight="1">
      <c r="A1230" s="2"/>
      <c r="B1230" s="3">
        <v>75605</v>
      </c>
      <c r="C1230" s="3"/>
      <c r="D1230" s="67" t="s">
        <v>691</v>
      </c>
      <c r="E1230" s="70">
        <f>E1231</f>
        <v>800000</v>
      </c>
      <c r="F1230" s="70"/>
      <c r="G1230" s="4"/>
      <c r="H1230" s="4"/>
    </row>
    <row r="1231" spans="1:8" s="1" customFormat="1" ht="19.5" customHeight="1">
      <c r="A1231" s="86"/>
      <c r="B1231" s="86"/>
      <c r="C1231" s="86"/>
      <c r="D1231" s="93" t="s">
        <v>411</v>
      </c>
      <c r="E1231" s="71">
        <f>E1232</f>
        <v>800000</v>
      </c>
      <c r="F1231" s="71"/>
      <c r="G1231" s="17"/>
      <c r="H1231" s="17"/>
    </row>
    <row r="1232" spans="1:8" s="8" customFormat="1" ht="27.75" customHeight="1">
      <c r="A1232" s="18"/>
      <c r="B1232" s="18"/>
      <c r="C1232" s="19" t="s">
        <v>635</v>
      </c>
      <c r="D1232" s="20" t="s">
        <v>692</v>
      </c>
      <c r="E1232" s="72">
        <v>800000</v>
      </c>
      <c r="F1232" s="72"/>
      <c r="G1232" s="88"/>
      <c r="H1232" s="88"/>
    </row>
    <row r="1233" spans="1:8" s="155" customFormat="1" ht="21" customHeight="1" thickBot="1">
      <c r="A1233" s="3"/>
      <c r="B1233" s="3"/>
      <c r="C1233" s="3"/>
      <c r="D1233" s="153" t="s">
        <v>693</v>
      </c>
      <c r="E1233" s="73">
        <f>E1234</f>
        <v>3500</v>
      </c>
      <c r="F1233" s="73"/>
      <c r="G1233" s="154"/>
      <c r="H1233" s="154"/>
    </row>
    <row r="1234" spans="1:8" s="1" customFormat="1" ht="21" customHeight="1" thickBot="1" thickTop="1">
      <c r="A1234" s="385">
        <v>750</v>
      </c>
      <c r="B1234" s="374"/>
      <c r="C1234" s="390"/>
      <c r="D1234" s="391" t="s">
        <v>439</v>
      </c>
      <c r="E1234" s="412">
        <f>E1235</f>
        <v>3500</v>
      </c>
      <c r="F1234" s="412"/>
      <c r="G1234" s="392"/>
      <c r="H1234" s="392"/>
    </row>
    <row r="1235" spans="1:8" s="150" customFormat="1" ht="21" customHeight="1">
      <c r="A1235" s="2"/>
      <c r="B1235" s="3">
        <v>75095</v>
      </c>
      <c r="C1235" s="3"/>
      <c r="D1235" s="67" t="s">
        <v>100</v>
      </c>
      <c r="E1235" s="4">
        <f>E1236</f>
        <v>3500</v>
      </c>
      <c r="F1235" s="4"/>
      <c r="G1235" s="4"/>
      <c r="H1235" s="4"/>
    </row>
    <row r="1236" spans="1:8" s="1" customFormat="1" ht="21" customHeight="1">
      <c r="A1236" s="86"/>
      <c r="B1236" s="86"/>
      <c r="C1236" s="86"/>
      <c r="D1236" s="93" t="s">
        <v>412</v>
      </c>
      <c r="E1236" s="17">
        <f>E1237</f>
        <v>3500</v>
      </c>
      <c r="F1236" s="17"/>
      <c r="G1236" s="17"/>
      <c r="H1236" s="17"/>
    </row>
    <row r="1237" spans="1:8" s="8" customFormat="1" ht="21" customHeight="1">
      <c r="A1237" s="18"/>
      <c r="B1237" s="18"/>
      <c r="C1237" s="19" t="s">
        <v>728</v>
      </c>
      <c r="D1237" s="20" t="s">
        <v>512</v>
      </c>
      <c r="E1237" s="88">
        <v>3500</v>
      </c>
      <c r="F1237" s="88"/>
      <c r="G1237" s="88"/>
      <c r="H1237" s="88"/>
    </row>
    <row r="1238" spans="1:8" s="1" customFormat="1" ht="19.5" customHeight="1" thickBot="1">
      <c r="A1238" s="91"/>
      <c r="B1238" s="91"/>
      <c r="C1238" s="91"/>
      <c r="D1238" s="84" t="s">
        <v>646</v>
      </c>
      <c r="E1238" s="284"/>
      <c r="F1238" s="284"/>
      <c r="G1238" s="24">
        <f>G1239+G1246+G1274+G1291+G1296+G1302</f>
        <v>76662790</v>
      </c>
      <c r="H1238" s="24"/>
    </row>
    <row r="1239" spans="1:8" ht="19.5" customHeight="1" thickBot="1" thickTop="1">
      <c r="A1239" s="410" t="s">
        <v>491</v>
      </c>
      <c r="B1239" s="394"/>
      <c r="C1239" s="375"/>
      <c r="D1239" s="375" t="s">
        <v>492</v>
      </c>
      <c r="E1239" s="378"/>
      <c r="F1239" s="378"/>
      <c r="G1239" s="378">
        <f>G1240</f>
        <v>20000</v>
      </c>
      <c r="H1239" s="378"/>
    </row>
    <row r="1240" spans="1:8" ht="19.5" customHeight="1">
      <c r="A1240" s="2"/>
      <c r="B1240" s="63" t="s">
        <v>524</v>
      </c>
      <c r="C1240" s="3"/>
      <c r="D1240" s="3" t="s">
        <v>844</v>
      </c>
      <c r="E1240" s="4"/>
      <c r="F1240" s="4"/>
      <c r="G1240" s="4">
        <f>G1241+G1243</f>
        <v>20000</v>
      </c>
      <c r="H1240" s="4"/>
    </row>
    <row r="1241" spans="1:8" ht="19.5" customHeight="1">
      <c r="A1241" s="18"/>
      <c r="B1241" s="18"/>
      <c r="C1241" s="18"/>
      <c r="D1241" s="93" t="s">
        <v>286</v>
      </c>
      <c r="E1241" s="17"/>
      <c r="F1241" s="17"/>
      <c r="G1241" s="17">
        <f>G1242</f>
        <v>5300</v>
      </c>
      <c r="H1241" s="17"/>
    </row>
    <row r="1242" spans="1:8" ht="19.5" customHeight="1">
      <c r="A1242" s="18"/>
      <c r="B1242" s="18"/>
      <c r="C1242" s="22">
        <v>4300</v>
      </c>
      <c r="D1242" s="20" t="s">
        <v>815</v>
      </c>
      <c r="E1242" s="61"/>
      <c r="F1242" s="61"/>
      <c r="G1242" s="6">
        <v>5300</v>
      </c>
      <c r="H1242" s="6"/>
    </row>
    <row r="1243" spans="1:8" ht="19.5" customHeight="1">
      <c r="A1243" s="18"/>
      <c r="B1243" s="18"/>
      <c r="C1243" s="122"/>
      <c r="D1243" s="16" t="s">
        <v>130</v>
      </c>
      <c r="E1243" s="17"/>
      <c r="F1243" s="17"/>
      <c r="G1243" s="17">
        <f>G1244</f>
        <v>14700</v>
      </c>
      <c r="H1243" s="17"/>
    </row>
    <row r="1244" spans="1:8" ht="19.5" customHeight="1">
      <c r="A1244" s="22"/>
      <c r="B1244" s="22"/>
      <c r="C1244" s="22">
        <v>4300</v>
      </c>
      <c r="D1244" s="147" t="s">
        <v>815</v>
      </c>
      <c r="E1244" s="61"/>
      <c r="F1244" s="61"/>
      <c r="G1244" s="6">
        <v>14700</v>
      </c>
      <c r="H1244" s="6"/>
    </row>
    <row r="1245" ht="19.5" customHeight="1"/>
    <row r="1246" spans="1:8" ht="19.5" customHeight="1" thickBot="1">
      <c r="A1246" s="394">
        <v>600</v>
      </c>
      <c r="B1246" s="394"/>
      <c r="C1246" s="394"/>
      <c r="D1246" s="394" t="s">
        <v>525</v>
      </c>
      <c r="E1246" s="377"/>
      <c r="F1246" s="377"/>
      <c r="G1246" s="377">
        <f>G1247+G1253+G1265+G1270</f>
        <v>64819812</v>
      </c>
      <c r="H1246" s="377"/>
    </row>
    <row r="1247" spans="1:8" ht="19.5" customHeight="1">
      <c r="A1247" s="156"/>
      <c r="B1247" s="3">
        <v>60004</v>
      </c>
      <c r="C1247" s="3"/>
      <c r="D1247" s="3" t="s">
        <v>647</v>
      </c>
      <c r="E1247" s="4"/>
      <c r="F1247" s="4"/>
      <c r="G1247" s="4">
        <f>G1248+G1250</f>
        <v>31377576</v>
      </c>
      <c r="H1247" s="4"/>
    </row>
    <row r="1248" spans="1:8" ht="19.5" customHeight="1">
      <c r="A1248" s="156"/>
      <c r="B1248" s="86"/>
      <c r="C1248" s="122"/>
      <c r="D1248" s="87" t="s">
        <v>544</v>
      </c>
      <c r="E1248" s="17"/>
      <c r="F1248" s="17"/>
      <c r="G1248" s="17">
        <f>G1249</f>
        <v>21377576</v>
      </c>
      <c r="H1248" s="17"/>
    </row>
    <row r="1249" spans="1:8" ht="18" customHeight="1">
      <c r="A1249" s="156"/>
      <c r="B1249" s="86"/>
      <c r="C1249" s="18">
        <v>4150</v>
      </c>
      <c r="D1249" s="18" t="s">
        <v>479</v>
      </c>
      <c r="E1249" s="280"/>
      <c r="F1249" s="280"/>
      <c r="G1249" s="295">
        <v>21377576</v>
      </c>
      <c r="H1249" s="295"/>
    </row>
    <row r="1250" spans="1:8" ht="18.75" customHeight="1">
      <c r="A1250" s="156"/>
      <c r="B1250" s="86"/>
      <c r="C1250" s="128"/>
      <c r="D1250" s="348" t="s">
        <v>841</v>
      </c>
      <c r="E1250" s="17"/>
      <c r="F1250" s="17"/>
      <c r="G1250" s="17">
        <f>G1252</f>
        <v>10000000</v>
      </c>
      <c r="H1250" s="17"/>
    </row>
    <row r="1251" spans="1:8" ht="18.75" customHeight="1">
      <c r="A1251" s="156"/>
      <c r="B1251" s="86"/>
      <c r="C1251" s="18"/>
      <c r="D1251" s="157" t="s">
        <v>132</v>
      </c>
      <c r="E1251" s="10"/>
      <c r="F1251" s="10"/>
      <c r="G1251" s="10">
        <v>10000000</v>
      </c>
      <c r="H1251" s="10"/>
    </row>
    <row r="1252" spans="1:8" ht="18.75" customHeight="1">
      <c r="A1252" s="156"/>
      <c r="B1252" s="107"/>
      <c r="C1252" s="22">
        <v>6050</v>
      </c>
      <c r="D1252" s="20" t="s">
        <v>746</v>
      </c>
      <c r="E1252" s="6"/>
      <c r="F1252" s="6"/>
      <c r="G1252" s="6">
        <f>G1251</f>
        <v>10000000</v>
      </c>
      <c r="H1252" s="6"/>
    </row>
    <row r="1253" spans="1:8" ht="18.75" customHeight="1">
      <c r="A1253" s="156"/>
      <c r="B1253" s="3">
        <v>60015</v>
      </c>
      <c r="C1253" s="45"/>
      <c r="D1253" s="67" t="s">
        <v>1113</v>
      </c>
      <c r="E1253" s="4"/>
      <c r="F1253" s="4"/>
      <c r="G1253" s="4">
        <f>G1254</f>
        <v>30700000</v>
      </c>
      <c r="H1253" s="4"/>
    </row>
    <row r="1254" spans="1:8" ht="19.5" customHeight="1">
      <c r="A1254" s="156"/>
      <c r="B1254" s="86"/>
      <c r="C1254" s="128"/>
      <c r="D1254" s="16" t="s">
        <v>872</v>
      </c>
      <c r="E1254" s="17"/>
      <c r="F1254" s="17"/>
      <c r="G1254" s="17">
        <f>G1264</f>
        <v>30700000</v>
      </c>
      <c r="H1254" s="17"/>
    </row>
    <row r="1255" spans="1:8" ht="25.5">
      <c r="A1255" s="156"/>
      <c r="B1255" s="86"/>
      <c r="C1255" s="18"/>
      <c r="D1255" s="413" t="s">
        <v>986</v>
      </c>
      <c r="E1255" s="10"/>
      <c r="F1255" s="10"/>
      <c r="G1255" s="10">
        <v>7000000</v>
      </c>
      <c r="H1255" s="10"/>
    </row>
    <row r="1256" spans="1:8" ht="18" customHeight="1">
      <c r="A1256" s="156"/>
      <c r="B1256" s="86"/>
      <c r="C1256" s="18"/>
      <c r="D1256" s="332" t="s">
        <v>688</v>
      </c>
      <c r="E1256" s="11"/>
      <c r="F1256" s="11"/>
      <c r="G1256" s="11">
        <v>300000</v>
      </c>
      <c r="H1256" s="11"/>
    </row>
    <row r="1257" spans="1:8" ht="18.75" customHeight="1">
      <c r="A1257" s="156"/>
      <c r="B1257" s="86"/>
      <c r="C1257" s="18"/>
      <c r="D1257" s="179" t="s">
        <v>251</v>
      </c>
      <c r="E1257" s="11"/>
      <c r="F1257" s="11"/>
      <c r="G1257" s="11">
        <v>1900000</v>
      </c>
      <c r="H1257" s="11"/>
    </row>
    <row r="1258" spans="1:8" ht="18.75" customHeight="1">
      <c r="A1258" s="156"/>
      <c r="B1258" s="86"/>
      <c r="C1258" s="18"/>
      <c r="D1258" s="340" t="s">
        <v>590</v>
      </c>
      <c r="E1258" s="11"/>
      <c r="F1258" s="11"/>
      <c r="G1258" s="11">
        <v>200000</v>
      </c>
      <c r="H1258" s="11"/>
    </row>
    <row r="1259" spans="1:8" ht="12.75">
      <c r="A1259" s="156"/>
      <c r="B1259" s="86"/>
      <c r="C1259" s="18"/>
      <c r="D1259" s="340" t="s">
        <v>591</v>
      </c>
      <c r="E1259" s="11"/>
      <c r="F1259" s="11"/>
      <c r="G1259" s="11">
        <v>3000000</v>
      </c>
      <c r="H1259" s="11"/>
    </row>
    <row r="1260" spans="1:8" ht="18.75" customHeight="1">
      <c r="A1260" s="156"/>
      <c r="B1260" s="86"/>
      <c r="C1260" s="18"/>
      <c r="D1260" s="340" t="s">
        <v>595</v>
      </c>
      <c r="E1260" s="11"/>
      <c r="F1260" s="11"/>
      <c r="G1260" s="11">
        <v>1400000</v>
      </c>
      <c r="H1260" s="11"/>
    </row>
    <row r="1261" spans="1:8" ht="18.75" customHeight="1">
      <c r="A1261" s="156"/>
      <c r="B1261" s="86"/>
      <c r="C1261" s="18"/>
      <c r="D1261" s="332" t="s">
        <v>1026</v>
      </c>
      <c r="E1261" s="11"/>
      <c r="F1261" s="11"/>
      <c r="G1261" s="11">
        <v>500000</v>
      </c>
      <c r="H1261" s="11"/>
    </row>
    <row r="1262" spans="1:8" ht="18.75" customHeight="1">
      <c r="A1262" s="156"/>
      <c r="B1262" s="86"/>
      <c r="C1262" s="18"/>
      <c r="D1262" s="340" t="s">
        <v>1027</v>
      </c>
      <c r="E1262" s="11"/>
      <c r="F1262" s="11"/>
      <c r="G1262" s="11">
        <v>7400000</v>
      </c>
      <c r="H1262" s="11"/>
    </row>
    <row r="1263" spans="1:8" ht="41.25" customHeight="1">
      <c r="A1263" s="156"/>
      <c r="B1263" s="86"/>
      <c r="C1263" s="18"/>
      <c r="D1263" s="323" t="s">
        <v>987</v>
      </c>
      <c r="E1263" s="231"/>
      <c r="F1263" s="231"/>
      <c r="G1263" s="231">
        <v>9000000</v>
      </c>
      <c r="H1263" s="231"/>
    </row>
    <row r="1264" spans="1:8" ht="19.5" customHeight="1">
      <c r="A1264" s="156"/>
      <c r="B1264" s="107"/>
      <c r="C1264" s="22">
        <v>6050</v>
      </c>
      <c r="D1264" s="20" t="s">
        <v>746</v>
      </c>
      <c r="E1264" s="6"/>
      <c r="F1264" s="6"/>
      <c r="G1264" s="6">
        <f>SUM(G1255:G1263)</f>
        <v>30700000</v>
      </c>
      <c r="H1264" s="6"/>
    </row>
    <row r="1265" spans="1:8" ht="18.75" customHeight="1">
      <c r="A1265" s="86"/>
      <c r="B1265" s="3">
        <v>60016</v>
      </c>
      <c r="C1265" s="3"/>
      <c r="D1265" s="3" t="s">
        <v>1114</v>
      </c>
      <c r="E1265" s="4"/>
      <c r="F1265" s="4"/>
      <c r="G1265" s="70">
        <f>G1266</f>
        <v>600000</v>
      </c>
      <c r="H1265" s="70"/>
    </row>
    <row r="1266" spans="1:8" ht="18.75" customHeight="1">
      <c r="A1266" s="86"/>
      <c r="B1266" s="86"/>
      <c r="C1266" s="86"/>
      <c r="D1266" s="87" t="s">
        <v>509</v>
      </c>
      <c r="E1266" s="17"/>
      <c r="F1266" s="17"/>
      <c r="G1266" s="17">
        <f>G1269</f>
        <v>600000</v>
      </c>
      <c r="H1266" s="17"/>
    </row>
    <row r="1267" spans="1:8" ht="18.75" customHeight="1">
      <c r="A1267" s="156"/>
      <c r="B1267" s="86"/>
      <c r="C1267" s="18"/>
      <c r="D1267" s="332" t="s">
        <v>192</v>
      </c>
      <c r="E1267" s="10"/>
      <c r="F1267" s="10"/>
      <c r="G1267" s="10">
        <v>500000</v>
      </c>
      <c r="H1267" s="10"/>
    </row>
    <row r="1268" spans="1:8" ht="18.75" customHeight="1">
      <c r="A1268" s="156"/>
      <c r="B1268" s="86"/>
      <c r="C1268" s="18"/>
      <c r="D1268" s="340" t="s">
        <v>1057</v>
      </c>
      <c r="E1268" s="11"/>
      <c r="F1268" s="11"/>
      <c r="G1268" s="11">
        <v>100000</v>
      </c>
      <c r="H1268" s="11"/>
    </row>
    <row r="1269" spans="1:8" ht="18.75" customHeight="1">
      <c r="A1269" s="156"/>
      <c r="B1269" s="107"/>
      <c r="C1269" s="22">
        <v>6050</v>
      </c>
      <c r="D1269" s="20" t="s">
        <v>746</v>
      </c>
      <c r="E1269" s="228"/>
      <c r="F1269" s="228"/>
      <c r="G1269" s="228">
        <f>SUM(G1267:G1268)</f>
        <v>600000</v>
      </c>
      <c r="H1269" s="228"/>
    </row>
    <row r="1270" spans="1:8" ht="18.75" customHeight="1">
      <c r="A1270" s="86"/>
      <c r="B1270" s="3">
        <v>60095</v>
      </c>
      <c r="C1270" s="3"/>
      <c r="D1270" s="3" t="s">
        <v>100</v>
      </c>
      <c r="E1270" s="4"/>
      <c r="F1270" s="4"/>
      <c r="G1270" s="70">
        <f>G1271</f>
        <v>2142236</v>
      </c>
      <c r="H1270" s="70"/>
    </row>
    <row r="1271" spans="1:8" ht="18.75" customHeight="1">
      <c r="A1271" s="86"/>
      <c r="B1271" s="86"/>
      <c r="C1271" s="254"/>
      <c r="D1271" s="186" t="s">
        <v>107</v>
      </c>
      <c r="E1271" s="17"/>
      <c r="F1271" s="17"/>
      <c r="G1271" s="17">
        <f>G1272</f>
        <v>2142236</v>
      </c>
      <c r="H1271" s="17"/>
    </row>
    <row r="1272" spans="1:8" s="1" customFormat="1" ht="18.75" customHeight="1">
      <c r="A1272" s="91"/>
      <c r="B1272" s="107"/>
      <c r="C1272" s="22">
        <v>6060</v>
      </c>
      <c r="D1272" s="20" t="s">
        <v>685</v>
      </c>
      <c r="E1272" s="88"/>
      <c r="F1272" s="88"/>
      <c r="G1272" s="88">
        <v>2142236</v>
      </c>
      <c r="H1272" s="88"/>
    </row>
    <row r="1273" ht="18.75" customHeight="1"/>
    <row r="1274" spans="1:8" s="1" customFormat="1" ht="18.75" customHeight="1" thickBot="1">
      <c r="A1274" s="394">
        <v>700</v>
      </c>
      <c r="B1274" s="394"/>
      <c r="C1274" s="414"/>
      <c r="D1274" s="395" t="s">
        <v>433</v>
      </c>
      <c r="E1274" s="377"/>
      <c r="F1274" s="377"/>
      <c r="G1274" s="377">
        <f>G1275+G1278</f>
        <v>2955200</v>
      </c>
      <c r="H1274" s="377"/>
    </row>
    <row r="1275" spans="1:8" ht="18.75" customHeight="1">
      <c r="A1275" s="156"/>
      <c r="B1275" s="25">
        <v>70004</v>
      </c>
      <c r="C1275" s="25"/>
      <c r="D1275" s="67" t="s">
        <v>190</v>
      </c>
      <c r="E1275" s="61"/>
      <c r="F1275" s="61"/>
      <c r="G1275" s="4">
        <f>G1276</f>
        <v>500000</v>
      </c>
      <c r="H1275" s="4"/>
    </row>
    <row r="1276" spans="1:8" ht="18.75" customHeight="1">
      <c r="A1276" s="156"/>
      <c r="B1276" s="86"/>
      <c r="C1276" s="86"/>
      <c r="D1276" s="87" t="s">
        <v>274</v>
      </c>
      <c r="E1276" s="17"/>
      <c r="F1276" s="17"/>
      <c r="G1276" s="17">
        <f>G1277</f>
        <v>500000</v>
      </c>
      <c r="H1276" s="17"/>
    </row>
    <row r="1277" spans="1:8" ht="18.75" customHeight="1">
      <c r="A1277" s="156"/>
      <c r="B1277" s="107"/>
      <c r="C1277" s="22">
        <v>4300</v>
      </c>
      <c r="D1277" s="22" t="s">
        <v>815</v>
      </c>
      <c r="E1277" s="6"/>
      <c r="F1277" s="6"/>
      <c r="G1277" s="6">
        <v>500000</v>
      </c>
      <c r="H1277" s="6"/>
    </row>
    <row r="1278" spans="1:8" ht="18.75" customHeight="1">
      <c r="A1278" s="156"/>
      <c r="B1278" s="3">
        <v>70005</v>
      </c>
      <c r="C1278" s="3"/>
      <c r="D1278" s="3" t="s">
        <v>435</v>
      </c>
      <c r="E1278" s="61"/>
      <c r="F1278" s="61"/>
      <c r="G1278" s="4">
        <f>G1279+G1289</f>
        <v>2455200</v>
      </c>
      <c r="H1278" s="4"/>
    </row>
    <row r="1279" spans="1:8" ht="27.75" customHeight="1">
      <c r="A1279" s="156"/>
      <c r="B1279" s="122"/>
      <c r="C1279" s="122"/>
      <c r="D1279" s="16" t="s">
        <v>284</v>
      </c>
      <c r="E1279" s="66"/>
      <c r="F1279" s="66"/>
      <c r="G1279" s="17">
        <f>SUM(G1280:G1288)-G1282</f>
        <v>1794200</v>
      </c>
      <c r="H1279" s="17"/>
    </row>
    <row r="1280" spans="1:8" ht="18.75" customHeight="1">
      <c r="A1280" s="156"/>
      <c r="B1280" s="86"/>
      <c r="C1280" s="22">
        <v>3030</v>
      </c>
      <c r="D1280" s="20" t="s">
        <v>747</v>
      </c>
      <c r="E1280" s="6"/>
      <c r="F1280" s="6"/>
      <c r="G1280" s="6">
        <v>10000</v>
      </c>
      <c r="H1280" s="6"/>
    </row>
    <row r="1281" spans="1:8" ht="18.75" customHeight="1">
      <c r="A1281" s="156"/>
      <c r="B1281" s="86"/>
      <c r="C1281" s="22">
        <v>4260</v>
      </c>
      <c r="D1281" s="20" t="s">
        <v>752</v>
      </c>
      <c r="E1281" s="6"/>
      <c r="F1281" s="6"/>
      <c r="G1281" s="6">
        <v>5000</v>
      </c>
      <c r="H1281" s="6"/>
    </row>
    <row r="1282" spans="1:8" ht="18.75" customHeight="1">
      <c r="A1282" s="156"/>
      <c r="B1282" s="86"/>
      <c r="C1282" s="128"/>
      <c r="D1282" s="317" t="s">
        <v>698</v>
      </c>
      <c r="E1282" s="178"/>
      <c r="F1282" s="178"/>
      <c r="G1282" s="178">
        <v>150000</v>
      </c>
      <c r="H1282" s="178"/>
    </row>
    <row r="1283" spans="1:8" ht="18.75" customHeight="1">
      <c r="A1283" s="156"/>
      <c r="B1283" s="86"/>
      <c r="C1283" s="22">
        <v>4270</v>
      </c>
      <c r="D1283" s="22" t="s">
        <v>98</v>
      </c>
      <c r="E1283" s="228"/>
      <c r="F1283" s="228"/>
      <c r="G1283" s="228">
        <f>G1282</f>
        <v>150000</v>
      </c>
      <c r="H1283" s="228"/>
    </row>
    <row r="1284" spans="1:8" ht="18.75" customHeight="1">
      <c r="A1284" s="156"/>
      <c r="B1284" s="86"/>
      <c r="C1284" s="22">
        <v>4300</v>
      </c>
      <c r="D1284" s="20" t="s">
        <v>815</v>
      </c>
      <c r="E1284" s="6"/>
      <c r="F1284" s="6"/>
      <c r="G1284" s="65">
        <f>249000+900000-121</f>
        <v>1148879</v>
      </c>
      <c r="H1284" s="65"/>
    </row>
    <row r="1285" spans="1:8" ht="18.75" customHeight="1">
      <c r="A1285" s="156"/>
      <c r="B1285" s="86"/>
      <c r="C1285" s="22">
        <v>4400</v>
      </c>
      <c r="D1285" s="20" t="s">
        <v>1081</v>
      </c>
      <c r="E1285" s="6"/>
      <c r="F1285" s="65"/>
      <c r="G1285" s="276">
        <v>6000</v>
      </c>
      <c r="H1285" s="276"/>
    </row>
    <row r="1286" spans="1:8" ht="18.75" customHeight="1">
      <c r="A1286" s="156"/>
      <c r="B1286" s="86"/>
      <c r="C1286" s="144">
        <v>4480</v>
      </c>
      <c r="D1286" s="252" t="s">
        <v>683</v>
      </c>
      <c r="E1286" s="6"/>
      <c r="F1286" s="279"/>
      <c r="G1286" s="276">
        <v>124800</v>
      </c>
      <c r="H1286" s="276"/>
    </row>
    <row r="1287" spans="1:8" ht="18.75" customHeight="1">
      <c r="A1287" s="156"/>
      <c r="B1287" s="86"/>
      <c r="C1287" s="144">
        <v>4520</v>
      </c>
      <c r="D1287" s="252" t="s">
        <v>302</v>
      </c>
      <c r="E1287" s="6"/>
      <c r="F1287" s="65"/>
      <c r="G1287" s="276">
        <f>339400+121</f>
        <v>339521</v>
      </c>
      <c r="H1287" s="276"/>
    </row>
    <row r="1288" spans="1:8" ht="18.75" customHeight="1">
      <c r="A1288" s="156"/>
      <c r="B1288" s="86"/>
      <c r="C1288" s="18">
        <v>4610</v>
      </c>
      <c r="D1288" s="221" t="s">
        <v>1004</v>
      </c>
      <c r="E1288" s="6"/>
      <c r="F1288" s="65"/>
      <c r="G1288" s="276">
        <v>10000</v>
      </c>
      <c r="H1288" s="276"/>
    </row>
    <row r="1289" spans="1:8" ht="18.75" customHeight="1">
      <c r="A1289" s="156"/>
      <c r="B1289" s="86"/>
      <c r="C1289" s="122"/>
      <c r="D1289" s="16" t="s">
        <v>394</v>
      </c>
      <c r="E1289" s="66"/>
      <c r="F1289" s="66"/>
      <c r="G1289" s="17">
        <f>G1290</f>
        <v>661000</v>
      </c>
      <c r="H1289" s="17"/>
    </row>
    <row r="1290" spans="1:8" ht="18.75" customHeight="1">
      <c r="A1290" s="91"/>
      <c r="B1290" s="107"/>
      <c r="C1290" s="22">
        <v>4590</v>
      </c>
      <c r="D1290" s="20" t="s">
        <v>1003</v>
      </c>
      <c r="E1290" s="6"/>
      <c r="F1290" s="6"/>
      <c r="G1290" s="6">
        <v>661000</v>
      </c>
      <c r="H1290" s="6"/>
    </row>
    <row r="1291" spans="1:8" s="149" customFormat="1" ht="21" customHeight="1" thickBot="1">
      <c r="A1291" s="394">
        <v>710</v>
      </c>
      <c r="B1291" s="394"/>
      <c r="C1291" s="394"/>
      <c r="D1291" s="394" t="s">
        <v>436</v>
      </c>
      <c r="E1291" s="377"/>
      <c r="F1291" s="377"/>
      <c r="G1291" s="377">
        <f>G1292</f>
        <v>850000</v>
      </c>
      <c r="H1291" s="377"/>
    </row>
    <row r="1292" spans="1:8" s="149" customFormat="1" ht="18.75" customHeight="1">
      <c r="A1292" s="30"/>
      <c r="B1292" s="3">
        <v>71014</v>
      </c>
      <c r="C1292" s="3"/>
      <c r="D1292" s="3" t="s">
        <v>438</v>
      </c>
      <c r="E1292" s="4"/>
      <c r="F1292" s="4"/>
      <c r="G1292" s="4">
        <f>G1293</f>
        <v>850000</v>
      </c>
      <c r="H1292" s="4"/>
    </row>
    <row r="1293" spans="1:8" s="149" customFormat="1" ht="18" customHeight="1">
      <c r="A1293" s="30"/>
      <c r="B1293" s="122"/>
      <c r="C1293" s="122"/>
      <c r="D1293" s="16" t="s">
        <v>540</v>
      </c>
      <c r="E1293" s="17"/>
      <c r="F1293" s="17"/>
      <c r="G1293" s="17">
        <f>SUM(G1294:G1295)</f>
        <v>850000</v>
      </c>
      <c r="H1293" s="17"/>
    </row>
    <row r="1294" spans="1:8" s="149" customFormat="1" ht="18.75" customHeight="1">
      <c r="A1294" s="30"/>
      <c r="B1294" s="86"/>
      <c r="C1294" s="22">
        <v>4300</v>
      </c>
      <c r="D1294" s="245" t="s">
        <v>815</v>
      </c>
      <c r="E1294" s="61"/>
      <c r="F1294" s="61"/>
      <c r="G1294" s="6">
        <v>840000</v>
      </c>
      <c r="H1294" s="6"/>
    </row>
    <row r="1295" spans="1:8" s="149" customFormat="1" ht="18.75" customHeight="1">
      <c r="A1295" s="108"/>
      <c r="B1295" s="107"/>
      <c r="C1295" s="22">
        <v>4430</v>
      </c>
      <c r="D1295" s="245" t="s">
        <v>750</v>
      </c>
      <c r="E1295" s="61"/>
      <c r="F1295" s="61"/>
      <c r="G1295" s="6">
        <v>10000</v>
      </c>
      <c r="H1295" s="6"/>
    </row>
    <row r="1296" spans="1:8" s="149" customFormat="1" ht="18.75" customHeight="1" thickBot="1">
      <c r="A1296" s="394">
        <v>852</v>
      </c>
      <c r="B1296" s="394"/>
      <c r="C1296" s="394"/>
      <c r="D1296" s="394" t="s">
        <v>129</v>
      </c>
      <c r="E1296" s="377"/>
      <c r="F1296" s="377"/>
      <c r="G1296" s="377">
        <f>G1297</f>
        <v>280000</v>
      </c>
      <c r="H1296" s="377"/>
    </row>
    <row r="1297" spans="1:8" s="149" customFormat="1" ht="18.75" customHeight="1">
      <c r="A1297" s="2"/>
      <c r="B1297" s="3">
        <v>85201</v>
      </c>
      <c r="C1297" s="3"/>
      <c r="D1297" s="3" t="s">
        <v>55</v>
      </c>
      <c r="E1297" s="264"/>
      <c r="F1297" s="264"/>
      <c r="G1297" s="264">
        <f>G1298</f>
        <v>280000</v>
      </c>
      <c r="H1297" s="264"/>
    </row>
    <row r="1298" spans="1:8" s="149" customFormat="1" ht="18.75" customHeight="1">
      <c r="A1298" s="30"/>
      <c r="B1298" s="122"/>
      <c r="C1298" s="277"/>
      <c r="D1298" s="16" t="s">
        <v>516</v>
      </c>
      <c r="E1298" s="17"/>
      <c r="F1298" s="17"/>
      <c r="G1298" s="17">
        <f>G1300</f>
        <v>280000</v>
      </c>
      <c r="H1298" s="17"/>
    </row>
    <row r="1299" spans="1:8" s="149" customFormat="1" ht="18.75" customHeight="1">
      <c r="A1299" s="30"/>
      <c r="B1299" s="86"/>
      <c r="C1299" s="275"/>
      <c r="D1299" s="244" t="s">
        <v>457</v>
      </c>
      <c r="E1299" s="10"/>
      <c r="F1299" s="10"/>
      <c r="G1299" s="10">
        <v>280000</v>
      </c>
      <c r="H1299" s="10"/>
    </row>
    <row r="1300" spans="1:8" s="149" customFormat="1" ht="18.75" customHeight="1">
      <c r="A1300" s="3"/>
      <c r="B1300" s="22"/>
      <c r="C1300" s="22">
        <v>6050</v>
      </c>
      <c r="D1300" s="227" t="s">
        <v>746</v>
      </c>
      <c r="E1300" s="278"/>
      <c r="F1300" s="278"/>
      <c r="G1300" s="278">
        <f>G1299</f>
        <v>280000</v>
      </c>
      <c r="H1300" s="278"/>
    </row>
    <row r="1301" ht="27" customHeight="1"/>
    <row r="1302" spans="1:8" s="149" customFormat="1" ht="18.75" customHeight="1" thickBot="1">
      <c r="A1302" s="375">
        <v>900</v>
      </c>
      <c r="B1302" s="375"/>
      <c r="C1302" s="375"/>
      <c r="D1302" s="375" t="s">
        <v>1109</v>
      </c>
      <c r="E1302" s="378"/>
      <c r="F1302" s="378"/>
      <c r="G1302" s="378">
        <f>G1303+G1309+G1312</f>
        <v>7737778</v>
      </c>
      <c r="H1302" s="378"/>
    </row>
    <row r="1303" spans="1:8" s="149" customFormat="1" ht="18.75" customHeight="1">
      <c r="A1303" s="2"/>
      <c r="B1303" s="13">
        <v>90001</v>
      </c>
      <c r="C1303" s="123"/>
      <c r="D1303" s="14" t="s">
        <v>1110</v>
      </c>
      <c r="E1303" s="6"/>
      <c r="F1303" s="6"/>
      <c r="G1303" s="4">
        <f>G1304</f>
        <v>1500000</v>
      </c>
      <c r="H1303" s="4"/>
    </row>
    <row r="1304" spans="1:8" s="149" customFormat="1" ht="18.75" customHeight="1">
      <c r="A1304" s="86"/>
      <c r="B1304" s="86"/>
      <c r="C1304" s="18"/>
      <c r="D1304" s="316" t="s">
        <v>451</v>
      </c>
      <c r="E1304" s="279"/>
      <c r="F1304" s="279"/>
      <c r="G1304" s="280">
        <f>G1308</f>
        <v>1500000</v>
      </c>
      <c r="H1304" s="280"/>
    </row>
    <row r="1305" spans="1:8" s="149" customFormat="1" ht="18.75" customHeight="1">
      <c r="A1305" s="86"/>
      <c r="B1305" s="86"/>
      <c r="C1305" s="18"/>
      <c r="D1305" s="177" t="s">
        <v>230</v>
      </c>
      <c r="E1305" s="10"/>
      <c r="F1305" s="10"/>
      <c r="G1305" s="10">
        <v>1000000</v>
      </c>
      <c r="H1305" s="10"/>
    </row>
    <row r="1306" spans="1:8" s="149" customFormat="1" ht="25.5">
      <c r="A1306" s="86"/>
      <c r="B1306" s="86"/>
      <c r="C1306" s="18"/>
      <c r="D1306" s="415" t="s">
        <v>988</v>
      </c>
      <c r="E1306" s="230"/>
      <c r="F1306" s="230"/>
      <c r="G1306" s="230">
        <v>300000</v>
      </c>
      <c r="H1306" s="230"/>
    </row>
    <row r="1307" spans="1:8" s="149" customFormat="1" ht="25.5">
      <c r="A1307" s="86"/>
      <c r="B1307" s="86"/>
      <c r="C1307" s="18"/>
      <c r="D1307" s="177" t="s">
        <v>924</v>
      </c>
      <c r="E1307" s="11"/>
      <c r="F1307" s="11"/>
      <c r="G1307" s="11">
        <v>200000</v>
      </c>
      <c r="H1307" s="11"/>
    </row>
    <row r="1308" spans="1:8" s="149" customFormat="1" ht="18.75" customHeight="1">
      <c r="A1308" s="2"/>
      <c r="B1308" s="3"/>
      <c r="C1308" s="22">
        <v>6050</v>
      </c>
      <c r="D1308" s="227" t="s">
        <v>746</v>
      </c>
      <c r="E1308" s="6"/>
      <c r="F1308" s="6"/>
      <c r="G1308" s="6">
        <f>SUM(G1305:G1307)</f>
        <v>1500000</v>
      </c>
      <c r="H1308" s="6"/>
    </row>
    <row r="1309" spans="1:8" s="149" customFormat="1" ht="18.75" customHeight="1">
      <c r="A1309" s="2"/>
      <c r="B1309" s="3">
        <v>90002</v>
      </c>
      <c r="C1309" s="45"/>
      <c r="D1309" s="67" t="s">
        <v>176</v>
      </c>
      <c r="E1309" s="4"/>
      <c r="F1309" s="4"/>
      <c r="G1309" s="4">
        <f>G1310</f>
        <v>447278</v>
      </c>
      <c r="H1309" s="4"/>
    </row>
    <row r="1310" spans="1:8" s="149" customFormat="1" ht="18.75" customHeight="1">
      <c r="A1310" s="86"/>
      <c r="B1310" s="86"/>
      <c r="C1310" s="128"/>
      <c r="D1310" s="416" t="s">
        <v>370</v>
      </c>
      <c r="E1310" s="151"/>
      <c r="F1310" s="151"/>
      <c r="G1310" s="282">
        <f>G1311</f>
        <v>447278</v>
      </c>
      <c r="H1310" s="282"/>
    </row>
    <row r="1311" spans="1:8" s="149" customFormat="1" ht="18.75" customHeight="1">
      <c r="A1311" s="2"/>
      <c r="B1311" s="3"/>
      <c r="C1311" s="22">
        <v>4480</v>
      </c>
      <c r="D1311" s="147" t="s">
        <v>683</v>
      </c>
      <c r="E1311" s="281"/>
      <c r="F1311" s="281"/>
      <c r="G1311" s="173">
        <v>447278</v>
      </c>
      <c r="H1311" s="173"/>
    </row>
    <row r="1312" spans="1:8" s="149" customFormat="1" ht="18.75" customHeight="1">
      <c r="A1312" s="2"/>
      <c r="B1312" s="3">
        <v>90095</v>
      </c>
      <c r="C1312" s="3"/>
      <c r="D1312" s="3" t="s">
        <v>100</v>
      </c>
      <c r="E1312" s="283"/>
      <c r="F1312" s="283"/>
      <c r="G1312" s="283">
        <f>G1313</f>
        <v>5790500</v>
      </c>
      <c r="H1312" s="283"/>
    </row>
    <row r="1313" spans="1:8" s="149" customFormat="1" ht="18.75" customHeight="1">
      <c r="A1313" s="30"/>
      <c r="B1313" s="122"/>
      <c r="C1313" s="277"/>
      <c r="D1313" s="16" t="s">
        <v>451</v>
      </c>
      <c r="E1313" s="17"/>
      <c r="F1313" s="17"/>
      <c r="G1313" s="17">
        <f>G1315</f>
        <v>5790500</v>
      </c>
      <c r="H1313" s="17"/>
    </row>
    <row r="1314" spans="1:8" s="149" customFormat="1" ht="18.75" customHeight="1">
      <c r="A1314" s="30"/>
      <c r="B1314" s="86"/>
      <c r="C1314" s="86"/>
      <c r="D1314" s="253" t="s">
        <v>285</v>
      </c>
      <c r="E1314" s="10"/>
      <c r="F1314" s="10"/>
      <c r="G1314" s="10">
        <f>5000000+790500</f>
        <v>5790500</v>
      </c>
      <c r="H1314" s="10"/>
    </row>
    <row r="1315" spans="1:8" s="149" customFormat="1" ht="18.75" customHeight="1">
      <c r="A1315" s="2"/>
      <c r="B1315" s="18"/>
      <c r="C1315" s="22">
        <v>6050</v>
      </c>
      <c r="D1315" s="22" t="s">
        <v>746</v>
      </c>
      <c r="E1315" s="278"/>
      <c r="F1315" s="278"/>
      <c r="G1315" s="278">
        <f>G1314</f>
        <v>5790500</v>
      </c>
      <c r="H1315" s="278"/>
    </row>
    <row r="1316" spans="1:8" s="149" customFormat="1" ht="29.25" customHeight="1" thickBot="1">
      <c r="A1316" s="3"/>
      <c r="B1316" s="22"/>
      <c r="C1316" s="22"/>
      <c r="D1316" s="64" t="s">
        <v>1021</v>
      </c>
      <c r="E1316" s="285"/>
      <c r="F1316" s="285"/>
      <c r="G1316" s="286">
        <f>G1317+G1324</f>
        <v>801150</v>
      </c>
      <c r="H1316" s="286"/>
    </row>
    <row r="1317" spans="1:8" s="149" customFormat="1" ht="18.75" customHeight="1" thickBot="1" thickTop="1">
      <c r="A1317" s="417" t="s">
        <v>287</v>
      </c>
      <c r="B1317" s="375"/>
      <c r="C1317" s="375"/>
      <c r="D1317" s="375" t="s">
        <v>433</v>
      </c>
      <c r="E1317" s="378"/>
      <c r="F1317" s="378"/>
      <c r="G1317" s="378">
        <f>G1318</f>
        <v>701150</v>
      </c>
      <c r="H1317" s="378"/>
    </row>
    <row r="1318" spans="1:8" s="149" customFormat="1" ht="18.75" customHeight="1">
      <c r="A1318" s="86"/>
      <c r="B1318" s="3">
        <v>70005</v>
      </c>
      <c r="C1318" s="3"/>
      <c r="D1318" s="3" t="s">
        <v>435</v>
      </c>
      <c r="E1318" s="4"/>
      <c r="F1318" s="4"/>
      <c r="G1318" s="4">
        <f>G1319</f>
        <v>701150</v>
      </c>
      <c r="H1318" s="4"/>
    </row>
    <row r="1319" spans="1:8" s="149" customFormat="1" ht="18.75" customHeight="1">
      <c r="A1319" s="86"/>
      <c r="B1319" s="86"/>
      <c r="C1319" s="107"/>
      <c r="D1319" s="1024" t="s">
        <v>288</v>
      </c>
      <c r="E1319" s="1046"/>
      <c r="F1319" s="1046"/>
      <c r="G1319" s="1046">
        <f>SUM(G1320:G1323)</f>
        <v>701150</v>
      </c>
      <c r="H1319" s="1046"/>
    </row>
    <row r="1320" spans="1:8" s="149" customFormat="1" ht="18.75" customHeight="1">
      <c r="A1320" s="86"/>
      <c r="B1320" s="86"/>
      <c r="C1320" s="144">
        <v>4260</v>
      </c>
      <c r="D1320" s="144" t="s">
        <v>752</v>
      </c>
      <c r="E1320" s="65"/>
      <c r="F1320" s="65"/>
      <c r="G1320" s="65">
        <v>1000</v>
      </c>
      <c r="H1320" s="65"/>
    </row>
    <row r="1321" spans="1:8" s="149" customFormat="1" ht="18.75" customHeight="1">
      <c r="A1321" s="86"/>
      <c r="B1321" s="86"/>
      <c r="C1321" s="22">
        <v>4300</v>
      </c>
      <c r="D1321" s="22" t="s">
        <v>815</v>
      </c>
      <c r="E1321" s="6"/>
      <c r="F1321" s="6"/>
      <c r="G1321" s="6">
        <v>220000</v>
      </c>
      <c r="H1321" s="6"/>
    </row>
    <row r="1322" spans="1:8" s="149" customFormat="1" ht="18.75" customHeight="1">
      <c r="A1322" s="86"/>
      <c r="B1322" s="86"/>
      <c r="C1322" s="144">
        <v>4590</v>
      </c>
      <c r="D1322" s="144" t="s">
        <v>1003</v>
      </c>
      <c r="E1322" s="65"/>
      <c r="F1322" s="6"/>
      <c r="G1322" s="6">
        <f>277500+173650</f>
        <v>451150</v>
      </c>
      <c r="H1322" s="6"/>
    </row>
    <row r="1323" spans="1:8" s="149" customFormat="1" ht="18.75" customHeight="1">
      <c r="A1323" s="107"/>
      <c r="B1323" s="107"/>
      <c r="C1323" s="22">
        <v>4610</v>
      </c>
      <c r="D1323" s="22" t="s">
        <v>1004</v>
      </c>
      <c r="E1323" s="65"/>
      <c r="F1323" s="6"/>
      <c r="G1323" s="6">
        <v>29000</v>
      </c>
      <c r="H1323" s="6"/>
    </row>
    <row r="1324" spans="1:8" s="149" customFormat="1" ht="18.75" customHeight="1" thickBot="1">
      <c r="A1324" s="394">
        <v>710</v>
      </c>
      <c r="B1324" s="394"/>
      <c r="C1324" s="394"/>
      <c r="D1324" s="394" t="s">
        <v>436</v>
      </c>
      <c r="E1324" s="377"/>
      <c r="F1324" s="377"/>
      <c r="G1324" s="377">
        <f>G1325</f>
        <v>100000</v>
      </c>
      <c r="H1324" s="377"/>
    </row>
    <row r="1325" spans="1:8" s="149" customFormat="1" ht="18.75" customHeight="1">
      <c r="A1325" s="86"/>
      <c r="B1325" s="3">
        <v>71013</v>
      </c>
      <c r="C1325" s="3"/>
      <c r="D1325" s="3" t="s">
        <v>490</v>
      </c>
      <c r="E1325" s="4"/>
      <c r="F1325" s="4"/>
      <c r="G1325" s="4">
        <f>G1326</f>
        <v>100000</v>
      </c>
      <c r="H1325" s="4"/>
    </row>
    <row r="1326" spans="1:8" s="149" customFormat="1" ht="18.75" customHeight="1">
      <c r="A1326" s="86"/>
      <c r="B1326" s="122"/>
      <c r="C1326" s="122"/>
      <c r="D1326" s="16" t="s">
        <v>998</v>
      </c>
      <c r="E1326" s="17"/>
      <c r="F1326" s="17"/>
      <c r="G1326" s="17">
        <f>G1327</f>
        <v>100000</v>
      </c>
      <c r="H1326" s="17"/>
    </row>
    <row r="1327" spans="1:8" s="149" customFormat="1" ht="18.75" customHeight="1">
      <c r="A1327" s="107"/>
      <c r="B1327" s="107"/>
      <c r="C1327" s="22">
        <v>4300</v>
      </c>
      <c r="D1327" s="22" t="s">
        <v>815</v>
      </c>
      <c r="E1327" s="61"/>
      <c r="F1327" s="61"/>
      <c r="G1327" s="6">
        <v>100000</v>
      </c>
      <c r="H1327" s="6"/>
    </row>
    <row r="1328" ht="27" customHeight="1"/>
    <row r="1329" spans="1:8" ht="24" customHeight="1">
      <c r="A1329" s="156"/>
      <c r="B1329" s="156"/>
      <c r="C1329" s="156"/>
      <c r="D1329" s="7" t="s">
        <v>862</v>
      </c>
      <c r="E1329" s="83"/>
      <c r="F1329" s="83">
        <f>F1330+F1335</f>
        <v>3670</v>
      </c>
      <c r="G1329" s="83"/>
      <c r="H1329" s="83">
        <f>H1340+H1394</f>
        <v>50862736</v>
      </c>
    </row>
    <row r="1330" spans="1:8" s="1" customFormat="1" ht="22.5" customHeight="1" thickBot="1">
      <c r="A1330" s="91"/>
      <c r="B1330" s="91"/>
      <c r="C1330" s="91"/>
      <c r="D1330" s="84" t="s">
        <v>461</v>
      </c>
      <c r="E1330" s="24"/>
      <c r="F1330" s="24">
        <f>F1331</f>
        <v>170</v>
      </c>
      <c r="G1330" s="24"/>
      <c r="H1330" s="24"/>
    </row>
    <row r="1331" spans="1:8" s="1" customFormat="1" ht="21" customHeight="1" thickBot="1" thickTop="1">
      <c r="A1331" s="410" t="s">
        <v>1022</v>
      </c>
      <c r="B1331" s="394"/>
      <c r="C1331" s="394"/>
      <c r="D1331" s="375" t="s">
        <v>1023</v>
      </c>
      <c r="E1331" s="378"/>
      <c r="F1331" s="378">
        <f>F1332</f>
        <v>170</v>
      </c>
      <c r="G1331" s="378"/>
      <c r="H1331" s="378"/>
    </row>
    <row r="1332" spans="1:8" s="150" customFormat="1" ht="21" customHeight="1">
      <c r="A1332" s="2"/>
      <c r="B1332" s="63" t="s">
        <v>743</v>
      </c>
      <c r="C1332" s="3"/>
      <c r="D1332" s="2" t="s">
        <v>100</v>
      </c>
      <c r="E1332" s="151"/>
      <c r="F1332" s="151">
        <f>F1333</f>
        <v>170</v>
      </c>
      <c r="G1332" s="151"/>
      <c r="H1332" s="151"/>
    </row>
    <row r="1333" spans="1:8" s="1" customFormat="1" ht="18.75" customHeight="1">
      <c r="A1333" s="86"/>
      <c r="B1333" s="86"/>
      <c r="C1333" s="86"/>
      <c r="D1333" s="87" t="s">
        <v>1036</v>
      </c>
      <c r="E1333" s="17"/>
      <c r="F1333" s="17">
        <f>F1334</f>
        <v>170</v>
      </c>
      <c r="G1333" s="17"/>
      <c r="H1333" s="17"/>
    </row>
    <row r="1334" spans="1:8" s="8" customFormat="1" ht="40.5" customHeight="1">
      <c r="A1334" s="18"/>
      <c r="B1334" s="18"/>
      <c r="C1334" s="68" t="s">
        <v>632</v>
      </c>
      <c r="D1334" s="27" t="s">
        <v>999</v>
      </c>
      <c r="E1334" s="6"/>
      <c r="F1334" s="6">
        <v>170</v>
      </c>
      <c r="G1334" s="6"/>
      <c r="H1334" s="6"/>
    </row>
    <row r="1335" spans="1:8" s="155" customFormat="1" ht="21" customHeight="1" thickBot="1">
      <c r="A1335" s="3"/>
      <c r="B1335" s="3"/>
      <c r="C1335" s="3"/>
      <c r="D1335" s="153" t="s">
        <v>693</v>
      </c>
      <c r="E1335" s="73"/>
      <c r="F1335" s="73">
        <f>F1336</f>
        <v>3500</v>
      </c>
      <c r="G1335" s="154"/>
      <c r="H1335" s="154"/>
    </row>
    <row r="1336" spans="1:8" s="1" customFormat="1" ht="21" customHeight="1" thickBot="1" thickTop="1">
      <c r="A1336" s="385">
        <v>750</v>
      </c>
      <c r="B1336" s="374"/>
      <c r="C1336" s="390"/>
      <c r="D1336" s="391" t="s">
        <v>439</v>
      </c>
      <c r="E1336" s="412"/>
      <c r="F1336" s="412">
        <f>F1337</f>
        <v>3500</v>
      </c>
      <c r="G1336" s="392"/>
      <c r="H1336" s="392"/>
    </row>
    <row r="1337" spans="1:8" s="150" customFormat="1" ht="21" customHeight="1">
      <c r="A1337" s="2"/>
      <c r="B1337" s="3">
        <v>75095</v>
      </c>
      <c r="C1337" s="3"/>
      <c r="D1337" s="67" t="s">
        <v>100</v>
      </c>
      <c r="E1337" s="4"/>
      <c r="F1337" s="4">
        <f>F1338</f>
        <v>3500</v>
      </c>
      <c r="G1337" s="4"/>
      <c r="H1337" s="4"/>
    </row>
    <row r="1338" spans="1:8" s="1" customFormat="1" ht="21" customHeight="1">
      <c r="A1338" s="86"/>
      <c r="B1338" s="86"/>
      <c r="C1338" s="86"/>
      <c r="D1338" s="93" t="s">
        <v>412</v>
      </c>
      <c r="E1338" s="17"/>
      <c r="F1338" s="17">
        <f>F1339</f>
        <v>3500</v>
      </c>
      <c r="G1338" s="17"/>
      <c r="H1338" s="17"/>
    </row>
    <row r="1339" spans="1:8" s="8" customFormat="1" ht="21" customHeight="1">
      <c r="A1339" s="18"/>
      <c r="B1339" s="18"/>
      <c r="C1339" s="19" t="s">
        <v>728</v>
      </c>
      <c r="D1339" s="20" t="s">
        <v>512</v>
      </c>
      <c r="E1339" s="88"/>
      <c r="F1339" s="88">
        <v>3500</v>
      </c>
      <c r="G1339" s="88"/>
      <c r="H1339" s="88"/>
    </row>
    <row r="1340" spans="1:8" s="1" customFormat="1" ht="19.5" customHeight="1" thickBot="1">
      <c r="A1340" s="91"/>
      <c r="B1340" s="91"/>
      <c r="C1340" s="91"/>
      <c r="D1340" s="84" t="s">
        <v>646</v>
      </c>
      <c r="E1340" s="284"/>
      <c r="F1340" s="284"/>
      <c r="G1340" s="24"/>
      <c r="H1340" s="24">
        <f>H1341+H1347+H1372+H1377+H1383</f>
        <v>50657736</v>
      </c>
    </row>
    <row r="1341" spans="1:8" ht="19.5" customHeight="1" thickBot="1" thickTop="1">
      <c r="A1341" s="410" t="s">
        <v>491</v>
      </c>
      <c r="B1341" s="394"/>
      <c r="C1341" s="375"/>
      <c r="D1341" s="375" t="s">
        <v>492</v>
      </c>
      <c r="E1341" s="378"/>
      <c r="F1341" s="378"/>
      <c r="G1341" s="378"/>
      <c r="H1341" s="378">
        <f>H1342</f>
        <v>20000</v>
      </c>
    </row>
    <row r="1342" spans="1:8" ht="19.5" customHeight="1">
      <c r="A1342" s="2"/>
      <c r="B1342" s="63" t="s">
        <v>524</v>
      </c>
      <c r="C1342" s="3"/>
      <c r="D1342" s="3" t="s">
        <v>844</v>
      </c>
      <c r="E1342" s="4"/>
      <c r="F1342" s="4"/>
      <c r="G1342" s="4"/>
      <c r="H1342" s="4">
        <f>H1343+H1345</f>
        <v>20000</v>
      </c>
    </row>
    <row r="1343" spans="1:8" ht="19.5" customHeight="1">
      <c r="A1343" s="18"/>
      <c r="B1343" s="18"/>
      <c r="C1343" s="18"/>
      <c r="D1343" s="93" t="s">
        <v>286</v>
      </c>
      <c r="E1343" s="17"/>
      <c r="F1343" s="17"/>
      <c r="G1343" s="17"/>
      <c r="H1343" s="17">
        <f>H1344</f>
        <v>5300</v>
      </c>
    </row>
    <row r="1344" spans="1:8" ht="19.5" customHeight="1">
      <c r="A1344" s="18"/>
      <c r="B1344" s="18"/>
      <c r="C1344" s="22">
        <v>4300</v>
      </c>
      <c r="D1344" s="20" t="s">
        <v>815</v>
      </c>
      <c r="E1344" s="61"/>
      <c r="F1344" s="61"/>
      <c r="G1344" s="6"/>
      <c r="H1344" s="6">
        <v>5300</v>
      </c>
    </row>
    <row r="1345" spans="1:8" ht="19.5" customHeight="1">
      <c r="A1345" s="18"/>
      <c r="B1345" s="18"/>
      <c r="C1345" s="122"/>
      <c r="D1345" s="16" t="s">
        <v>130</v>
      </c>
      <c r="E1345" s="17"/>
      <c r="F1345" s="17"/>
      <c r="G1345" s="17"/>
      <c r="H1345" s="17">
        <f>H1346</f>
        <v>14700</v>
      </c>
    </row>
    <row r="1346" spans="1:8" ht="19.5" customHeight="1">
      <c r="A1346" s="22"/>
      <c r="B1346" s="22"/>
      <c r="C1346" s="22">
        <v>4300</v>
      </c>
      <c r="D1346" s="147" t="s">
        <v>815</v>
      </c>
      <c r="E1346" s="61"/>
      <c r="F1346" s="61"/>
      <c r="G1346" s="6"/>
      <c r="H1346" s="6">
        <v>14700</v>
      </c>
    </row>
    <row r="1347" spans="1:8" ht="19.5" customHeight="1" thickBot="1">
      <c r="A1347" s="394">
        <v>600</v>
      </c>
      <c r="B1347" s="394"/>
      <c r="C1347" s="394"/>
      <c r="D1347" s="394" t="s">
        <v>525</v>
      </c>
      <c r="E1347" s="377"/>
      <c r="F1347" s="377"/>
      <c r="G1347" s="377"/>
      <c r="H1347" s="377">
        <f>H1348+H1352+H1364+H1369</f>
        <v>42442236</v>
      </c>
    </row>
    <row r="1348" spans="1:8" ht="19.5" customHeight="1">
      <c r="A1348" s="156"/>
      <c r="B1348" s="3">
        <v>60004</v>
      </c>
      <c r="C1348" s="3"/>
      <c r="D1348" s="3" t="s">
        <v>647</v>
      </c>
      <c r="E1348" s="4"/>
      <c r="F1348" s="4"/>
      <c r="G1348" s="4"/>
      <c r="H1348" s="4">
        <f>H1349</f>
        <v>10000000</v>
      </c>
    </row>
    <row r="1349" spans="1:8" ht="18.75" customHeight="1">
      <c r="A1349" s="156"/>
      <c r="B1349" s="86"/>
      <c r="C1349" s="128"/>
      <c r="D1349" s="348" t="s">
        <v>841</v>
      </c>
      <c r="E1349" s="17"/>
      <c r="F1349" s="17"/>
      <c r="G1349" s="17"/>
      <c r="H1349" s="17">
        <f>H1351</f>
        <v>10000000</v>
      </c>
    </row>
    <row r="1350" spans="1:8" ht="18.75" customHeight="1">
      <c r="A1350" s="156"/>
      <c r="B1350" s="86"/>
      <c r="C1350" s="18"/>
      <c r="D1350" s="157" t="s">
        <v>132</v>
      </c>
      <c r="E1350" s="10"/>
      <c r="F1350" s="10"/>
      <c r="G1350" s="10"/>
      <c r="H1350" s="10">
        <v>10000000</v>
      </c>
    </row>
    <row r="1351" spans="1:8" ht="18.75" customHeight="1">
      <c r="A1351" s="156"/>
      <c r="B1351" s="107"/>
      <c r="C1351" s="22">
        <v>6050</v>
      </c>
      <c r="D1351" s="20" t="s">
        <v>746</v>
      </c>
      <c r="E1351" s="6"/>
      <c r="F1351" s="6"/>
      <c r="G1351" s="6"/>
      <c r="H1351" s="6">
        <f>H1350</f>
        <v>10000000</v>
      </c>
    </row>
    <row r="1352" spans="1:8" ht="18.75" customHeight="1">
      <c r="A1352" s="156"/>
      <c r="B1352" s="3">
        <v>60015</v>
      </c>
      <c r="C1352" s="45"/>
      <c r="D1352" s="67" t="s">
        <v>1113</v>
      </c>
      <c r="E1352" s="4"/>
      <c r="F1352" s="4"/>
      <c r="G1352" s="4"/>
      <c r="H1352" s="4">
        <f>H1353</f>
        <v>30700000</v>
      </c>
    </row>
    <row r="1353" spans="1:8" ht="19.5" customHeight="1">
      <c r="A1353" s="156"/>
      <c r="B1353" s="86"/>
      <c r="C1353" s="128"/>
      <c r="D1353" s="16" t="s">
        <v>872</v>
      </c>
      <c r="E1353" s="17"/>
      <c r="F1353" s="17"/>
      <c r="G1353" s="17"/>
      <c r="H1353" s="17">
        <f>H1363</f>
        <v>30700000</v>
      </c>
    </row>
    <row r="1354" spans="1:8" ht="25.5">
      <c r="A1354" s="91"/>
      <c r="B1354" s="107"/>
      <c r="C1354" s="22"/>
      <c r="D1354" s="1066" t="s">
        <v>986</v>
      </c>
      <c r="E1354" s="88"/>
      <c r="F1354" s="88"/>
      <c r="G1354" s="88"/>
      <c r="H1354" s="88">
        <v>7000000</v>
      </c>
    </row>
    <row r="1355" spans="1:8" ht="18" customHeight="1">
      <c r="A1355" s="156"/>
      <c r="B1355" s="86"/>
      <c r="C1355" s="18"/>
      <c r="D1355" s="323" t="s">
        <v>688</v>
      </c>
      <c r="E1355" s="231"/>
      <c r="F1355" s="231"/>
      <c r="G1355" s="231"/>
      <c r="H1355" s="231">
        <v>300000</v>
      </c>
    </row>
    <row r="1356" spans="1:8" ht="18.75" customHeight="1">
      <c r="A1356" s="156"/>
      <c r="B1356" s="86"/>
      <c r="C1356" s="18"/>
      <c r="D1356" s="179" t="s">
        <v>251</v>
      </c>
      <c r="E1356" s="11"/>
      <c r="F1356" s="11"/>
      <c r="G1356" s="11"/>
      <c r="H1356" s="11">
        <v>1900000</v>
      </c>
    </row>
    <row r="1357" spans="1:8" ht="18.75" customHeight="1">
      <c r="A1357" s="156"/>
      <c r="B1357" s="86"/>
      <c r="C1357" s="18"/>
      <c r="D1357" s="340" t="s">
        <v>590</v>
      </c>
      <c r="E1357" s="11"/>
      <c r="F1357" s="11"/>
      <c r="G1357" s="11"/>
      <c r="H1357" s="11">
        <v>200000</v>
      </c>
    </row>
    <row r="1358" spans="1:8" ht="26.25" customHeight="1">
      <c r="A1358" s="156"/>
      <c r="B1358" s="86"/>
      <c r="C1358" s="18"/>
      <c r="D1358" s="340" t="s">
        <v>591</v>
      </c>
      <c r="E1358" s="11"/>
      <c r="F1358" s="11"/>
      <c r="G1358" s="11"/>
      <c r="H1358" s="11">
        <v>3000000</v>
      </c>
    </row>
    <row r="1359" spans="1:8" ht="18.75" customHeight="1">
      <c r="A1359" s="156"/>
      <c r="B1359" s="86"/>
      <c r="C1359" s="18"/>
      <c r="D1359" s="340" t="s">
        <v>595</v>
      </c>
      <c r="E1359" s="11"/>
      <c r="F1359" s="11"/>
      <c r="G1359" s="11"/>
      <c r="H1359" s="11">
        <v>1400000</v>
      </c>
    </row>
    <row r="1360" spans="1:8" ht="18.75" customHeight="1">
      <c r="A1360" s="156"/>
      <c r="B1360" s="86"/>
      <c r="C1360" s="18"/>
      <c r="D1360" s="332" t="s">
        <v>1026</v>
      </c>
      <c r="E1360" s="11"/>
      <c r="F1360" s="11"/>
      <c r="G1360" s="11"/>
      <c r="H1360" s="11">
        <v>500000</v>
      </c>
    </row>
    <row r="1361" spans="1:8" ht="18.75" customHeight="1">
      <c r="A1361" s="156"/>
      <c r="B1361" s="86"/>
      <c r="C1361" s="18"/>
      <c r="D1361" s="340" t="s">
        <v>1027</v>
      </c>
      <c r="E1361" s="11"/>
      <c r="F1361" s="11"/>
      <c r="G1361" s="11"/>
      <c r="H1361" s="11">
        <v>7400000</v>
      </c>
    </row>
    <row r="1362" spans="1:8" ht="38.25">
      <c r="A1362" s="156"/>
      <c r="B1362" s="86"/>
      <c r="C1362" s="18"/>
      <c r="D1362" s="332" t="s">
        <v>987</v>
      </c>
      <c r="E1362" s="11"/>
      <c r="F1362" s="11"/>
      <c r="G1362" s="11"/>
      <c r="H1362" s="11">
        <v>9000000</v>
      </c>
    </row>
    <row r="1363" spans="1:8" ht="19.5" customHeight="1">
      <c r="A1363" s="156"/>
      <c r="B1363" s="107"/>
      <c r="C1363" s="22">
        <v>6050</v>
      </c>
      <c r="D1363" s="20" t="s">
        <v>746</v>
      </c>
      <c r="E1363" s="6"/>
      <c r="F1363" s="6"/>
      <c r="G1363" s="6"/>
      <c r="H1363" s="6">
        <f>SUM(H1354:H1362)</f>
        <v>30700000</v>
      </c>
    </row>
    <row r="1364" spans="1:8" ht="18.75" customHeight="1">
      <c r="A1364" s="86"/>
      <c r="B1364" s="3">
        <v>60016</v>
      </c>
      <c r="C1364" s="3"/>
      <c r="D1364" s="3" t="s">
        <v>1114</v>
      </c>
      <c r="E1364" s="4"/>
      <c r="F1364" s="4"/>
      <c r="G1364" s="70"/>
      <c r="H1364" s="70">
        <f>H1365</f>
        <v>600000</v>
      </c>
    </row>
    <row r="1365" spans="1:8" ht="18.75" customHeight="1">
      <c r="A1365" s="86"/>
      <c r="B1365" s="86"/>
      <c r="C1365" s="86"/>
      <c r="D1365" s="87" t="s">
        <v>509</v>
      </c>
      <c r="E1365" s="17"/>
      <c r="F1365" s="17"/>
      <c r="G1365" s="17"/>
      <c r="H1365" s="17">
        <f>H1368</f>
        <v>600000</v>
      </c>
    </row>
    <row r="1366" spans="1:8" ht="18.75" customHeight="1">
      <c r="A1366" s="156"/>
      <c r="B1366" s="86"/>
      <c r="C1366" s="18"/>
      <c r="D1366" s="332" t="s">
        <v>192</v>
      </c>
      <c r="E1366" s="10"/>
      <c r="F1366" s="10"/>
      <c r="G1366" s="10"/>
      <c r="H1366" s="10">
        <v>500000</v>
      </c>
    </row>
    <row r="1367" spans="1:8" ht="18.75" customHeight="1">
      <c r="A1367" s="156"/>
      <c r="B1367" s="86"/>
      <c r="C1367" s="18"/>
      <c r="D1367" s="340" t="s">
        <v>1057</v>
      </c>
      <c r="E1367" s="11"/>
      <c r="F1367" s="11"/>
      <c r="G1367" s="11"/>
      <c r="H1367" s="11">
        <v>100000</v>
      </c>
    </row>
    <row r="1368" spans="1:8" ht="18.75" customHeight="1">
      <c r="A1368" s="156"/>
      <c r="B1368" s="107"/>
      <c r="C1368" s="22">
        <v>6050</v>
      </c>
      <c r="D1368" s="20" t="s">
        <v>746</v>
      </c>
      <c r="E1368" s="228"/>
      <c r="F1368" s="228"/>
      <c r="G1368" s="228"/>
      <c r="H1368" s="228">
        <f>SUM(H1366:H1367)</f>
        <v>600000</v>
      </c>
    </row>
    <row r="1369" spans="1:8" ht="18.75" customHeight="1">
      <c r="A1369" s="86"/>
      <c r="B1369" s="3">
        <v>60095</v>
      </c>
      <c r="C1369" s="3"/>
      <c r="D1369" s="3" t="s">
        <v>100</v>
      </c>
      <c r="E1369" s="4"/>
      <c r="F1369" s="4"/>
      <c r="G1369" s="70"/>
      <c r="H1369" s="70">
        <f>H1370</f>
        <v>1142236</v>
      </c>
    </row>
    <row r="1370" spans="1:8" ht="18.75" customHeight="1">
      <c r="A1370" s="86"/>
      <c r="B1370" s="86"/>
      <c r="C1370" s="254"/>
      <c r="D1370" s="186" t="s">
        <v>107</v>
      </c>
      <c r="E1370" s="17"/>
      <c r="F1370" s="17"/>
      <c r="G1370" s="17"/>
      <c r="H1370" s="17">
        <f>H1371</f>
        <v>1142236</v>
      </c>
    </row>
    <row r="1371" spans="1:8" s="1" customFormat="1" ht="18.75" customHeight="1">
      <c r="A1371" s="91"/>
      <c r="B1371" s="107"/>
      <c r="C1371" s="22">
        <v>6060</v>
      </c>
      <c r="D1371" s="20" t="s">
        <v>685</v>
      </c>
      <c r="E1371" s="88"/>
      <c r="F1371" s="88"/>
      <c r="G1371" s="88"/>
      <c r="H1371" s="88">
        <f>2142236-1000000</f>
        <v>1142236</v>
      </c>
    </row>
    <row r="1372" spans="1:8" s="1" customFormat="1" ht="18.75" customHeight="1" thickBot="1">
      <c r="A1372" s="394">
        <v>700</v>
      </c>
      <c r="B1372" s="394"/>
      <c r="C1372" s="414"/>
      <c r="D1372" s="395" t="s">
        <v>433</v>
      </c>
      <c r="E1372" s="377"/>
      <c r="F1372" s="377"/>
      <c r="G1372" s="377"/>
      <c r="H1372" s="377">
        <f>H1373</f>
        <v>55000</v>
      </c>
    </row>
    <row r="1373" spans="1:8" ht="18.75" customHeight="1">
      <c r="A1373" s="1047"/>
      <c r="B1373" s="1031">
        <v>70005</v>
      </c>
      <c r="C1373" s="1031"/>
      <c r="D1373" s="1031" t="s">
        <v>435</v>
      </c>
      <c r="E1373" s="1048"/>
      <c r="F1373" s="1048"/>
      <c r="G1373" s="1033"/>
      <c r="H1373" s="1033">
        <f>H1374</f>
        <v>55000</v>
      </c>
    </row>
    <row r="1374" spans="1:8" ht="25.5">
      <c r="A1374" s="257"/>
      <c r="B1374" s="122"/>
      <c r="C1374" s="122"/>
      <c r="D1374" s="16" t="s">
        <v>284</v>
      </c>
      <c r="E1374" s="17"/>
      <c r="F1374" s="17"/>
      <c r="G1374" s="243"/>
      <c r="H1374" s="243">
        <f>SUM(H1375:H1376)</f>
        <v>55000</v>
      </c>
    </row>
    <row r="1375" spans="1:8" ht="18.75" customHeight="1">
      <c r="A1375" s="156"/>
      <c r="B1375" s="86"/>
      <c r="C1375" s="22">
        <v>4300</v>
      </c>
      <c r="D1375" s="20" t="s">
        <v>815</v>
      </c>
      <c r="E1375" s="6"/>
      <c r="F1375" s="6"/>
      <c r="G1375" s="88"/>
      <c r="H1375" s="88">
        <v>50000</v>
      </c>
    </row>
    <row r="1376" spans="1:8" ht="18.75" customHeight="1">
      <c r="A1376" s="156"/>
      <c r="B1376" s="86"/>
      <c r="C1376" s="18">
        <v>4610</v>
      </c>
      <c r="D1376" s="221" t="s">
        <v>1004</v>
      </c>
      <c r="E1376" s="6"/>
      <c r="F1376" s="65"/>
      <c r="G1376" s="276"/>
      <c r="H1376" s="276">
        <v>5000</v>
      </c>
    </row>
    <row r="1377" spans="1:8" s="149" customFormat="1" ht="18.75" customHeight="1" thickBot="1">
      <c r="A1377" s="394">
        <v>710</v>
      </c>
      <c r="B1377" s="394"/>
      <c r="C1377" s="394"/>
      <c r="D1377" s="394" t="s">
        <v>436</v>
      </c>
      <c r="E1377" s="377"/>
      <c r="F1377" s="377"/>
      <c r="G1377" s="377"/>
      <c r="H1377" s="377">
        <f>H1378</f>
        <v>850000</v>
      </c>
    </row>
    <row r="1378" spans="1:8" s="149" customFormat="1" ht="18.75" customHeight="1">
      <c r="A1378" s="30"/>
      <c r="B1378" s="3">
        <v>71014</v>
      </c>
      <c r="C1378" s="3"/>
      <c r="D1378" s="3" t="s">
        <v>438</v>
      </c>
      <c r="E1378" s="4"/>
      <c r="F1378" s="4"/>
      <c r="G1378" s="4"/>
      <c r="H1378" s="4">
        <f>H1379</f>
        <v>850000</v>
      </c>
    </row>
    <row r="1379" spans="1:8" s="149" customFormat="1" ht="18" customHeight="1">
      <c r="A1379" s="30"/>
      <c r="B1379" s="122"/>
      <c r="C1379" s="122"/>
      <c r="D1379" s="16" t="s">
        <v>540</v>
      </c>
      <c r="E1379" s="17"/>
      <c r="F1379" s="17"/>
      <c r="G1379" s="17"/>
      <c r="H1379" s="17">
        <f>SUM(H1380:H1381)</f>
        <v>850000</v>
      </c>
    </row>
    <row r="1380" spans="1:8" s="149" customFormat="1" ht="18" customHeight="1">
      <c r="A1380" s="30"/>
      <c r="B1380" s="86"/>
      <c r="C1380" s="22">
        <v>4300</v>
      </c>
      <c r="D1380" s="245" t="s">
        <v>815</v>
      </c>
      <c r="E1380" s="61"/>
      <c r="F1380" s="61"/>
      <c r="G1380" s="6"/>
      <c r="H1380" s="6">
        <v>840000</v>
      </c>
    </row>
    <row r="1381" spans="1:8" s="149" customFormat="1" ht="18" customHeight="1">
      <c r="A1381" s="108"/>
      <c r="B1381" s="107"/>
      <c r="C1381" s="22">
        <v>4430</v>
      </c>
      <c r="D1381" s="245" t="s">
        <v>750</v>
      </c>
      <c r="E1381" s="61"/>
      <c r="F1381" s="61"/>
      <c r="G1381" s="6"/>
      <c r="H1381" s="6">
        <v>10000</v>
      </c>
    </row>
    <row r="1382" ht="18" customHeight="1"/>
    <row r="1383" spans="1:8" s="149" customFormat="1" ht="18" customHeight="1" thickBot="1">
      <c r="A1383" s="375">
        <v>900</v>
      </c>
      <c r="B1383" s="375"/>
      <c r="C1383" s="375"/>
      <c r="D1383" s="375" t="s">
        <v>1109</v>
      </c>
      <c r="E1383" s="378"/>
      <c r="F1383" s="378"/>
      <c r="G1383" s="378"/>
      <c r="H1383" s="378">
        <f>H1384+H1390</f>
        <v>7290500</v>
      </c>
    </row>
    <row r="1384" spans="1:8" s="149" customFormat="1" ht="18" customHeight="1">
      <c r="A1384" s="2"/>
      <c r="B1384" s="13">
        <v>90001</v>
      </c>
      <c r="C1384" s="123"/>
      <c r="D1384" s="14" t="s">
        <v>1110</v>
      </c>
      <c r="E1384" s="6"/>
      <c r="F1384" s="6"/>
      <c r="G1384" s="4"/>
      <c r="H1384" s="4">
        <f>H1385</f>
        <v>1500000</v>
      </c>
    </row>
    <row r="1385" spans="1:8" s="149" customFormat="1" ht="15" customHeight="1">
      <c r="A1385" s="86"/>
      <c r="B1385" s="86"/>
      <c r="C1385" s="18"/>
      <c r="D1385" s="316" t="s">
        <v>451</v>
      </c>
      <c r="E1385" s="279"/>
      <c r="F1385" s="279"/>
      <c r="G1385" s="280"/>
      <c r="H1385" s="280">
        <f>H1389</f>
        <v>1500000</v>
      </c>
    </row>
    <row r="1386" spans="1:8" s="149" customFormat="1" ht="15" customHeight="1">
      <c r="A1386" s="86"/>
      <c r="B1386" s="86"/>
      <c r="C1386" s="18"/>
      <c r="D1386" s="177" t="s">
        <v>230</v>
      </c>
      <c r="E1386" s="10"/>
      <c r="F1386" s="10"/>
      <c r="G1386" s="10"/>
      <c r="H1386" s="10">
        <v>1000000</v>
      </c>
    </row>
    <row r="1387" spans="1:8" s="149" customFormat="1" ht="25.5">
      <c r="A1387" s="86"/>
      <c r="B1387" s="86"/>
      <c r="C1387" s="18"/>
      <c r="D1387" s="415" t="s">
        <v>988</v>
      </c>
      <c r="E1387" s="230"/>
      <c r="F1387" s="230"/>
      <c r="G1387" s="230"/>
      <c r="H1387" s="230">
        <v>300000</v>
      </c>
    </row>
    <row r="1388" spans="1:8" s="149" customFormat="1" ht="25.5">
      <c r="A1388" s="86"/>
      <c r="B1388" s="86"/>
      <c r="C1388" s="18"/>
      <c r="D1388" s="177" t="s">
        <v>924</v>
      </c>
      <c r="E1388" s="11"/>
      <c r="F1388" s="11"/>
      <c r="G1388" s="11"/>
      <c r="H1388" s="11">
        <v>200000</v>
      </c>
    </row>
    <row r="1389" spans="1:8" s="149" customFormat="1" ht="18" customHeight="1">
      <c r="A1389" s="2"/>
      <c r="B1389" s="3"/>
      <c r="C1389" s="22">
        <v>6050</v>
      </c>
      <c r="D1389" s="227" t="s">
        <v>746</v>
      </c>
      <c r="E1389" s="6"/>
      <c r="F1389" s="6"/>
      <c r="G1389" s="6"/>
      <c r="H1389" s="6">
        <f>SUM(H1386:H1388)</f>
        <v>1500000</v>
      </c>
    </row>
    <row r="1390" spans="1:8" s="149" customFormat="1" ht="18" customHeight="1">
      <c r="A1390" s="2"/>
      <c r="B1390" s="3">
        <v>90095</v>
      </c>
      <c r="C1390" s="3"/>
      <c r="D1390" s="3" t="s">
        <v>100</v>
      </c>
      <c r="E1390" s="283"/>
      <c r="F1390" s="283"/>
      <c r="G1390" s="283"/>
      <c r="H1390" s="283">
        <f>H1391</f>
        <v>5790500</v>
      </c>
    </row>
    <row r="1391" spans="1:8" s="149" customFormat="1" ht="18" customHeight="1">
      <c r="A1391" s="30"/>
      <c r="B1391" s="122"/>
      <c r="C1391" s="277"/>
      <c r="D1391" s="16" t="s">
        <v>451</v>
      </c>
      <c r="E1391" s="17"/>
      <c r="F1391" s="17"/>
      <c r="G1391" s="17"/>
      <c r="H1391" s="17">
        <f>H1393</f>
        <v>5790500</v>
      </c>
    </row>
    <row r="1392" spans="1:8" s="149" customFormat="1" ht="18" customHeight="1">
      <c r="A1392" s="30"/>
      <c r="B1392" s="86"/>
      <c r="C1392" s="86"/>
      <c r="D1392" s="253" t="s">
        <v>285</v>
      </c>
      <c r="E1392" s="10"/>
      <c r="F1392" s="10"/>
      <c r="G1392" s="10"/>
      <c r="H1392" s="10">
        <f>5000000+790500</f>
        <v>5790500</v>
      </c>
    </row>
    <row r="1393" spans="1:8" s="149" customFormat="1" ht="18" customHeight="1">
      <c r="A1393" s="2"/>
      <c r="B1393" s="18"/>
      <c r="C1393" s="22">
        <v>6050</v>
      </c>
      <c r="D1393" s="22" t="s">
        <v>746</v>
      </c>
      <c r="E1393" s="278"/>
      <c r="F1393" s="278"/>
      <c r="G1393" s="278"/>
      <c r="H1393" s="278">
        <f>H1392</f>
        <v>5790500</v>
      </c>
    </row>
    <row r="1394" spans="1:8" s="149" customFormat="1" ht="29.25" customHeight="1" thickBot="1">
      <c r="A1394" s="3"/>
      <c r="B1394" s="22"/>
      <c r="C1394" s="22"/>
      <c r="D1394" s="64" t="s">
        <v>1021</v>
      </c>
      <c r="E1394" s="285"/>
      <c r="F1394" s="285"/>
      <c r="G1394" s="286"/>
      <c r="H1394" s="286">
        <f>H1395+H1400</f>
        <v>205000</v>
      </c>
    </row>
    <row r="1395" spans="1:8" s="149" customFormat="1" ht="15.75" customHeight="1" thickBot="1" thickTop="1">
      <c r="A1395" s="417" t="s">
        <v>287</v>
      </c>
      <c r="B1395" s="375"/>
      <c r="C1395" s="375"/>
      <c r="D1395" s="375" t="s">
        <v>433</v>
      </c>
      <c r="E1395" s="378"/>
      <c r="F1395" s="378"/>
      <c r="G1395" s="378"/>
      <c r="H1395" s="378">
        <f>H1396</f>
        <v>105000</v>
      </c>
    </row>
    <row r="1396" spans="1:8" s="149" customFormat="1" ht="18" customHeight="1">
      <c r="A1396" s="86"/>
      <c r="B1396" s="3">
        <v>70005</v>
      </c>
      <c r="C1396" s="3"/>
      <c r="D1396" s="3" t="s">
        <v>435</v>
      </c>
      <c r="E1396" s="4"/>
      <c r="F1396" s="4"/>
      <c r="G1396" s="4"/>
      <c r="H1396" s="4">
        <f>H1397</f>
        <v>105000</v>
      </c>
    </row>
    <row r="1397" spans="1:8" s="149" customFormat="1" ht="18" customHeight="1">
      <c r="A1397" s="86"/>
      <c r="B1397" s="86"/>
      <c r="C1397" s="86"/>
      <c r="D1397" s="87" t="s">
        <v>288</v>
      </c>
      <c r="E1397" s="17"/>
      <c r="F1397" s="17"/>
      <c r="G1397" s="17"/>
      <c r="H1397" s="17">
        <f>SUM(H1398:H1399)</f>
        <v>105000</v>
      </c>
    </row>
    <row r="1398" spans="1:8" s="149" customFormat="1" ht="18" customHeight="1">
      <c r="A1398" s="86"/>
      <c r="B1398" s="86"/>
      <c r="C1398" s="22">
        <v>4300</v>
      </c>
      <c r="D1398" s="22" t="s">
        <v>815</v>
      </c>
      <c r="E1398" s="6"/>
      <c r="F1398" s="6"/>
      <c r="G1398" s="6"/>
      <c r="H1398" s="6">
        <v>90000</v>
      </c>
    </row>
    <row r="1399" spans="1:8" s="149" customFormat="1" ht="18" customHeight="1">
      <c r="A1399" s="107"/>
      <c r="B1399" s="107"/>
      <c r="C1399" s="22">
        <v>4610</v>
      </c>
      <c r="D1399" s="22" t="s">
        <v>1004</v>
      </c>
      <c r="E1399" s="65"/>
      <c r="F1399" s="6"/>
      <c r="G1399" s="6"/>
      <c r="H1399" s="6">
        <v>15000</v>
      </c>
    </row>
    <row r="1400" spans="1:8" s="149" customFormat="1" ht="18.75" customHeight="1" thickBot="1">
      <c r="A1400" s="394">
        <v>710</v>
      </c>
      <c r="B1400" s="394"/>
      <c r="C1400" s="394"/>
      <c r="D1400" s="394" t="s">
        <v>436</v>
      </c>
      <c r="E1400" s="377"/>
      <c r="F1400" s="377"/>
      <c r="G1400" s="377"/>
      <c r="H1400" s="377">
        <f>H1401</f>
        <v>100000</v>
      </c>
    </row>
    <row r="1401" spans="1:8" s="149" customFormat="1" ht="18" customHeight="1">
      <c r="A1401" s="86"/>
      <c r="B1401" s="3">
        <v>71013</v>
      </c>
      <c r="C1401" s="3"/>
      <c r="D1401" s="3" t="s">
        <v>490</v>
      </c>
      <c r="E1401" s="4"/>
      <c r="F1401" s="4"/>
      <c r="G1401" s="4"/>
      <c r="H1401" s="4">
        <f>H1402</f>
        <v>100000</v>
      </c>
    </row>
    <row r="1402" spans="1:8" s="149" customFormat="1" ht="18" customHeight="1">
      <c r="A1402" s="86"/>
      <c r="B1402" s="122"/>
      <c r="C1402" s="122"/>
      <c r="D1402" s="16" t="s">
        <v>998</v>
      </c>
      <c r="E1402" s="17"/>
      <c r="F1402" s="17"/>
      <c r="G1402" s="17"/>
      <c r="H1402" s="17">
        <f>H1403</f>
        <v>100000</v>
      </c>
    </row>
    <row r="1403" spans="1:8" s="149" customFormat="1" ht="18" customHeight="1">
      <c r="A1403" s="86"/>
      <c r="B1403" s="86"/>
      <c r="C1403" s="22">
        <v>4300</v>
      </c>
      <c r="D1403" s="22" t="s">
        <v>815</v>
      </c>
      <c r="E1403" s="61"/>
      <c r="F1403" s="61"/>
      <c r="G1403" s="6"/>
      <c r="H1403" s="6">
        <v>100000</v>
      </c>
    </row>
    <row r="1404" spans="1:8" ht="18" customHeight="1">
      <c r="A1404" s="156"/>
      <c r="B1404" s="156"/>
      <c r="C1404" s="257"/>
      <c r="D1404" s="1034" t="s">
        <v>863</v>
      </c>
      <c r="E1404" s="1035"/>
      <c r="F1404" s="1035">
        <f>F1405</f>
        <v>35274876</v>
      </c>
      <c r="G1404" s="1035"/>
      <c r="H1404" s="1035">
        <f>H1437+H1485</f>
        <v>36606004</v>
      </c>
    </row>
    <row r="1405" spans="1:8" s="1" customFormat="1" ht="16.5" customHeight="1" thickBot="1">
      <c r="A1405" s="91"/>
      <c r="B1405" s="91"/>
      <c r="C1405" s="91"/>
      <c r="D1405" s="84" t="s">
        <v>461</v>
      </c>
      <c r="E1405" s="24"/>
      <c r="F1405" s="24">
        <f>F1406+F1433</f>
        <v>35274876</v>
      </c>
      <c r="G1405" s="24"/>
      <c r="H1405" s="24"/>
    </row>
    <row r="1406" spans="1:8" s="1" customFormat="1" ht="17.25" customHeight="1" thickTop="1">
      <c r="A1406" s="5">
        <v>700</v>
      </c>
      <c r="B1406" s="5"/>
      <c r="C1406" s="5"/>
      <c r="D1406" s="5" t="s">
        <v>433</v>
      </c>
      <c r="E1406" s="1086"/>
      <c r="F1406" s="1086">
        <f>F1410+F1407</f>
        <v>34474876</v>
      </c>
      <c r="G1406" s="1086"/>
      <c r="H1406" s="1086"/>
    </row>
    <row r="1407" spans="1:8" s="184" customFormat="1" ht="16.5" customHeight="1">
      <c r="A1407" s="1088"/>
      <c r="B1407" s="182">
        <v>70001</v>
      </c>
      <c r="C1407" s="182"/>
      <c r="D1407" s="182" t="s">
        <v>434</v>
      </c>
      <c r="E1407" s="183"/>
      <c r="F1407" s="183">
        <f>F1408</f>
        <v>2100</v>
      </c>
      <c r="G1407" s="183"/>
      <c r="H1407" s="183"/>
    </row>
    <row r="1408" spans="1:8" s="174" customFormat="1" ht="25.5">
      <c r="A1408" s="170"/>
      <c r="B1408" s="170"/>
      <c r="C1408" s="211"/>
      <c r="D1408" s="205" t="s">
        <v>168</v>
      </c>
      <c r="E1408" s="169"/>
      <c r="F1408" s="169">
        <f>F1409</f>
        <v>2100</v>
      </c>
      <c r="G1408" s="169"/>
      <c r="H1408" s="169"/>
    </row>
    <row r="1409" spans="1:8" s="174" customFormat="1" ht="16.5" customHeight="1">
      <c r="A1409" s="170"/>
      <c r="B1409" s="188"/>
      <c r="C1409" s="188" t="s">
        <v>1080</v>
      </c>
      <c r="D1409" s="189" t="s">
        <v>282</v>
      </c>
      <c r="E1409" s="176"/>
      <c r="F1409" s="176">
        <v>2100</v>
      </c>
      <c r="G1409" s="176"/>
      <c r="H1409" s="176"/>
    </row>
    <row r="1410" spans="1:8" s="150" customFormat="1" ht="17.25" customHeight="1">
      <c r="A1410" s="2"/>
      <c r="B1410" s="3">
        <v>70005</v>
      </c>
      <c r="C1410" s="3"/>
      <c r="D1410" s="3" t="s">
        <v>435</v>
      </c>
      <c r="E1410" s="4"/>
      <c r="F1410" s="4">
        <f>F1411+F1413+F1415+F1417+F1420+F1422+F1424+F1426+F1428+F1431</f>
        <v>34472776</v>
      </c>
      <c r="G1410" s="4"/>
      <c r="H1410" s="4"/>
    </row>
    <row r="1411" spans="1:8" s="1" customFormat="1" ht="17.25" customHeight="1">
      <c r="A1411" s="86"/>
      <c r="B1411" s="86"/>
      <c r="C1411" s="86"/>
      <c r="D1411" s="93" t="s">
        <v>1106</v>
      </c>
      <c r="E1411" s="152"/>
      <c r="F1411" s="152">
        <f>F1412</f>
        <v>6000000</v>
      </c>
      <c r="G1411" s="152"/>
      <c r="H1411" s="152"/>
    </row>
    <row r="1412" spans="1:8" s="8" customFormat="1" ht="18.75" customHeight="1">
      <c r="A1412" s="22"/>
      <c r="B1412" s="22"/>
      <c r="C1412" s="19" t="s">
        <v>631</v>
      </c>
      <c r="D1412" s="20" t="s">
        <v>1107</v>
      </c>
      <c r="E1412" s="88"/>
      <c r="F1412" s="88">
        <v>6000000</v>
      </c>
      <c r="G1412" s="88"/>
      <c r="H1412" s="88"/>
    </row>
    <row r="1413" spans="1:8" s="1" customFormat="1" ht="20.25" customHeight="1">
      <c r="A1413" s="86"/>
      <c r="B1413" s="86"/>
      <c r="C1413" s="86"/>
      <c r="D1413" s="93" t="s">
        <v>739</v>
      </c>
      <c r="E1413" s="66"/>
      <c r="F1413" s="66">
        <f>F1414</f>
        <v>3500000</v>
      </c>
      <c r="G1413" s="66"/>
      <c r="H1413" s="66"/>
    </row>
    <row r="1414" spans="1:8" s="8" customFormat="1" ht="38.25">
      <c r="A1414" s="18"/>
      <c r="B1414" s="18"/>
      <c r="C1414" s="19" t="s">
        <v>632</v>
      </c>
      <c r="D1414" s="20" t="s">
        <v>999</v>
      </c>
      <c r="E1414" s="88"/>
      <c r="F1414" s="88">
        <v>3500000</v>
      </c>
      <c r="G1414" s="88"/>
      <c r="H1414" s="88"/>
    </row>
    <row r="1415" spans="1:8" s="1" customFormat="1" ht="19.5" customHeight="1">
      <c r="A1415" s="86"/>
      <c r="B1415" s="86"/>
      <c r="C1415" s="86"/>
      <c r="D1415" s="93" t="s">
        <v>774</v>
      </c>
      <c r="E1415" s="66"/>
      <c r="F1415" s="66">
        <f>F1416</f>
        <v>2797000</v>
      </c>
      <c r="G1415" s="66"/>
      <c r="H1415" s="66"/>
    </row>
    <row r="1416" spans="1:8" s="8" customFormat="1" ht="40.5" customHeight="1">
      <c r="A1416" s="18"/>
      <c r="B1416" s="18"/>
      <c r="C1416" s="19" t="s">
        <v>632</v>
      </c>
      <c r="D1416" s="20" t="s">
        <v>999</v>
      </c>
      <c r="E1416" s="88"/>
      <c r="F1416" s="88">
        <v>2797000</v>
      </c>
      <c r="G1416" s="88"/>
      <c r="H1416" s="88"/>
    </row>
    <row r="1417" spans="1:8" s="1" customFormat="1" ht="25.5">
      <c r="A1417" s="86"/>
      <c r="B1417" s="86"/>
      <c r="C1417" s="86"/>
      <c r="D1417" s="93" t="s">
        <v>185</v>
      </c>
      <c r="E1417" s="152"/>
      <c r="F1417" s="152">
        <f>SUM(F1418:F1419)</f>
        <v>350000</v>
      </c>
      <c r="G1417" s="152"/>
      <c r="H1417" s="152"/>
    </row>
    <row r="1418" spans="1:8" s="8" customFormat="1" ht="25.5" customHeight="1">
      <c r="A1418" s="18"/>
      <c r="B1418" s="18"/>
      <c r="C1418" s="68" t="s">
        <v>562</v>
      </c>
      <c r="D1418" s="69" t="s">
        <v>563</v>
      </c>
      <c r="E1418" s="88"/>
      <c r="F1418" s="88">
        <v>150000</v>
      </c>
      <c r="G1418" s="88"/>
      <c r="H1418" s="88"/>
    </row>
    <row r="1419" spans="1:8" s="8" customFormat="1" ht="25.5" customHeight="1">
      <c r="A1419" s="18"/>
      <c r="B1419" s="18"/>
      <c r="C1419" s="19" t="s">
        <v>633</v>
      </c>
      <c r="D1419" s="20" t="s">
        <v>407</v>
      </c>
      <c r="E1419" s="6"/>
      <c r="F1419" s="6">
        <v>200000</v>
      </c>
      <c r="G1419" s="6"/>
      <c r="H1419" s="6"/>
    </row>
    <row r="1420" spans="1:8" s="1" customFormat="1" ht="25.5" customHeight="1">
      <c r="A1420" s="86"/>
      <c r="B1420" s="86"/>
      <c r="C1420" s="86"/>
      <c r="D1420" s="93" t="s">
        <v>620</v>
      </c>
      <c r="E1420" s="66"/>
      <c r="F1420" s="66">
        <f>F1421</f>
        <v>400000</v>
      </c>
      <c r="G1420" s="66"/>
      <c r="H1420" s="66"/>
    </row>
    <row r="1421" spans="1:8" s="8" customFormat="1" ht="25.5" customHeight="1">
      <c r="A1421" s="18"/>
      <c r="B1421" s="18"/>
      <c r="C1421" s="19" t="s">
        <v>633</v>
      </c>
      <c r="D1421" s="20" t="s">
        <v>407</v>
      </c>
      <c r="E1421" s="88"/>
      <c r="F1421" s="88">
        <v>400000</v>
      </c>
      <c r="G1421" s="88"/>
      <c r="H1421" s="88"/>
    </row>
    <row r="1422" spans="1:8" s="1" customFormat="1" ht="19.5" customHeight="1">
      <c r="A1422" s="86"/>
      <c r="B1422" s="86"/>
      <c r="C1422" s="86"/>
      <c r="D1422" s="93" t="s">
        <v>775</v>
      </c>
      <c r="E1422" s="152"/>
      <c r="F1422" s="152">
        <f>F1423</f>
        <v>5000000</v>
      </c>
      <c r="G1422" s="152"/>
      <c r="H1422" s="152"/>
    </row>
    <row r="1423" spans="1:8" s="8" customFormat="1" ht="24" customHeight="1">
      <c r="A1423" s="18"/>
      <c r="B1423" s="18"/>
      <c r="C1423" s="19" t="s">
        <v>633</v>
      </c>
      <c r="D1423" s="20" t="s">
        <v>407</v>
      </c>
      <c r="E1423" s="88"/>
      <c r="F1423" s="88">
        <v>5000000</v>
      </c>
      <c r="G1423" s="88"/>
      <c r="H1423" s="88"/>
    </row>
    <row r="1424" spans="1:8" s="1" customFormat="1" ht="19.5" customHeight="1">
      <c r="A1424" s="86"/>
      <c r="B1424" s="86"/>
      <c r="C1424" s="86"/>
      <c r="D1424" s="93" t="s">
        <v>347</v>
      </c>
      <c r="E1424" s="152"/>
      <c r="F1424" s="152">
        <f>F1425</f>
        <v>4500000</v>
      </c>
      <c r="G1424" s="152"/>
      <c r="H1424" s="152"/>
    </row>
    <row r="1425" spans="1:8" s="8" customFormat="1" ht="26.25" customHeight="1">
      <c r="A1425" s="18"/>
      <c r="B1425" s="18"/>
      <c r="C1425" s="19" t="s">
        <v>633</v>
      </c>
      <c r="D1425" s="20" t="s">
        <v>407</v>
      </c>
      <c r="E1425" s="88"/>
      <c r="F1425" s="88">
        <v>4500000</v>
      </c>
      <c r="G1425" s="88"/>
      <c r="H1425" s="88"/>
    </row>
    <row r="1426" spans="1:8" s="1" customFormat="1" ht="19.5" customHeight="1">
      <c r="A1426" s="86"/>
      <c r="B1426" s="86"/>
      <c r="C1426" s="86"/>
      <c r="D1426" s="93" t="s">
        <v>634</v>
      </c>
      <c r="E1426" s="152"/>
      <c r="F1426" s="152">
        <f>F1427</f>
        <v>10600000</v>
      </c>
      <c r="G1426" s="152"/>
      <c r="H1426" s="152"/>
    </row>
    <row r="1427" spans="1:8" s="8" customFormat="1" ht="26.25" customHeight="1">
      <c r="A1427" s="18"/>
      <c r="B1427" s="18"/>
      <c r="C1427" s="19" t="s">
        <v>633</v>
      </c>
      <c r="D1427" s="20" t="s">
        <v>407</v>
      </c>
      <c r="E1427" s="88"/>
      <c r="F1427" s="88">
        <v>10600000</v>
      </c>
      <c r="G1427" s="88"/>
      <c r="H1427" s="88"/>
    </row>
    <row r="1428" spans="1:8" s="1" customFormat="1" ht="19.5" customHeight="1">
      <c r="A1428" s="86"/>
      <c r="B1428" s="86"/>
      <c r="C1428" s="86"/>
      <c r="D1428" s="93" t="s">
        <v>690</v>
      </c>
      <c r="E1428" s="66"/>
      <c r="F1428" s="66">
        <f>SUM(F1429:F1430)</f>
        <v>200000</v>
      </c>
      <c r="G1428" s="66"/>
      <c r="H1428" s="66"/>
    </row>
    <row r="1429" spans="1:8" s="174" customFormat="1" ht="19.5" customHeight="1">
      <c r="A1429" s="170"/>
      <c r="B1429" s="170"/>
      <c r="C1429" s="76" t="s">
        <v>1066</v>
      </c>
      <c r="D1429" s="77" t="s">
        <v>235</v>
      </c>
      <c r="E1429" s="173"/>
      <c r="F1429" s="173">
        <v>150000</v>
      </c>
      <c r="G1429" s="173"/>
      <c r="H1429" s="173"/>
    </row>
    <row r="1430" spans="1:8" s="174" customFormat="1" ht="19.5" customHeight="1">
      <c r="A1430" s="170"/>
      <c r="B1430" s="170"/>
      <c r="C1430" s="76" t="s">
        <v>1080</v>
      </c>
      <c r="D1430" s="77" t="s">
        <v>282</v>
      </c>
      <c r="E1430" s="176"/>
      <c r="F1430" s="176">
        <v>50000</v>
      </c>
      <c r="G1430" s="176"/>
      <c r="H1430" s="176"/>
    </row>
    <row r="1431" spans="1:8" ht="19.5" customHeight="1">
      <c r="A1431" s="938"/>
      <c r="B1431" s="938"/>
      <c r="C1431" s="938"/>
      <c r="D1431" s="904" t="s">
        <v>788</v>
      </c>
      <c r="E1431" s="939"/>
      <c r="F1431" s="939">
        <f>F1432</f>
        <v>1125776</v>
      </c>
      <c r="G1431" s="939"/>
      <c r="H1431" s="939"/>
    </row>
    <row r="1432" spans="1:8" ht="19.5" customHeight="1">
      <c r="A1432" s="910"/>
      <c r="B1432" s="910"/>
      <c r="C1432" s="940" t="s">
        <v>1064</v>
      </c>
      <c r="D1432" s="941" t="s">
        <v>882</v>
      </c>
      <c r="E1432" s="942"/>
      <c r="F1432" s="942">
        <v>1125776</v>
      </c>
      <c r="G1432" s="942"/>
      <c r="H1432" s="943"/>
    </row>
    <row r="1433" spans="1:8" s="1" customFormat="1" ht="30" customHeight="1" thickBot="1">
      <c r="A1433" s="394">
        <v>756</v>
      </c>
      <c r="B1433" s="394"/>
      <c r="C1433" s="394"/>
      <c r="D1433" s="395" t="s">
        <v>380</v>
      </c>
      <c r="E1433" s="411"/>
      <c r="F1433" s="411">
        <f>F1434</f>
        <v>800000</v>
      </c>
      <c r="G1433" s="377"/>
      <c r="H1433" s="377"/>
    </row>
    <row r="1434" spans="1:8" s="150" customFormat="1" ht="19.5" customHeight="1">
      <c r="A1434" s="2"/>
      <c r="B1434" s="3">
        <v>75605</v>
      </c>
      <c r="C1434" s="3"/>
      <c r="D1434" s="67" t="s">
        <v>691</v>
      </c>
      <c r="E1434" s="70"/>
      <c r="F1434" s="70">
        <f>F1435</f>
        <v>800000</v>
      </c>
      <c r="G1434" s="4"/>
      <c r="H1434" s="4"/>
    </row>
    <row r="1435" spans="1:8" s="1" customFormat="1" ht="19.5" customHeight="1">
      <c r="A1435" s="107"/>
      <c r="B1435" s="107"/>
      <c r="C1435" s="107"/>
      <c r="D1435" s="1067" t="s">
        <v>411</v>
      </c>
      <c r="E1435" s="1068"/>
      <c r="F1435" s="1068">
        <f>F1436</f>
        <v>800000</v>
      </c>
      <c r="G1435" s="1046"/>
      <c r="H1435" s="1046"/>
    </row>
    <row r="1436" spans="1:8" s="8" customFormat="1" ht="27.75" customHeight="1">
      <c r="A1436" s="18"/>
      <c r="B1436" s="18"/>
      <c r="C1436" s="19" t="s">
        <v>635</v>
      </c>
      <c r="D1436" s="20" t="s">
        <v>692</v>
      </c>
      <c r="E1436" s="1069"/>
      <c r="F1436" s="1069">
        <v>800000</v>
      </c>
      <c r="G1436" s="6"/>
      <c r="H1436" s="6"/>
    </row>
    <row r="1437" spans="1:8" s="1" customFormat="1" ht="19.5" customHeight="1" thickBot="1">
      <c r="A1437" s="91"/>
      <c r="B1437" s="91"/>
      <c r="C1437" s="91"/>
      <c r="D1437" s="84" t="s">
        <v>646</v>
      </c>
      <c r="E1437" s="284"/>
      <c r="F1437" s="284"/>
      <c r="G1437" s="24"/>
      <c r="H1437" s="24">
        <f>H1438+H1442+H1449+H1476+H1481</f>
        <v>36009854</v>
      </c>
    </row>
    <row r="1438" spans="1:8" s="1" customFormat="1" ht="19.5" customHeight="1" thickBot="1" thickTop="1">
      <c r="A1438" s="394">
        <v>500</v>
      </c>
      <c r="B1438" s="394"/>
      <c r="C1438" s="394"/>
      <c r="D1438" s="375" t="s">
        <v>645</v>
      </c>
      <c r="E1438" s="377"/>
      <c r="F1438" s="377"/>
      <c r="G1438" s="377"/>
      <c r="H1438" s="377">
        <f>H1439</f>
        <v>4800</v>
      </c>
    </row>
    <row r="1439" spans="1:8" s="1" customFormat="1" ht="19.5" customHeight="1">
      <c r="A1439" s="156"/>
      <c r="B1439" s="3">
        <v>50095</v>
      </c>
      <c r="C1439" s="3"/>
      <c r="D1439" s="3" t="s">
        <v>100</v>
      </c>
      <c r="E1439" s="4"/>
      <c r="F1439" s="4"/>
      <c r="G1439" s="4"/>
      <c r="H1439" s="4">
        <f>H1440</f>
        <v>4800</v>
      </c>
    </row>
    <row r="1440" spans="1:8" s="1" customFormat="1" ht="19.5" customHeight="1">
      <c r="A1440" s="156"/>
      <c r="B1440" s="86"/>
      <c r="C1440" s="122"/>
      <c r="D1440" s="93" t="s">
        <v>68</v>
      </c>
      <c r="E1440" s="17"/>
      <c r="F1440" s="17"/>
      <c r="G1440" s="17"/>
      <c r="H1440" s="17">
        <f>H1441</f>
        <v>4800</v>
      </c>
    </row>
    <row r="1441" spans="1:8" s="1" customFormat="1" ht="18" customHeight="1">
      <c r="A1441" s="156"/>
      <c r="B1441" s="86"/>
      <c r="C1441" s="18">
        <v>4170</v>
      </c>
      <c r="D1441" s="20" t="s">
        <v>740</v>
      </c>
      <c r="E1441" s="280"/>
      <c r="F1441" s="280"/>
      <c r="G1441" s="295"/>
      <c r="H1441" s="295">
        <v>4800</v>
      </c>
    </row>
    <row r="1442" spans="1:8" ht="19.5" customHeight="1" thickBot="1">
      <c r="A1442" s="394">
        <v>600</v>
      </c>
      <c r="B1442" s="394"/>
      <c r="C1442" s="394"/>
      <c r="D1442" s="394" t="s">
        <v>525</v>
      </c>
      <c r="E1442" s="377"/>
      <c r="F1442" s="377"/>
      <c r="G1442" s="377"/>
      <c r="H1442" s="377">
        <f>H1443+H1446</f>
        <v>22377576</v>
      </c>
    </row>
    <row r="1443" spans="1:8" ht="19.5" customHeight="1">
      <c r="A1443" s="156"/>
      <c r="B1443" s="3">
        <v>60004</v>
      </c>
      <c r="C1443" s="3"/>
      <c r="D1443" s="3" t="s">
        <v>647</v>
      </c>
      <c r="E1443" s="4"/>
      <c r="F1443" s="4"/>
      <c r="G1443" s="4"/>
      <c r="H1443" s="4">
        <f>H1444</f>
        <v>21377576</v>
      </c>
    </row>
    <row r="1444" spans="1:8" ht="19.5" customHeight="1">
      <c r="A1444" s="156"/>
      <c r="B1444" s="86"/>
      <c r="C1444" s="122"/>
      <c r="D1444" s="87" t="s">
        <v>544</v>
      </c>
      <c r="E1444" s="17"/>
      <c r="F1444" s="17"/>
      <c r="G1444" s="17"/>
      <c r="H1444" s="17">
        <f>H1445</f>
        <v>21377576</v>
      </c>
    </row>
    <row r="1445" spans="1:8" ht="18" customHeight="1">
      <c r="A1445" s="156"/>
      <c r="B1445" s="86"/>
      <c r="C1445" s="18">
        <v>4150</v>
      </c>
      <c r="D1445" s="18" t="s">
        <v>479</v>
      </c>
      <c r="E1445" s="280"/>
      <c r="F1445" s="280"/>
      <c r="G1445" s="295"/>
      <c r="H1445" s="295">
        <v>21377576</v>
      </c>
    </row>
    <row r="1446" spans="1:8" ht="18.75" customHeight="1">
      <c r="A1446" s="86"/>
      <c r="B1446" s="13">
        <v>60095</v>
      </c>
      <c r="C1446" s="13"/>
      <c r="D1446" s="13" t="s">
        <v>100</v>
      </c>
      <c r="E1446" s="15"/>
      <c r="F1446" s="15"/>
      <c r="G1446" s="1087"/>
      <c r="H1446" s="1087">
        <f>H1447</f>
        <v>1000000</v>
      </c>
    </row>
    <row r="1447" spans="1:8" ht="18.75" customHeight="1">
      <c r="A1447" s="86"/>
      <c r="B1447" s="86"/>
      <c r="C1447" s="254"/>
      <c r="D1447" s="186" t="s">
        <v>107</v>
      </c>
      <c r="E1447" s="17"/>
      <c r="F1447" s="17"/>
      <c r="G1447" s="17"/>
      <c r="H1447" s="17">
        <f>H1448</f>
        <v>1000000</v>
      </c>
    </row>
    <row r="1448" spans="1:8" s="1" customFormat="1" ht="18.75" customHeight="1">
      <c r="A1448" s="91"/>
      <c r="B1448" s="107"/>
      <c r="C1448" s="22">
        <v>6060</v>
      </c>
      <c r="D1448" s="20" t="s">
        <v>685</v>
      </c>
      <c r="E1448" s="88"/>
      <c r="F1448" s="88"/>
      <c r="G1448" s="88"/>
      <c r="H1448" s="88">
        <f>1000000</f>
        <v>1000000</v>
      </c>
    </row>
    <row r="1449" spans="1:8" s="1" customFormat="1" ht="18.75" customHeight="1">
      <c r="A1449" s="5">
        <v>700</v>
      </c>
      <c r="B1449" s="5"/>
      <c r="C1449" s="100"/>
      <c r="D1449" s="219" t="s">
        <v>433</v>
      </c>
      <c r="E1449" s="1086"/>
      <c r="F1449" s="1086"/>
      <c r="G1449" s="1086"/>
      <c r="H1449" s="1086">
        <f>H1460+H1463+H1450</f>
        <v>12900200</v>
      </c>
    </row>
    <row r="1450" spans="1:8" ht="19.5" customHeight="1">
      <c r="A1450" s="122"/>
      <c r="B1450" s="13">
        <v>70001</v>
      </c>
      <c r="C1450" s="13"/>
      <c r="D1450" s="13" t="s">
        <v>434</v>
      </c>
      <c r="E1450" s="15"/>
      <c r="F1450" s="15"/>
      <c r="G1450" s="15"/>
      <c r="H1450" s="15">
        <f>H1451</f>
        <v>10000000</v>
      </c>
    </row>
    <row r="1451" spans="1:8" ht="19.5" customHeight="1">
      <c r="A1451" s="86"/>
      <c r="B1451" s="122"/>
      <c r="C1451" s="128"/>
      <c r="D1451" s="348" t="s">
        <v>453</v>
      </c>
      <c r="E1451" s="17"/>
      <c r="F1451" s="17"/>
      <c r="G1451" s="17"/>
      <c r="H1451" s="17">
        <f>H1457+H1459</f>
        <v>10000000</v>
      </c>
    </row>
    <row r="1452" spans="1:8" ht="25.5">
      <c r="A1452" s="86"/>
      <c r="B1452" s="86"/>
      <c r="C1452" s="18"/>
      <c r="D1452" s="240" t="s">
        <v>676</v>
      </c>
      <c r="E1452" s="10"/>
      <c r="F1452" s="10"/>
      <c r="G1452" s="249"/>
      <c r="H1452" s="249">
        <v>200000</v>
      </c>
    </row>
    <row r="1453" spans="1:8" ht="19.5" customHeight="1">
      <c r="A1453" s="86"/>
      <c r="B1453" s="86"/>
      <c r="C1453" s="18"/>
      <c r="D1453" s="241" t="s">
        <v>963</v>
      </c>
      <c r="E1453" s="11"/>
      <c r="F1453" s="11"/>
      <c r="G1453" s="296"/>
      <c r="H1453" s="296">
        <f>2200000+1500000</f>
        <v>3700000</v>
      </c>
    </row>
    <row r="1454" spans="1:8" ht="19.5" customHeight="1">
      <c r="A1454" s="86"/>
      <c r="B1454" s="86"/>
      <c r="C1454" s="18"/>
      <c r="D1454" s="242" t="s">
        <v>837</v>
      </c>
      <c r="E1454" s="11"/>
      <c r="F1454" s="11"/>
      <c r="G1454" s="296"/>
      <c r="H1454" s="296">
        <f>2090000+850000</f>
        <v>2940000</v>
      </c>
    </row>
    <row r="1455" spans="1:8" ht="19.5" customHeight="1">
      <c r="A1455" s="86"/>
      <c r="B1455" s="86"/>
      <c r="C1455" s="18"/>
      <c r="D1455" s="242" t="s">
        <v>838</v>
      </c>
      <c r="E1455" s="11"/>
      <c r="F1455" s="11"/>
      <c r="G1455" s="296"/>
      <c r="H1455" s="296">
        <f>160000+160000</f>
        <v>320000</v>
      </c>
    </row>
    <row r="1456" spans="1:8" ht="19.5" customHeight="1">
      <c r="A1456" s="86"/>
      <c r="B1456" s="86"/>
      <c r="C1456" s="18"/>
      <c r="D1456" s="242" t="s">
        <v>839</v>
      </c>
      <c r="E1456" s="11"/>
      <c r="F1456" s="11"/>
      <c r="G1456" s="296"/>
      <c r="H1456" s="296">
        <f>850000+490000</f>
        <v>1340000</v>
      </c>
    </row>
    <row r="1457" spans="1:8" ht="19.5" customHeight="1">
      <c r="A1457" s="86"/>
      <c r="B1457" s="86"/>
      <c r="C1457" s="22">
        <v>2650</v>
      </c>
      <c r="D1457" s="20" t="s">
        <v>393</v>
      </c>
      <c r="E1457" s="228"/>
      <c r="F1457" s="6"/>
      <c r="G1457" s="176"/>
      <c r="H1457" s="176">
        <f>SUM(H1452:H1456)</f>
        <v>8500000</v>
      </c>
    </row>
    <row r="1458" spans="1:8" ht="19.5" customHeight="1">
      <c r="A1458" s="86"/>
      <c r="B1458" s="86"/>
      <c r="C1458" s="430"/>
      <c r="D1458" s="380" t="s">
        <v>696</v>
      </c>
      <c r="E1458" s="180"/>
      <c r="F1458" s="180"/>
      <c r="G1458" s="180"/>
      <c r="H1458" s="180">
        <v>1500000</v>
      </c>
    </row>
    <row r="1459" spans="1:8" ht="25.5">
      <c r="A1459" s="86"/>
      <c r="B1459" s="107"/>
      <c r="C1459" s="237">
        <v>6210</v>
      </c>
      <c r="D1459" s="20" t="s">
        <v>697</v>
      </c>
      <c r="E1459" s="176"/>
      <c r="F1459" s="176"/>
      <c r="G1459" s="176"/>
      <c r="H1459" s="176">
        <f>H1458</f>
        <v>1500000</v>
      </c>
    </row>
    <row r="1460" spans="1:8" ht="18.75" customHeight="1">
      <c r="A1460" s="156"/>
      <c r="B1460" s="25">
        <v>70004</v>
      </c>
      <c r="C1460" s="25"/>
      <c r="D1460" s="67" t="s">
        <v>190</v>
      </c>
      <c r="E1460" s="61"/>
      <c r="F1460" s="61"/>
      <c r="G1460" s="4"/>
      <c r="H1460" s="4">
        <f>H1461</f>
        <v>500000</v>
      </c>
    </row>
    <row r="1461" spans="1:8" ht="18.75" customHeight="1">
      <c r="A1461" s="156"/>
      <c r="B1461" s="86"/>
      <c r="C1461" s="86"/>
      <c r="D1461" s="87" t="s">
        <v>274</v>
      </c>
      <c r="E1461" s="17"/>
      <c r="F1461" s="17"/>
      <c r="G1461" s="17"/>
      <c r="H1461" s="17">
        <f>H1462</f>
        <v>500000</v>
      </c>
    </row>
    <row r="1462" spans="1:8" ht="18.75" customHeight="1">
      <c r="A1462" s="91"/>
      <c r="B1462" s="107"/>
      <c r="C1462" s="22">
        <v>4300</v>
      </c>
      <c r="D1462" s="22" t="s">
        <v>815</v>
      </c>
      <c r="E1462" s="6"/>
      <c r="F1462" s="6"/>
      <c r="G1462" s="6"/>
      <c r="H1462" s="6">
        <v>500000</v>
      </c>
    </row>
    <row r="1463" spans="1:8" ht="18.75" customHeight="1">
      <c r="A1463" s="156"/>
      <c r="B1463" s="3">
        <v>70005</v>
      </c>
      <c r="C1463" s="3"/>
      <c r="D1463" s="3" t="s">
        <v>435</v>
      </c>
      <c r="E1463" s="61"/>
      <c r="F1463" s="61"/>
      <c r="G1463" s="4"/>
      <c r="H1463" s="4">
        <f>H1464+H1474</f>
        <v>2400200</v>
      </c>
    </row>
    <row r="1464" spans="1:8" ht="25.5">
      <c r="A1464" s="156"/>
      <c r="B1464" s="122"/>
      <c r="C1464" s="122"/>
      <c r="D1464" s="16" t="s">
        <v>284</v>
      </c>
      <c r="E1464" s="66"/>
      <c r="F1464" s="66"/>
      <c r="G1464" s="17"/>
      <c r="H1464" s="17">
        <f>SUM(H1465:H1473)-H1467</f>
        <v>1739200</v>
      </c>
    </row>
    <row r="1465" spans="1:8" ht="18.75" customHeight="1">
      <c r="A1465" s="156"/>
      <c r="B1465" s="86"/>
      <c r="C1465" s="22">
        <v>3030</v>
      </c>
      <c r="D1465" s="20" t="s">
        <v>747</v>
      </c>
      <c r="E1465" s="6"/>
      <c r="F1465" s="6"/>
      <c r="G1465" s="6"/>
      <c r="H1465" s="6">
        <v>10000</v>
      </c>
    </row>
    <row r="1466" spans="1:8" ht="18.75" customHeight="1">
      <c r="A1466" s="156"/>
      <c r="B1466" s="86"/>
      <c r="C1466" s="22">
        <v>4260</v>
      </c>
      <c r="D1466" s="20" t="s">
        <v>752</v>
      </c>
      <c r="E1466" s="6"/>
      <c r="F1466" s="6"/>
      <c r="G1466" s="6"/>
      <c r="H1466" s="6">
        <v>5000</v>
      </c>
    </row>
    <row r="1467" spans="1:8" ht="18.75" customHeight="1">
      <c r="A1467" s="156"/>
      <c r="B1467" s="86"/>
      <c r="C1467" s="128"/>
      <c r="D1467" s="317" t="s">
        <v>698</v>
      </c>
      <c r="E1467" s="178"/>
      <c r="F1467" s="178"/>
      <c r="G1467" s="178"/>
      <c r="H1467" s="178">
        <v>150000</v>
      </c>
    </row>
    <row r="1468" spans="1:8" ht="18.75" customHeight="1">
      <c r="A1468" s="156"/>
      <c r="B1468" s="86"/>
      <c r="C1468" s="22">
        <v>4270</v>
      </c>
      <c r="D1468" s="22" t="s">
        <v>98</v>
      </c>
      <c r="E1468" s="228"/>
      <c r="F1468" s="228"/>
      <c r="G1468" s="228"/>
      <c r="H1468" s="228">
        <f>H1467</f>
        <v>150000</v>
      </c>
    </row>
    <row r="1469" spans="1:8" ht="18.75" customHeight="1">
      <c r="A1469" s="156"/>
      <c r="B1469" s="86"/>
      <c r="C1469" s="22">
        <v>4300</v>
      </c>
      <c r="D1469" s="20" t="s">
        <v>815</v>
      </c>
      <c r="E1469" s="6"/>
      <c r="F1469" s="6"/>
      <c r="G1469" s="65"/>
      <c r="H1469" s="65">
        <f>199000+900000-121</f>
        <v>1098879</v>
      </c>
    </row>
    <row r="1470" spans="1:8" ht="18.75" customHeight="1">
      <c r="A1470" s="156"/>
      <c r="B1470" s="86"/>
      <c r="C1470" s="22">
        <v>4400</v>
      </c>
      <c r="D1470" s="20" t="s">
        <v>1081</v>
      </c>
      <c r="E1470" s="6"/>
      <c r="F1470" s="65"/>
      <c r="G1470" s="276"/>
      <c r="H1470" s="276">
        <v>6000</v>
      </c>
    </row>
    <row r="1471" spans="1:8" ht="18.75" customHeight="1">
      <c r="A1471" s="156"/>
      <c r="B1471" s="86"/>
      <c r="C1471" s="144">
        <v>4480</v>
      </c>
      <c r="D1471" s="252" t="s">
        <v>683</v>
      </c>
      <c r="E1471" s="6"/>
      <c r="F1471" s="279"/>
      <c r="G1471" s="276"/>
      <c r="H1471" s="276">
        <v>124800</v>
      </c>
    </row>
    <row r="1472" spans="1:8" ht="18.75" customHeight="1">
      <c r="A1472" s="156"/>
      <c r="B1472" s="86"/>
      <c r="C1472" s="144">
        <v>4520</v>
      </c>
      <c r="D1472" s="252" t="s">
        <v>302</v>
      </c>
      <c r="E1472" s="6"/>
      <c r="F1472" s="65"/>
      <c r="G1472" s="276"/>
      <c r="H1472" s="276">
        <f>339400+121</f>
        <v>339521</v>
      </c>
    </row>
    <row r="1473" spans="1:8" ht="18.75" customHeight="1">
      <c r="A1473" s="156"/>
      <c r="B1473" s="86"/>
      <c r="C1473" s="18">
        <v>4610</v>
      </c>
      <c r="D1473" s="221" t="s">
        <v>1004</v>
      </c>
      <c r="E1473" s="6"/>
      <c r="F1473" s="65"/>
      <c r="G1473" s="276"/>
      <c r="H1473" s="276">
        <v>5000</v>
      </c>
    </row>
    <row r="1474" spans="1:8" ht="18.75" customHeight="1">
      <c r="A1474" s="156"/>
      <c r="B1474" s="86"/>
      <c r="C1474" s="122"/>
      <c r="D1474" s="16" t="s">
        <v>394</v>
      </c>
      <c r="E1474" s="66"/>
      <c r="F1474" s="66"/>
      <c r="G1474" s="17"/>
      <c r="H1474" s="17">
        <f>H1475</f>
        <v>661000</v>
      </c>
    </row>
    <row r="1475" spans="1:8" ht="18.75" customHeight="1">
      <c r="A1475" s="91"/>
      <c r="B1475" s="107"/>
      <c r="C1475" s="22">
        <v>4590</v>
      </c>
      <c r="D1475" s="20" t="s">
        <v>1003</v>
      </c>
      <c r="E1475" s="6"/>
      <c r="F1475" s="6"/>
      <c r="G1475" s="6"/>
      <c r="H1475" s="6">
        <v>661000</v>
      </c>
    </row>
    <row r="1476" spans="1:8" s="149" customFormat="1" ht="18.75" customHeight="1" thickBot="1">
      <c r="A1476" s="394">
        <v>852</v>
      </c>
      <c r="B1476" s="394"/>
      <c r="C1476" s="394"/>
      <c r="D1476" s="394" t="s">
        <v>129</v>
      </c>
      <c r="E1476" s="377"/>
      <c r="F1476" s="377"/>
      <c r="G1476" s="377"/>
      <c r="H1476" s="377">
        <f>H1477</f>
        <v>280000</v>
      </c>
    </row>
    <row r="1477" spans="1:8" s="149" customFormat="1" ht="18.75" customHeight="1">
      <c r="A1477" s="2"/>
      <c r="B1477" s="3">
        <v>85201</v>
      </c>
      <c r="C1477" s="3"/>
      <c r="D1477" s="3" t="s">
        <v>55</v>
      </c>
      <c r="E1477" s="264"/>
      <c r="F1477" s="264"/>
      <c r="G1477" s="264"/>
      <c r="H1477" s="264">
        <f>H1478</f>
        <v>280000</v>
      </c>
    </row>
    <row r="1478" spans="1:8" s="149" customFormat="1" ht="18.75" customHeight="1">
      <c r="A1478" s="30"/>
      <c r="B1478" s="122"/>
      <c r="C1478" s="277"/>
      <c r="D1478" s="16" t="s">
        <v>516</v>
      </c>
      <c r="E1478" s="17"/>
      <c r="F1478" s="17"/>
      <c r="G1478" s="17"/>
      <c r="H1478" s="17">
        <f>H1480</f>
        <v>280000</v>
      </c>
    </row>
    <row r="1479" spans="1:8" s="149" customFormat="1" ht="18.75" customHeight="1">
      <c r="A1479" s="30"/>
      <c r="B1479" s="86"/>
      <c r="C1479" s="275"/>
      <c r="D1479" s="244" t="s">
        <v>457</v>
      </c>
      <c r="E1479" s="10"/>
      <c r="F1479" s="10"/>
      <c r="G1479" s="10"/>
      <c r="H1479" s="10">
        <v>280000</v>
      </c>
    </row>
    <row r="1480" spans="1:8" s="149" customFormat="1" ht="18.75" customHeight="1">
      <c r="A1480" s="3"/>
      <c r="B1480" s="22"/>
      <c r="C1480" s="22">
        <v>6050</v>
      </c>
      <c r="D1480" s="227" t="s">
        <v>746</v>
      </c>
      <c r="E1480" s="278"/>
      <c r="F1480" s="278"/>
      <c r="G1480" s="278"/>
      <c r="H1480" s="278">
        <f>H1479</f>
        <v>280000</v>
      </c>
    </row>
    <row r="1481" spans="1:8" s="149" customFormat="1" ht="18.75" customHeight="1" thickBot="1">
      <c r="A1481" s="375">
        <v>900</v>
      </c>
      <c r="B1481" s="375"/>
      <c r="C1481" s="375"/>
      <c r="D1481" s="375" t="s">
        <v>1109</v>
      </c>
      <c r="E1481" s="378"/>
      <c r="F1481" s="378"/>
      <c r="G1481" s="378"/>
      <c r="H1481" s="378">
        <f>H1482</f>
        <v>447278</v>
      </c>
    </row>
    <row r="1482" spans="1:8" s="149" customFormat="1" ht="18.75" customHeight="1">
      <c r="A1482" s="2"/>
      <c r="B1482" s="3">
        <v>90002</v>
      </c>
      <c r="C1482" s="45"/>
      <c r="D1482" s="67" t="s">
        <v>176</v>
      </c>
      <c r="E1482" s="4"/>
      <c r="F1482" s="4"/>
      <c r="G1482" s="4"/>
      <c r="H1482" s="4">
        <f>H1483</f>
        <v>447278</v>
      </c>
    </row>
    <row r="1483" spans="1:8" s="149" customFormat="1" ht="18.75" customHeight="1">
      <c r="A1483" s="86"/>
      <c r="B1483" s="86"/>
      <c r="C1483" s="128"/>
      <c r="D1483" s="416" t="s">
        <v>370</v>
      </c>
      <c r="E1483" s="151"/>
      <c r="F1483" s="151"/>
      <c r="G1483" s="282"/>
      <c r="H1483" s="282">
        <f>H1484</f>
        <v>447278</v>
      </c>
    </row>
    <row r="1484" spans="1:8" s="149" customFormat="1" ht="18.75" customHeight="1">
      <c r="A1484" s="2"/>
      <c r="B1484" s="2"/>
      <c r="C1484" s="22">
        <v>4480</v>
      </c>
      <c r="D1484" s="147" t="s">
        <v>683</v>
      </c>
      <c r="E1484" s="281"/>
      <c r="F1484" s="281"/>
      <c r="G1484" s="173"/>
      <c r="H1484" s="173">
        <v>447278</v>
      </c>
    </row>
    <row r="1485" spans="1:8" s="149" customFormat="1" ht="29.25" customHeight="1" thickBot="1">
      <c r="A1485" s="3"/>
      <c r="B1485" s="22"/>
      <c r="C1485" s="22"/>
      <c r="D1485" s="64" t="s">
        <v>1021</v>
      </c>
      <c r="E1485" s="285"/>
      <c r="F1485" s="285"/>
      <c r="G1485" s="286"/>
      <c r="H1485" s="286">
        <f>H1486</f>
        <v>596150</v>
      </c>
    </row>
    <row r="1486" spans="1:8" s="149" customFormat="1" ht="18.75" customHeight="1" thickBot="1" thickTop="1">
      <c r="A1486" s="417" t="s">
        <v>287</v>
      </c>
      <c r="B1486" s="375"/>
      <c r="C1486" s="375"/>
      <c r="D1486" s="375" t="s">
        <v>433</v>
      </c>
      <c r="E1486" s="378"/>
      <c r="F1486" s="378"/>
      <c r="G1486" s="378"/>
      <c r="H1486" s="378">
        <f>H1487</f>
        <v>596150</v>
      </c>
    </row>
    <row r="1487" spans="1:8" s="149" customFormat="1" ht="18.75" customHeight="1">
      <c r="A1487" s="86"/>
      <c r="B1487" s="3">
        <v>70005</v>
      </c>
      <c r="C1487" s="3"/>
      <c r="D1487" s="3" t="s">
        <v>435</v>
      </c>
      <c r="E1487" s="4"/>
      <c r="F1487" s="4"/>
      <c r="G1487" s="4"/>
      <c r="H1487" s="4">
        <f>H1488</f>
        <v>596150</v>
      </c>
    </row>
    <row r="1488" spans="1:8" s="149" customFormat="1" ht="18.75" customHeight="1">
      <c r="A1488" s="86"/>
      <c r="B1488" s="86"/>
      <c r="C1488" s="86"/>
      <c r="D1488" s="87" t="s">
        <v>288</v>
      </c>
      <c r="E1488" s="17"/>
      <c r="F1488" s="17"/>
      <c r="G1488" s="17"/>
      <c r="H1488" s="17">
        <f>SUM(H1489:H1492)</f>
        <v>596150</v>
      </c>
    </row>
    <row r="1489" spans="1:8" s="149" customFormat="1" ht="18.75" customHeight="1">
      <c r="A1489" s="86"/>
      <c r="B1489" s="86"/>
      <c r="C1489" s="22">
        <v>4260</v>
      </c>
      <c r="D1489" s="22" t="s">
        <v>752</v>
      </c>
      <c r="E1489" s="6"/>
      <c r="F1489" s="6"/>
      <c r="G1489" s="6"/>
      <c r="H1489" s="6">
        <v>1000</v>
      </c>
    </row>
    <row r="1490" spans="1:8" s="149" customFormat="1" ht="18.75" customHeight="1">
      <c r="A1490" s="107"/>
      <c r="B1490" s="107"/>
      <c r="C1490" s="22">
        <v>4300</v>
      </c>
      <c r="D1490" s="22" t="s">
        <v>815</v>
      </c>
      <c r="E1490" s="6"/>
      <c r="F1490" s="6"/>
      <c r="G1490" s="6"/>
      <c r="H1490" s="6">
        <v>130000</v>
      </c>
    </row>
    <row r="1491" spans="1:8" s="149" customFormat="1" ht="18.75" customHeight="1">
      <c r="A1491" s="86"/>
      <c r="B1491" s="86"/>
      <c r="C1491" s="22">
        <v>4590</v>
      </c>
      <c r="D1491" s="22" t="s">
        <v>1003</v>
      </c>
      <c r="E1491" s="6"/>
      <c r="F1491" s="6"/>
      <c r="G1491" s="6"/>
      <c r="H1491" s="6">
        <f>277500+173650</f>
        <v>451150</v>
      </c>
    </row>
    <row r="1492" spans="1:8" s="149" customFormat="1" ht="18.75" customHeight="1">
      <c r="A1492" s="86"/>
      <c r="B1492" s="86"/>
      <c r="C1492" s="22">
        <v>4610</v>
      </c>
      <c r="D1492" s="22" t="s">
        <v>1004</v>
      </c>
      <c r="E1492" s="65"/>
      <c r="F1492" s="6"/>
      <c r="G1492" s="6"/>
      <c r="H1492" s="6">
        <v>14000</v>
      </c>
    </row>
    <row r="1493" spans="1:8" ht="19.5" customHeight="1">
      <c r="A1493" s="56"/>
      <c r="B1493" s="56"/>
      <c r="C1493" s="56"/>
      <c r="D1493" s="7" t="s">
        <v>864</v>
      </c>
      <c r="E1493" s="83">
        <f>E1494+E1512</f>
        <v>4173045</v>
      </c>
      <c r="F1493" s="83"/>
      <c r="G1493" s="83">
        <f>G1519</f>
        <v>85375983</v>
      </c>
      <c r="H1493" s="83"/>
    </row>
    <row r="1494" spans="1:8" ht="19.5" customHeight="1" thickBot="1">
      <c r="A1494" s="158"/>
      <c r="B1494" s="158"/>
      <c r="C1494" s="158"/>
      <c r="D1494" s="159" t="s">
        <v>461</v>
      </c>
      <c r="E1494" s="160">
        <f>E1495+E1499+E1503</f>
        <v>1153045</v>
      </c>
      <c r="F1494" s="160"/>
      <c r="G1494" s="160"/>
      <c r="H1494" s="160"/>
    </row>
    <row r="1495" spans="1:8" ht="19.5" customHeight="1" thickBot="1" thickTop="1">
      <c r="A1495" s="394">
        <v>600</v>
      </c>
      <c r="B1495" s="394"/>
      <c r="C1495" s="394"/>
      <c r="D1495" s="394" t="s">
        <v>525</v>
      </c>
      <c r="E1495" s="377">
        <f>E1496</f>
        <v>600000</v>
      </c>
      <c r="F1495" s="377"/>
      <c r="G1495" s="377"/>
      <c r="H1495" s="377"/>
    </row>
    <row r="1496" spans="1:8" ht="19.5" customHeight="1">
      <c r="A1496" s="86"/>
      <c r="B1496" s="3">
        <v>60016</v>
      </c>
      <c r="C1496" s="3"/>
      <c r="D1496" s="35" t="s">
        <v>1114</v>
      </c>
      <c r="E1496" s="4">
        <f>E1497</f>
        <v>600000</v>
      </c>
      <c r="F1496" s="4"/>
      <c r="G1496" s="4"/>
      <c r="H1496" s="4"/>
    </row>
    <row r="1497" spans="1:8" ht="19.5" customHeight="1">
      <c r="A1497" s="86"/>
      <c r="B1497" s="86"/>
      <c r="C1497" s="86"/>
      <c r="D1497" s="161" t="s">
        <v>227</v>
      </c>
      <c r="E1497" s="17">
        <f>E1498</f>
        <v>600000</v>
      </c>
      <c r="F1497" s="17"/>
      <c r="G1497" s="17"/>
      <c r="H1497" s="17"/>
    </row>
    <row r="1498" spans="1:8" ht="19.5" customHeight="1">
      <c r="A1498" s="22"/>
      <c r="B1498" s="22"/>
      <c r="C1498" s="162" t="s">
        <v>728</v>
      </c>
      <c r="D1498" s="163" t="s">
        <v>512</v>
      </c>
      <c r="E1498" s="88">
        <v>600000</v>
      </c>
      <c r="F1498" s="88"/>
      <c r="G1498" s="88"/>
      <c r="H1498" s="88"/>
    </row>
    <row r="1499" spans="1:8" ht="30.75" customHeight="1" thickBot="1">
      <c r="A1499" s="394">
        <v>756</v>
      </c>
      <c r="B1499" s="394"/>
      <c r="C1499" s="394"/>
      <c r="D1499" s="395" t="s">
        <v>380</v>
      </c>
      <c r="E1499" s="377">
        <f>E1500</f>
        <v>20000</v>
      </c>
      <c r="F1499" s="377"/>
      <c r="G1499" s="377"/>
      <c r="H1499" s="377"/>
    </row>
    <row r="1500" spans="1:8" ht="28.5" customHeight="1">
      <c r="A1500" s="2"/>
      <c r="B1500" s="3">
        <v>75618</v>
      </c>
      <c r="C1500" s="3"/>
      <c r="D1500" s="37" t="s">
        <v>989</v>
      </c>
      <c r="E1500" s="4">
        <f>E1501</f>
        <v>20000</v>
      </c>
      <c r="F1500" s="4"/>
      <c r="G1500" s="4"/>
      <c r="H1500" s="4"/>
    </row>
    <row r="1501" spans="1:8" ht="27.75" customHeight="1">
      <c r="A1501" s="86"/>
      <c r="B1501" s="122"/>
      <c r="C1501" s="122"/>
      <c r="D1501" s="74" t="s">
        <v>186</v>
      </c>
      <c r="E1501" s="17">
        <f>E1502</f>
        <v>20000</v>
      </c>
      <c r="F1501" s="17"/>
      <c r="G1501" s="17"/>
      <c r="H1501" s="17"/>
    </row>
    <row r="1502" spans="1:8" ht="16.5" customHeight="1">
      <c r="A1502" s="2"/>
      <c r="B1502" s="2"/>
      <c r="C1502" s="19" t="s">
        <v>728</v>
      </c>
      <c r="D1502" s="20" t="s">
        <v>512</v>
      </c>
      <c r="E1502" s="6">
        <v>20000</v>
      </c>
      <c r="F1502" s="6"/>
      <c r="G1502" s="6"/>
      <c r="H1502" s="6"/>
    </row>
    <row r="1503" spans="1:8" ht="19.5" customHeight="1" thickBot="1">
      <c r="A1503" s="394">
        <v>900</v>
      </c>
      <c r="B1503" s="394"/>
      <c r="C1503" s="394"/>
      <c r="D1503" s="394" t="s">
        <v>1048</v>
      </c>
      <c r="E1503" s="377">
        <f>E1504+E1507</f>
        <v>533045</v>
      </c>
      <c r="F1503" s="377"/>
      <c r="G1503" s="377"/>
      <c r="H1503" s="377"/>
    </row>
    <row r="1504" spans="1:8" ht="19.5" customHeight="1">
      <c r="A1504" s="2"/>
      <c r="B1504" s="3">
        <v>90013</v>
      </c>
      <c r="C1504" s="3"/>
      <c r="D1504" s="67" t="s">
        <v>1001</v>
      </c>
      <c r="E1504" s="4">
        <f>E1505</f>
        <v>12000</v>
      </c>
      <c r="F1504" s="4"/>
      <c r="G1504" s="4"/>
      <c r="H1504" s="4"/>
    </row>
    <row r="1505" spans="1:8" ht="14.25" customHeight="1">
      <c r="A1505" s="86"/>
      <c r="B1505" s="86"/>
      <c r="C1505" s="86"/>
      <c r="D1505" s="93" t="s">
        <v>1119</v>
      </c>
      <c r="E1505" s="17">
        <f>E1506</f>
        <v>12000</v>
      </c>
      <c r="F1505" s="17"/>
      <c r="G1505" s="17"/>
      <c r="H1505" s="17"/>
    </row>
    <row r="1506" spans="1:8" ht="16.5" customHeight="1">
      <c r="A1506" s="18"/>
      <c r="B1506" s="18"/>
      <c r="C1506" s="19" t="s">
        <v>1064</v>
      </c>
      <c r="D1506" s="20" t="s">
        <v>882</v>
      </c>
      <c r="E1506" s="88">
        <v>12000</v>
      </c>
      <c r="F1506" s="88"/>
      <c r="G1506" s="88"/>
      <c r="H1506" s="88"/>
    </row>
    <row r="1507" spans="1:8" ht="19.5" customHeight="1">
      <c r="A1507" s="2"/>
      <c r="B1507" s="13">
        <v>90095</v>
      </c>
      <c r="C1507" s="3"/>
      <c r="D1507" s="67" t="s">
        <v>100</v>
      </c>
      <c r="E1507" s="15">
        <f>E1508+E1510</f>
        <v>521045</v>
      </c>
      <c r="F1507" s="15"/>
      <c r="G1507" s="15"/>
      <c r="H1507" s="15"/>
    </row>
    <row r="1508" spans="1:8" ht="19.5" customHeight="1">
      <c r="A1508" s="86"/>
      <c r="B1508" s="2"/>
      <c r="C1508" s="2"/>
      <c r="D1508" s="75" t="s">
        <v>187</v>
      </c>
      <c r="E1508" s="17">
        <f>E1509</f>
        <v>500000</v>
      </c>
      <c r="F1508" s="17"/>
      <c r="G1508" s="17"/>
      <c r="H1508" s="17"/>
    </row>
    <row r="1509" spans="1:8" ht="28.5" customHeight="1">
      <c r="A1509" s="164"/>
      <c r="B1509" s="164"/>
      <c r="C1509" s="26">
        <v>6290</v>
      </c>
      <c r="D1509" s="27" t="s">
        <v>931</v>
      </c>
      <c r="E1509" s="98">
        <v>500000</v>
      </c>
      <c r="F1509" s="98"/>
      <c r="G1509" s="98"/>
      <c r="H1509" s="98"/>
    </row>
    <row r="1510" spans="1:8" ht="19.5" customHeight="1">
      <c r="A1510" s="86"/>
      <c r="B1510" s="86"/>
      <c r="C1510" s="86"/>
      <c r="D1510" s="75" t="s">
        <v>228</v>
      </c>
      <c r="E1510" s="17">
        <f>E1511</f>
        <v>21045</v>
      </c>
      <c r="F1510" s="17"/>
      <c r="G1510" s="17"/>
      <c r="H1510" s="17"/>
    </row>
    <row r="1511" spans="1:8" ht="39.75" customHeight="1">
      <c r="A1511" s="164"/>
      <c r="B1511" s="164"/>
      <c r="C1511" s="19" t="s">
        <v>632</v>
      </c>
      <c r="D1511" s="20" t="s">
        <v>999</v>
      </c>
      <c r="E1511" s="98">
        <v>21045</v>
      </c>
      <c r="F1511" s="98"/>
      <c r="G1511" s="98"/>
      <c r="H1511" s="98"/>
    </row>
    <row r="1512" spans="1:8" ht="19.5" customHeight="1" thickBot="1">
      <c r="A1512" s="158"/>
      <c r="B1512" s="158"/>
      <c r="C1512" s="158"/>
      <c r="D1512" s="159" t="s">
        <v>101</v>
      </c>
      <c r="E1512" s="160">
        <f>E1513</f>
        <v>3020000</v>
      </c>
      <c r="F1512" s="160"/>
      <c r="G1512" s="160"/>
      <c r="H1512" s="160"/>
    </row>
    <row r="1513" spans="1:8" ht="19.5" customHeight="1" thickBot="1" thickTop="1">
      <c r="A1513" s="394">
        <v>600</v>
      </c>
      <c r="B1513" s="394"/>
      <c r="C1513" s="394"/>
      <c r="D1513" s="394" t="s">
        <v>525</v>
      </c>
      <c r="E1513" s="377">
        <f>E1514</f>
        <v>3020000</v>
      </c>
      <c r="F1513" s="377"/>
      <c r="G1513" s="377"/>
      <c r="H1513" s="377"/>
    </row>
    <row r="1514" spans="1:8" ht="19.5" customHeight="1">
      <c r="A1514" s="56"/>
      <c r="B1514" s="165">
        <v>60015</v>
      </c>
      <c r="C1514" s="165"/>
      <c r="D1514" s="166" t="s">
        <v>1113</v>
      </c>
      <c r="E1514" s="167">
        <f>E1515+E1517</f>
        <v>3020000</v>
      </c>
      <c r="F1514" s="167"/>
      <c r="G1514" s="167"/>
      <c r="H1514" s="167"/>
    </row>
    <row r="1515" spans="1:8" ht="19.5" customHeight="1">
      <c r="A1515" s="56"/>
      <c r="B1515" s="56"/>
      <c r="C1515" s="56"/>
      <c r="D1515" s="168" t="s">
        <v>227</v>
      </c>
      <c r="E1515" s="169">
        <f>E1516</f>
        <v>3000000</v>
      </c>
      <c r="F1515" s="169"/>
      <c r="G1515" s="169"/>
      <c r="H1515" s="169"/>
    </row>
    <row r="1516" spans="1:8" s="149" customFormat="1" ht="19.5" customHeight="1">
      <c r="A1516" s="181"/>
      <c r="B1516" s="181"/>
      <c r="C1516" s="171" t="s">
        <v>728</v>
      </c>
      <c r="D1516" s="172" t="s">
        <v>512</v>
      </c>
      <c r="E1516" s="173">
        <v>3000000</v>
      </c>
      <c r="F1516" s="173"/>
      <c r="G1516" s="173"/>
      <c r="H1516" s="173"/>
    </row>
    <row r="1517" spans="1:8" s="150" customFormat="1" ht="19.5" customHeight="1">
      <c r="A1517" s="56"/>
      <c r="B1517" s="56"/>
      <c r="C1517" s="1089"/>
      <c r="D1517" s="1090" t="s">
        <v>1050</v>
      </c>
      <c r="E1517" s="1075">
        <f>E1518</f>
        <v>20000</v>
      </c>
      <c r="F1517" s="1075"/>
      <c r="G1517" s="1075"/>
      <c r="H1517" s="1075"/>
    </row>
    <row r="1518" spans="1:8" s="150" customFormat="1" ht="19.5" customHeight="1">
      <c r="A1518" s="56"/>
      <c r="B1518" s="56"/>
      <c r="C1518" s="76" t="s">
        <v>1066</v>
      </c>
      <c r="D1518" s="77" t="s">
        <v>235</v>
      </c>
      <c r="E1518" s="176">
        <v>20000</v>
      </c>
      <c r="F1518" s="176"/>
      <c r="G1518" s="176"/>
      <c r="H1518" s="176"/>
    </row>
    <row r="1519" spans="1:8" ht="19.5" customHeight="1" thickBot="1">
      <c r="A1519" s="158"/>
      <c r="B1519" s="158"/>
      <c r="C1519" s="158"/>
      <c r="D1519" s="159" t="s">
        <v>646</v>
      </c>
      <c r="E1519" s="160"/>
      <c r="F1519" s="160"/>
      <c r="G1519" s="160">
        <f>G1520+G1602+G1597+G1593</f>
        <v>85375983</v>
      </c>
      <c r="H1519" s="160"/>
    </row>
    <row r="1520" spans="1:8" ht="19.5" customHeight="1" thickBot="1" thickTop="1">
      <c r="A1520" s="394">
        <v>600</v>
      </c>
      <c r="B1520" s="394"/>
      <c r="C1520" s="394"/>
      <c r="D1520" s="394" t="s">
        <v>525</v>
      </c>
      <c r="E1520" s="377"/>
      <c r="F1520" s="377"/>
      <c r="G1520" s="377">
        <f>G1521+G1536+G1575+G1586</f>
        <v>80856983</v>
      </c>
      <c r="H1520" s="377"/>
    </row>
    <row r="1521" spans="1:8" ht="19.5" customHeight="1">
      <c r="A1521" s="86"/>
      <c r="B1521" s="13">
        <v>60004</v>
      </c>
      <c r="C1521" s="13"/>
      <c r="D1521" s="13" t="s">
        <v>647</v>
      </c>
      <c r="E1521" s="15"/>
      <c r="F1521" s="15"/>
      <c r="G1521" s="15">
        <f>G1522+G1524+G1531+G1533+G1535</f>
        <v>28755432</v>
      </c>
      <c r="H1521" s="15"/>
    </row>
    <row r="1522" spans="1:8" ht="19.5" customHeight="1">
      <c r="A1522" s="86"/>
      <c r="B1522" s="122"/>
      <c r="C1522" s="128"/>
      <c r="D1522" s="87" t="s">
        <v>293</v>
      </c>
      <c r="E1522" s="17"/>
      <c r="F1522" s="17"/>
      <c r="G1522" s="17">
        <f>G1523</f>
        <v>7000000</v>
      </c>
      <c r="H1522" s="17"/>
    </row>
    <row r="1523" spans="1:8" ht="19.5" customHeight="1">
      <c r="A1523" s="86"/>
      <c r="B1523" s="86"/>
      <c r="C1523" s="22">
        <v>4300</v>
      </c>
      <c r="D1523" s="22" t="s">
        <v>815</v>
      </c>
      <c r="E1523" s="6"/>
      <c r="F1523" s="6"/>
      <c r="G1523" s="6">
        <f>7000000</f>
        <v>7000000</v>
      </c>
      <c r="H1523" s="6"/>
    </row>
    <row r="1524" spans="1:8" ht="19.5" customHeight="1">
      <c r="A1524" s="86"/>
      <c r="B1524" s="86"/>
      <c r="C1524" s="128"/>
      <c r="D1524" s="16" t="s">
        <v>131</v>
      </c>
      <c r="E1524" s="17"/>
      <c r="F1524" s="17"/>
      <c r="G1524" s="17">
        <f>G1525</f>
        <v>100000</v>
      </c>
      <c r="H1524" s="17"/>
    </row>
    <row r="1525" spans="1:8" ht="19.5" customHeight="1">
      <c r="A1525" s="86"/>
      <c r="B1525" s="86"/>
      <c r="C1525" s="22">
        <v>4300</v>
      </c>
      <c r="D1525" s="22" t="s">
        <v>815</v>
      </c>
      <c r="E1525" s="6"/>
      <c r="F1525" s="6"/>
      <c r="G1525" s="6">
        <v>100000</v>
      </c>
      <c r="H1525" s="6"/>
    </row>
    <row r="1526" spans="1:8" ht="19.5" customHeight="1">
      <c r="A1526" s="86"/>
      <c r="B1526" s="86"/>
      <c r="C1526" s="86"/>
      <c r="D1526" s="87" t="s">
        <v>841</v>
      </c>
      <c r="E1526" s="17"/>
      <c r="F1526" s="17"/>
      <c r="G1526" s="17">
        <f>G1531+G1533+G1535</f>
        <v>21655432</v>
      </c>
      <c r="H1526" s="17"/>
    </row>
    <row r="1527" spans="1:8" ht="19.5" customHeight="1">
      <c r="A1527" s="86"/>
      <c r="B1527" s="86"/>
      <c r="C1527" s="86"/>
      <c r="D1527" s="157" t="s">
        <v>132</v>
      </c>
      <c r="E1527" s="10"/>
      <c r="F1527" s="10"/>
      <c r="G1527" s="10">
        <v>4800000</v>
      </c>
      <c r="H1527" s="10"/>
    </row>
    <row r="1528" spans="1:8" ht="25.5">
      <c r="A1528" s="86"/>
      <c r="B1528" s="86"/>
      <c r="C1528" s="86"/>
      <c r="D1528" s="177" t="s">
        <v>135</v>
      </c>
      <c r="E1528" s="11"/>
      <c r="F1528" s="11"/>
      <c r="G1528" s="11">
        <v>1125883</v>
      </c>
      <c r="H1528" s="11"/>
    </row>
    <row r="1529" spans="1:8" ht="19.5" customHeight="1">
      <c r="A1529" s="86"/>
      <c r="B1529" s="86"/>
      <c r="C1529" s="86"/>
      <c r="D1529" s="177" t="s">
        <v>133</v>
      </c>
      <c r="E1529" s="11"/>
      <c r="F1529" s="11"/>
      <c r="G1529" s="11">
        <v>10000000</v>
      </c>
      <c r="H1529" s="11"/>
    </row>
    <row r="1530" spans="1:8" ht="18" customHeight="1">
      <c r="A1530" s="86"/>
      <c r="B1530" s="86"/>
      <c r="C1530" s="86"/>
      <c r="D1530" s="177" t="s">
        <v>136</v>
      </c>
      <c r="E1530" s="11"/>
      <c r="F1530" s="11"/>
      <c r="G1530" s="11">
        <v>1000000</v>
      </c>
      <c r="H1530" s="11"/>
    </row>
    <row r="1531" spans="1:8" ht="19.5" customHeight="1">
      <c r="A1531" s="86"/>
      <c r="B1531" s="86"/>
      <c r="C1531" s="22">
        <v>6050</v>
      </c>
      <c r="D1531" s="22" t="s">
        <v>746</v>
      </c>
      <c r="E1531" s="6"/>
      <c r="F1531" s="6"/>
      <c r="G1531" s="6">
        <f>SUM(G1527:G1530)</f>
        <v>16925883</v>
      </c>
      <c r="H1531" s="6"/>
    </row>
    <row r="1532" spans="1:8" ht="25.5">
      <c r="A1532" s="86"/>
      <c r="B1532" s="86"/>
      <c r="C1532" s="86"/>
      <c r="D1532" s="177" t="s">
        <v>135</v>
      </c>
      <c r="E1532" s="11"/>
      <c r="F1532" s="231"/>
      <c r="G1532" s="178">
        <v>3547162</v>
      </c>
      <c r="H1532" s="178"/>
    </row>
    <row r="1533" spans="1:8" ht="19.5" customHeight="1">
      <c r="A1533" s="86"/>
      <c r="B1533" s="86"/>
      <c r="C1533" s="22">
        <v>6058</v>
      </c>
      <c r="D1533" s="22" t="s">
        <v>746</v>
      </c>
      <c r="E1533" s="6"/>
      <c r="F1533" s="6"/>
      <c r="G1533" s="6">
        <f>G1532</f>
        <v>3547162</v>
      </c>
      <c r="H1533" s="6"/>
    </row>
    <row r="1534" spans="1:8" ht="25.5">
      <c r="A1534" s="86"/>
      <c r="B1534" s="86"/>
      <c r="C1534" s="86"/>
      <c r="D1534" s="179" t="s">
        <v>135</v>
      </c>
      <c r="E1534" s="11"/>
      <c r="F1534" s="231"/>
      <c r="G1534" s="180">
        <v>1182387</v>
      </c>
      <c r="H1534" s="180"/>
    </row>
    <row r="1535" spans="1:8" ht="19.5" customHeight="1">
      <c r="A1535" s="86"/>
      <c r="B1535" s="107"/>
      <c r="C1535" s="22">
        <v>6059</v>
      </c>
      <c r="D1535" s="22" t="s">
        <v>746</v>
      </c>
      <c r="E1535" s="6"/>
      <c r="F1535" s="6"/>
      <c r="G1535" s="6">
        <f>G1534</f>
        <v>1182387</v>
      </c>
      <c r="H1535" s="6"/>
    </row>
    <row r="1536" spans="1:8" ht="19.5" customHeight="1">
      <c r="A1536" s="86"/>
      <c r="B1536" s="13">
        <v>60015</v>
      </c>
      <c r="C1536" s="3"/>
      <c r="D1536" s="3" t="s">
        <v>1113</v>
      </c>
      <c r="E1536" s="4"/>
      <c r="F1536" s="4"/>
      <c r="G1536" s="4">
        <f>G1537</f>
        <v>44291551</v>
      </c>
      <c r="H1536" s="4"/>
    </row>
    <row r="1537" spans="1:8" s="1" customFormat="1" ht="19.5" customHeight="1">
      <c r="A1537" s="86"/>
      <c r="B1537" s="122"/>
      <c r="C1537" s="128"/>
      <c r="D1537" s="16" t="s">
        <v>872</v>
      </c>
      <c r="E1537" s="17"/>
      <c r="F1537" s="17"/>
      <c r="G1537" s="17">
        <f>G1538+G1539+G1540+G1543+G1562+G1564+G1566+G1570+G1574</f>
        <v>44291551</v>
      </c>
      <c r="H1537" s="17"/>
    </row>
    <row r="1538" spans="1:8" s="1" customFormat="1" ht="19.5" customHeight="1">
      <c r="A1538" s="86"/>
      <c r="B1538" s="18"/>
      <c r="C1538" s="22">
        <v>4260</v>
      </c>
      <c r="D1538" s="22" t="s">
        <v>752</v>
      </c>
      <c r="E1538" s="88"/>
      <c r="F1538" s="88"/>
      <c r="G1538" s="88">
        <v>300000</v>
      </c>
      <c r="H1538" s="88"/>
    </row>
    <row r="1539" spans="1:8" s="1" customFormat="1" ht="19.5" customHeight="1">
      <c r="A1539" s="86"/>
      <c r="B1539" s="18"/>
      <c r="C1539" s="18">
        <v>4300</v>
      </c>
      <c r="D1539" s="18" t="s">
        <v>815</v>
      </c>
      <c r="E1539" s="88"/>
      <c r="F1539" s="88"/>
      <c r="G1539" s="88">
        <f>7695000+400000</f>
        <v>8095000</v>
      </c>
      <c r="H1539" s="88"/>
    </row>
    <row r="1540" spans="1:8" s="1" customFormat="1" ht="19.5" customHeight="1">
      <c r="A1540" s="86"/>
      <c r="B1540" s="18"/>
      <c r="C1540" s="144">
        <v>4590</v>
      </c>
      <c r="D1540" s="252" t="s">
        <v>1003</v>
      </c>
      <c r="E1540" s="88"/>
      <c r="F1540" s="88"/>
      <c r="G1540" s="88">
        <v>5000</v>
      </c>
      <c r="H1540" s="88"/>
    </row>
    <row r="1541" spans="1:8" s="1" customFormat="1" ht="19.5" customHeight="1">
      <c r="A1541" s="86"/>
      <c r="B1541" s="86"/>
      <c r="C1541" s="18"/>
      <c r="D1541" s="251" t="s">
        <v>873</v>
      </c>
      <c r="E1541" s="10"/>
      <c r="F1541" s="10"/>
      <c r="G1541" s="10">
        <v>1500000</v>
      </c>
      <c r="H1541" s="10"/>
    </row>
    <row r="1542" spans="1:8" s="1" customFormat="1" ht="19.5" customHeight="1">
      <c r="A1542" s="86"/>
      <c r="B1542" s="86"/>
      <c r="C1542" s="18"/>
      <c r="D1542" s="241" t="s">
        <v>874</v>
      </c>
      <c r="E1542" s="11"/>
      <c r="F1542" s="11"/>
      <c r="G1542" s="11">
        <v>2000000</v>
      </c>
      <c r="H1542" s="11"/>
    </row>
    <row r="1543" spans="1:8" s="1" customFormat="1" ht="19.5" customHeight="1">
      <c r="A1543" s="107"/>
      <c r="B1543" s="107"/>
      <c r="C1543" s="22">
        <v>4270</v>
      </c>
      <c r="D1543" s="22" t="s">
        <v>753</v>
      </c>
      <c r="E1543" s="6"/>
      <c r="F1543" s="6"/>
      <c r="G1543" s="6">
        <f>SUM(G1541:G1542)</f>
        <v>3500000</v>
      </c>
      <c r="H1543" s="6"/>
    </row>
    <row r="1544" spans="1:8" ht="27.75" customHeight="1">
      <c r="A1544" s="86"/>
      <c r="B1544" s="86"/>
      <c r="C1544" s="86"/>
      <c r="D1544" s="341" t="s">
        <v>629</v>
      </c>
      <c r="E1544" s="231"/>
      <c r="F1544" s="231"/>
      <c r="G1544" s="250">
        <f>414090-370830</f>
        <v>43260</v>
      </c>
      <c r="H1544" s="250"/>
    </row>
    <row r="1545" spans="1:8" ht="25.5">
      <c r="A1545" s="86"/>
      <c r="B1545" s="86"/>
      <c r="C1545" s="86"/>
      <c r="D1545" s="341" t="s">
        <v>875</v>
      </c>
      <c r="E1545" s="231"/>
      <c r="F1545" s="231"/>
      <c r="G1545" s="250">
        <f>300000-276308</f>
        <v>23692</v>
      </c>
      <c r="H1545" s="250"/>
    </row>
    <row r="1546" spans="1:8" ht="25.5">
      <c r="A1546" s="86"/>
      <c r="B1546" s="86"/>
      <c r="C1546" s="86"/>
      <c r="D1546" s="368" t="s">
        <v>295</v>
      </c>
      <c r="E1546" s="11"/>
      <c r="F1546" s="11"/>
      <c r="G1546" s="296">
        <f>370000-250971</f>
        <v>119029</v>
      </c>
      <c r="H1546" s="296"/>
    </row>
    <row r="1547" spans="1:8" ht="25.5">
      <c r="A1547" s="86"/>
      <c r="B1547" s="86"/>
      <c r="C1547" s="86"/>
      <c r="D1547" s="340" t="s">
        <v>296</v>
      </c>
      <c r="E1547" s="11"/>
      <c r="F1547" s="11"/>
      <c r="G1547" s="11">
        <v>2239735</v>
      </c>
      <c r="H1547" s="11"/>
    </row>
    <row r="1548" spans="1:8" ht="18.75" customHeight="1">
      <c r="A1548" s="86"/>
      <c r="B1548" s="86"/>
      <c r="C1548" s="86"/>
      <c r="D1548" s="341" t="s">
        <v>592</v>
      </c>
      <c r="E1548" s="11"/>
      <c r="F1548" s="11"/>
      <c r="G1548" s="11">
        <v>50000</v>
      </c>
      <c r="H1548" s="11"/>
    </row>
    <row r="1549" spans="1:8" ht="12.75">
      <c r="A1549" s="86"/>
      <c r="B1549" s="86"/>
      <c r="C1549" s="86"/>
      <c r="D1549" s="340" t="s">
        <v>593</v>
      </c>
      <c r="E1549" s="11"/>
      <c r="F1549" s="11"/>
      <c r="G1549" s="11">
        <v>10000</v>
      </c>
      <c r="H1549" s="11"/>
    </row>
    <row r="1550" spans="1:8" ht="25.5">
      <c r="A1550" s="86"/>
      <c r="B1550" s="86"/>
      <c r="C1550" s="86"/>
      <c r="D1550" s="340" t="s">
        <v>594</v>
      </c>
      <c r="E1550" s="11"/>
      <c r="F1550" s="11"/>
      <c r="G1550" s="11">
        <v>30000</v>
      </c>
      <c r="H1550" s="11"/>
    </row>
    <row r="1551" spans="1:8" ht="18" customHeight="1">
      <c r="A1551" s="86"/>
      <c r="B1551" s="86"/>
      <c r="C1551" s="86"/>
      <c r="D1551" s="340" t="s">
        <v>220</v>
      </c>
      <c r="E1551" s="11"/>
      <c r="F1551" s="11"/>
      <c r="G1551" s="11">
        <v>30000</v>
      </c>
      <c r="H1551" s="11"/>
    </row>
    <row r="1552" spans="1:8" ht="18.75" customHeight="1">
      <c r="A1552" s="86"/>
      <c r="B1552" s="86"/>
      <c r="C1552" s="86"/>
      <c r="D1552" s="340" t="s">
        <v>597</v>
      </c>
      <c r="E1552" s="11"/>
      <c r="F1552" s="11"/>
      <c r="G1552" s="11">
        <v>500000</v>
      </c>
      <c r="H1552" s="11"/>
    </row>
    <row r="1553" spans="1:8" ht="18.75" customHeight="1">
      <c r="A1553" s="86"/>
      <c r="B1553" s="86"/>
      <c r="C1553" s="86"/>
      <c r="D1553" s="332" t="s">
        <v>1031</v>
      </c>
      <c r="E1553" s="11"/>
      <c r="F1553" s="11"/>
      <c r="G1553" s="11">
        <v>2500000</v>
      </c>
      <c r="H1553" s="11"/>
    </row>
    <row r="1554" spans="1:8" ht="18.75" customHeight="1">
      <c r="A1554" s="86"/>
      <c r="B1554" s="86"/>
      <c r="C1554" s="86"/>
      <c r="D1554" s="332" t="s">
        <v>1032</v>
      </c>
      <c r="E1554" s="11"/>
      <c r="F1554" s="11"/>
      <c r="G1554" s="11">
        <v>1000000</v>
      </c>
      <c r="H1554" s="11"/>
    </row>
    <row r="1555" spans="1:8" ht="18.75" customHeight="1">
      <c r="A1555" s="86"/>
      <c r="B1555" s="86"/>
      <c r="C1555" s="86"/>
      <c r="D1555" s="332" t="s">
        <v>420</v>
      </c>
      <c r="E1555" s="11"/>
      <c r="F1555" s="11"/>
      <c r="G1555" s="11">
        <v>400000</v>
      </c>
      <c r="H1555" s="11"/>
    </row>
    <row r="1556" spans="1:8" ht="38.25">
      <c r="A1556" s="86"/>
      <c r="B1556" s="86"/>
      <c r="C1556" s="86"/>
      <c r="D1556" s="332" t="s">
        <v>502</v>
      </c>
      <c r="E1556" s="11"/>
      <c r="F1556" s="11"/>
      <c r="G1556" s="11">
        <v>1500000</v>
      </c>
      <c r="H1556" s="11"/>
    </row>
    <row r="1557" spans="1:8" ht="25.5">
      <c r="A1557" s="86"/>
      <c r="B1557" s="86"/>
      <c r="C1557" s="86"/>
      <c r="D1557" s="332" t="s">
        <v>503</v>
      </c>
      <c r="E1557" s="11"/>
      <c r="F1557" s="11"/>
      <c r="G1557" s="11">
        <v>700000</v>
      </c>
      <c r="H1557" s="11"/>
    </row>
    <row r="1558" spans="1:8" ht="38.25">
      <c r="A1558" s="86"/>
      <c r="B1558" s="86"/>
      <c r="C1558" s="86"/>
      <c r="D1558" s="340" t="s">
        <v>504</v>
      </c>
      <c r="E1558" s="11"/>
      <c r="F1558" s="11"/>
      <c r="G1558" s="11">
        <v>200000</v>
      </c>
      <c r="H1558" s="11"/>
    </row>
    <row r="1559" spans="1:8" ht="18.75" customHeight="1">
      <c r="A1559" s="86"/>
      <c r="B1559" s="86"/>
      <c r="C1559" s="86"/>
      <c r="D1559" s="332" t="s">
        <v>506</v>
      </c>
      <c r="E1559" s="230"/>
      <c r="F1559" s="230"/>
      <c r="G1559" s="230">
        <f>1389000-34000</f>
        <v>1355000</v>
      </c>
      <c r="H1559" s="230"/>
    </row>
    <row r="1560" spans="1:8" ht="18" customHeight="1">
      <c r="A1560" s="86"/>
      <c r="B1560" s="86"/>
      <c r="C1560" s="86"/>
      <c r="D1560" s="332" t="s">
        <v>507</v>
      </c>
      <c r="E1560" s="230"/>
      <c r="F1560" s="230"/>
      <c r="G1560" s="230">
        <v>775000</v>
      </c>
      <c r="H1560" s="230"/>
    </row>
    <row r="1561" spans="1:8" ht="18.75" customHeight="1">
      <c r="A1561" s="86"/>
      <c r="B1561" s="86"/>
      <c r="C1561" s="86"/>
      <c r="D1561" s="332" t="s">
        <v>508</v>
      </c>
      <c r="E1561" s="230"/>
      <c r="F1561" s="230"/>
      <c r="G1561" s="230">
        <v>400000</v>
      </c>
      <c r="H1561" s="230"/>
    </row>
    <row r="1562" spans="1:8" ht="18.75" customHeight="1">
      <c r="A1562" s="86"/>
      <c r="B1562" s="86"/>
      <c r="C1562" s="22">
        <v>6050</v>
      </c>
      <c r="D1562" s="227" t="s">
        <v>746</v>
      </c>
      <c r="E1562" s="228"/>
      <c r="F1562" s="228"/>
      <c r="G1562" s="228">
        <f>SUM(G1544:G1561)</f>
        <v>11875716</v>
      </c>
      <c r="H1562" s="228"/>
    </row>
    <row r="1563" spans="1:8" ht="18.75" customHeight="1">
      <c r="A1563" s="86"/>
      <c r="B1563" s="86"/>
      <c r="C1563" s="170"/>
      <c r="D1563" s="332" t="s">
        <v>1030</v>
      </c>
      <c r="E1563" s="11"/>
      <c r="F1563" s="231"/>
      <c r="G1563" s="178">
        <v>1544500</v>
      </c>
      <c r="H1563" s="178"/>
    </row>
    <row r="1564" spans="1:8" ht="18.75" customHeight="1">
      <c r="A1564" s="86"/>
      <c r="B1564" s="86"/>
      <c r="C1564" s="181">
        <v>6053</v>
      </c>
      <c r="D1564" s="189" t="s">
        <v>746</v>
      </c>
      <c r="E1564" s="6"/>
      <c r="F1564" s="6"/>
      <c r="G1564" s="6">
        <f>G1563</f>
        <v>1544500</v>
      </c>
      <c r="H1564" s="6"/>
    </row>
    <row r="1565" spans="1:8" ht="18.75" customHeight="1">
      <c r="A1565" s="86"/>
      <c r="B1565" s="86"/>
      <c r="C1565" s="170"/>
      <c r="D1565" s="332" t="s">
        <v>1030</v>
      </c>
      <c r="E1565" s="11"/>
      <c r="F1565" s="231"/>
      <c r="G1565" s="180">
        <f>2611000+34000</f>
        <v>2645000</v>
      </c>
      <c r="H1565" s="180"/>
    </row>
    <row r="1566" spans="1:8" ht="18.75" customHeight="1">
      <c r="A1566" s="86"/>
      <c r="B1566" s="86"/>
      <c r="C1566" s="181">
        <v>6054</v>
      </c>
      <c r="D1566" s="189" t="s">
        <v>746</v>
      </c>
      <c r="E1566" s="6"/>
      <c r="F1566" s="6"/>
      <c r="G1566" s="6">
        <f>G1565</f>
        <v>2645000</v>
      </c>
      <c r="H1566" s="6"/>
    </row>
    <row r="1567" spans="1:8" ht="27.75" customHeight="1">
      <c r="A1567" s="86"/>
      <c r="B1567" s="86"/>
      <c r="C1567" s="128"/>
      <c r="D1567" s="418" t="s">
        <v>629</v>
      </c>
      <c r="E1567" s="11"/>
      <c r="F1567" s="231"/>
      <c r="G1567" s="180">
        <f>3199201-32446</f>
        <v>3166755</v>
      </c>
      <c r="H1567" s="180"/>
    </row>
    <row r="1568" spans="1:8" ht="25.5">
      <c r="A1568" s="107"/>
      <c r="B1568" s="107"/>
      <c r="C1568" s="22"/>
      <c r="D1568" s="1044" t="s">
        <v>875</v>
      </c>
      <c r="E1568" s="228"/>
      <c r="F1568" s="228"/>
      <c r="G1568" s="228">
        <v>4882255</v>
      </c>
      <c r="H1568" s="228"/>
    </row>
    <row r="1569" spans="1:8" ht="25.5">
      <c r="A1569" s="86"/>
      <c r="B1569" s="86"/>
      <c r="C1569" s="18"/>
      <c r="D1569" s="341" t="s">
        <v>295</v>
      </c>
      <c r="E1569" s="231"/>
      <c r="F1569" s="279"/>
      <c r="G1569" s="233">
        <f>3489755+2943</f>
        <v>3492698</v>
      </c>
      <c r="H1569" s="233"/>
    </row>
    <row r="1570" spans="1:8" ht="19.5" customHeight="1">
      <c r="A1570" s="86"/>
      <c r="B1570" s="86"/>
      <c r="C1570" s="22">
        <v>6058</v>
      </c>
      <c r="D1570" s="227" t="s">
        <v>746</v>
      </c>
      <c r="E1570" s="228"/>
      <c r="F1570" s="228"/>
      <c r="G1570" s="228">
        <f>SUM(G1567:G1569)</f>
        <v>11541708</v>
      </c>
      <c r="H1570" s="228"/>
    </row>
    <row r="1571" spans="1:8" ht="27.75" customHeight="1">
      <c r="A1571" s="86"/>
      <c r="B1571" s="86"/>
      <c r="C1571" s="18"/>
      <c r="D1571" s="341" t="s">
        <v>789</v>
      </c>
      <c r="E1571" s="231"/>
      <c r="F1571" s="231"/>
      <c r="G1571" s="250">
        <f>1066399+403276</f>
        <v>1469675</v>
      </c>
      <c r="H1571" s="250"/>
    </row>
    <row r="1572" spans="1:8" ht="25.5">
      <c r="A1572" s="86"/>
      <c r="B1572" s="86"/>
      <c r="C1572" s="18"/>
      <c r="D1572" s="340" t="s">
        <v>875</v>
      </c>
      <c r="E1572" s="11"/>
      <c r="F1572" s="11"/>
      <c r="G1572" s="296">
        <f>1627364+276308</f>
        <v>1903672</v>
      </c>
      <c r="H1572" s="296"/>
    </row>
    <row r="1573" spans="1:8" ht="25.5">
      <c r="A1573" s="86"/>
      <c r="B1573" s="86"/>
      <c r="C1573" s="18"/>
      <c r="D1573" s="340" t="s">
        <v>295</v>
      </c>
      <c r="E1573" s="11"/>
      <c r="F1573" s="279"/>
      <c r="G1573" s="233">
        <f>1163252+248028</f>
        <v>1411280</v>
      </c>
      <c r="H1573" s="233"/>
    </row>
    <row r="1574" spans="1:8" ht="19.5" customHeight="1">
      <c r="A1574" s="86"/>
      <c r="B1574" s="107"/>
      <c r="C1574" s="22">
        <v>6059</v>
      </c>
      <c r="D1574" s="227" t="s">
        <v>746</v>
      </c>
      <c r="E1574" s="228"/>
      <c r="F1574" s="228"/>
      <c r="G1574" s="228">
        <f>SUM(G1571:G1573)</f>
        <v>4784627</v>
      </c>
      <c r="H1574" s="228"/>
    </row>
    <row r="1575" spans="1:8" ht="19.5" customHeight="1">
      <c r="A1575" s="86"/>
      <c r="B1575" s="3">
        <v>60016</v>
      </c>
      <c r="C1575" s="3"/>
      <c r="D1575" s="3" t="s">
        <v>1114</v>
      </c>
      <c r="E1575" s="4"/>
      <c r="F1575" s="4"/>
      <c r="G1575" s="70">
        <f>G1576</f>
        <v>6400000</v>
      </c>
      <c r="H1575" s="70"/>
    </row>
    <row r="1576" spans="1:8" ht="19.5" customHeight="1">
      <c r="A1576" s="86"/>
      <c r="B1576" s="122"/>
      <c r="C1576" s="128"/>
      <c r="D1576" s="16" t="s">
        <v>509</v>
      </c>
      <c r="E1576" s="17"/>
      <c r="F1576" s="17"/>
      <c r="G1576" s="17">
        <f>G1577+G1578+G1579+G1581+G1585</f>
        <v>6400000</v>
      </c>
      <c r="H1576" s="17"/>
    </row>
    <row r="1577" spans="1:8" ht="19.5" customHeight="1">
      <c r="A1577" s="86"/>
      <c r="B1577" s="18"/>
      <c r="C1577" s="22">
        <v>4260</v>
      </c>
      <c r="D1577" s="22" t="s">
        <v>752</v>
      </c>
      <c r="E1577" s="6"/>
      <c r="F1577" s="6"/>
      <c r="G1577" s="88">
        <v>6000</v>
      </c>
      <c r="H1577" s="88"/>
    </row>
    <row r="1578" spans="1:8" ht="19.5" customHeight="1">
      <c r="A1578" s="86"/>
      <c r="B1578" s="18"/>
      <c r="C1578" s="18">
        <v>4300</v>
      </c>
      <c r="D1578" s="18" t="s">
        <v>815</v>
      </c>
      <c r="E1578" s="65"/>
      <c r="F1578" s="6"/>
      <c r="G1578" s="88">
        <f>3139000+500000</f>
        <v>3639000</v>
      </c>
      <c r="H1578" s="88"/>
    </row>
    <row r="1579" spans="1:8" ht="19.5" customHeight="1">
      <c r="A1579" s="86"/>
      <c r="B1579" s="18"/>
      <c r="C1579" s="144">
        <v>4590</v>
      </c>
      <c r="D1579" s="252" t="s">
        <v>1003</v>
      </c>
      <c r="E1579" s="65"/>
      <c r="F1579" s="6"/>
      <c r="G1579" s="88">
        <v>5000</v>
      </c>
      <c r="H1579" s="88"/>
    </row>
    <row r="1580" spans="1:8" ht="17.25" customHeight="1">
      <c r="A1580" s="86"/>
      <c r="B1580" s="86"/>
      <c r="C1580" s="18"/>
      <c r="D1580" s="251" t="s">
        <v>873</v>
      </c>
      <c r="E1580" s="11"/>
      <c r="F1580" s="231"/>
      <c r="G1580" s="10">
        <f>G1581</f>
        <v>1500000</v>
      </c>
      <c r="H1580" s="10"/>
    </row>
    <row r="1581" spans="1:8" ht="19.5" customHeight="1">
      <c r="A1581" s="86"/>
      <c r="B1581" s="86"/>
      <c r="C1581" s="22">
        <v>4270</v>
      </c>
      <c r="D1581" s="22" t="s">
        <v>753</v>
      </c>
      <c r="E1581" s="6"/>
      <c r="F1581" s="6"/>
      <c r="G1581" s="6">
        <v>1500000</v>
      </c>
      <c r="H1581" s="6"/>
    </row>
    <row r="1582" spans="1:8" ht="17.25" customHeight="1">
      <c r="A1582" s="86"/>
      <c r="B1582" s="86"/>
      <c r="C1582" s="86"/>
      <c r="D1582" s="331" t="s">
        <v>1056</v>
      </c>
      <c r="E1582" s="11"/>
      <c r="F1582" s="11"/>
      <c r="G1582" s="11">
        <v>800000</v>
      </c>
      <c r="H1582" s="11"/>
    </row>
    <row r="1583" spans="1:8" ht="16.5" customHeight="1">
      <c r="A1583" s="86"/>
      <c r="B1583" s="86"/>
      <c r="C1583" s="86"/>
      <c r="D1583" s="294" t="s">
        <v>1058</v>
      </c>
      <c r="E1583" s="231"/>
      <c r="F1583" s="231"/>
      <c r="G1583" s="231">
        <v>200000</v>
      </c>
      <c r="H1583" s="231"/>
    </row>
    <row r="1584" spans="1:8" ht="15.75" customHeight="1">
      <c r="A1584" s="86"/>
      <c r="B1584" s="86"/>
      <c r="C1584" s="86"/>
      <c r="D1584" s="331" t="s">
        <v>1059</v>
      </c>
      <c r="E1584" s="231"/>
      <c r="F1584" s="231"/>
      <c r="G1584" s="231">
        <v>250000</v>
      </c>
      <c r="H1584" s="231"/>
    </row>
    <row r="1585" spans="1:8" ht="15.75" customHeight="1">
      <c r="A1585" s="86"/>
      <c r="B1585" s="107"/>
      <c r="C1585" s="22">
        <v>6050</v>
      </c>
      <c r="D1585" s="22" t="s">
        <v>746</v>
      </c>
      <c r="E1585" s="6"/>
      <c r="F1585" s="6"/>
      <c r="G1585" s="6">
        <f>SUM(G1582:G1584)</f>
        <v>1250000</v>
      </c>
      <c r="H1585" s="6"/>
    </row>
    <row r="1586" spans="1:8" ht="19.5" customHeight="1">
      <c r="A1586" s="86"/>
      <c r="B1586" s="3">
        <v>60017</v>
      </c>
      <c r="C1586" s="3"/>
      <c r="D1586" s="3" t="s">
        <v>481</v>
      </c>
      <c r="E1586" s="4"/>
      <c r="F1586" s="4"/>
      <c r="G1586" s="4">
        <f>G1587</f>
        <v>1410000</v>
      </c>
      <c r="H1586" s="4"/>
    </row>
    <row r="1587" spans="1:8" ht="19.5" customHeight="1">
      <c r="A1587" s="86"/>
      <c r="B1587" s="122"/>
      <c r="C1587" s="128"/>
      <c r="D1587" s="16" t="s">
        <v>1083</v>
      </c>
      <c r="E1587" s="17"/>
      <c r="F1587" s="17"/>
      <c r="G1587" s="17">
        <f>G1588+G1590+G1592</f>
        <v>1410000</v>
      </c>
      <c r="H1587" s="17"/>
    </row>
    <row r="1588" spans="1:8" ht="19.5" customHeight="1">
      <c r="A1588" s="86"/>
      <c r="B1588" s="18"/>
      <c r="C1588" s="22">
        <v>4300</v>
      </c>
      <c r="D1588" s="22" t="s">
        <v>815</v>
      </c>
      <c r="E1588" s="6"/>
      <c r="F1588" s="6"/>
      <c r="G1588" s="88">
        <v>750000</v>
      </c>
      <c r="H1588" s="88"/>
    </row>
    <row r="1589" spans="1:8" ht="18.75" customHeight="1">
      <c r="A1589" s="86"/>
      <c r="B1589" s="277"/>
      <c r="C1589" s="170"/>
      <c r="D1589" s="226" t="s">
        <v>873</v>
      </c>
      <c r="E1589" s="223"/>
      <c r="F1589" s="223"/>
      <c r="G1589" s="223">
        <v>400000</v>
      </c>
      <c r="H1589" s="223"/>
    </row>
    <row r="1590" spans="1:8" ht="18.75" customHeight="1">
      <c r="A1590" s="86"/>
      <c r="B1590" s="277"/>
      <c r="C1590" s="181">
        <v>4270</v>
      </c>
      <c r="D1590" s="181" t="s">
        <v>753</v>
      </c>
      <c r="E1590" s="176"/>
      <c r="F1590" s="176"/>
      <c r="G1590" s="176">
        <f>G1589</f>
        <v>400000</v>
      </c>
      <c r="H1590" s="176"/>
    </row>
    <row r="1591" spans="1:8" ht="18.75" customHeight="1">
      <c r="A1591" s="86"/>
      <c r="B1591" s="277"/>
      <c r="C1591" s="170"/>
      <c r="D1591" s="323" t="s">
        <v>766</v>
      </c>
      <c r="E1591" s="233"/>
      <c r="F1591" s="233"/>
      <c r="G1591" s="233">
        <v>260000</v>
      </c>
      <c r="H1591" s="233"/>
    </row>
    <row r="1592" spans="1:8" ht="18.75" customHeight="1">
      <c r="A1592" s="107"/>
      <c r="B1592" s="291"/>
      <c r="C1592" s="181">
        <v>6050</v>
      </c>
      <c r="D1592" s="306" t="s">
        <v>746</v>
      </c>
      <c r="E1592" s="234"/>
      <c r="F1592" s="234"/>
      <c r="G1592" s="234">
        <f>G1591</f>
        <v>260000</v>
      </c>
      <c r="H1592" s="234"/>
    </row>
    <row r="1593" spans="1:8" ht="19.5" customHeight="1" thickBot="1">
      <c r="A1593" s="394">
        <v>630</v>
      </c>
      <c r="B1593" s="394"/>
      <c r="C1593" s="394"/>
      <c r="D1593" s="394" t="s">
        <v>430</v>
      </c>
      <c r="E1593" s="377"/>
      <c r="F1593" s="377"/>
      <c r="G1593" s="377">
        <f>G1594</f>
        <v>100000</v>
      </c>
      <c r="H1593" s="377"/>
    </row>
    <row r="1594" spans="1:8" ht="19.5" customHeight="1">
      <c r="A1594" s="2"/>
      <c r="B1594" s="3">
        <v>63003</v>
      </c>
      <c r="C1594" s="3"/>
      <c r="D1594" s="67" t="s">
        <v>432</v>
      </c>
      <c r="E1594" s="4"/>
      <c r="F1594" s="4"/>
      <c r="G1594" s="4">
        <f>G1595</f>
        <v>100000</v>
      </c>
      <c r="H1594" s="4"/>
    </row>
    <row r="1595" spans="1:8" ht="18.75" customHeight="1">
      <c r="A1595" s="86"/>
      <c r="B1595" s="122"/>
      <c r="C1595" s="254"/>
      <c r="D1595" s="186" t="s">
        <v>1060</v>
      </c>
      <c r="E1595" s="17"/>
      <c r="F1595" s="17"/>
      <c r="G1595" s="17">
        <f>G1596</f>
        <v>100000</v>
      </c>
      <c r="H1595" s="17"/>
    </row>
    <row r="1596" spans="1:8" s="1" customFormat="1" ht="18.75" customHeight="1">
      <c r="A1596" s="107"/>
      <c r="B1596" s="107"/>
      <c r="C1596" s="22">
        <v>4300</v>
      </c>
      <c r="D1596" s="20" t="s">
        <v>815</v>
      </c>
      <c r="E1596" s="88"/>
      <c r="F1596" s="88"/>
      <c r="G1596" s="88">
        <v>100000</v>
      </c>
      <c r="H1596" s="88"/>
    </row>
    <row r="1597" spans="1:8" s="1" customFormat="1" ht="19.5" customHeight="1" thickBot="1">
      <c r="A1597" s="394">
        <v>710</v>
      </c>
      <c r="B1597" s="394"/>
      <c r="C1597" s="394"/>
      <c r="D1597" s="394" t="s">
        <v>436</v>
      </c>
      <c r="E1597" s="377"/>
      <c r="F1597" s="377"/>
      <c r="G1597" s="377">
        <f>G1598</f>
        <v>800000</v>
      </c>
      <c r="H1597" s="377"/>
    </row>
    <row r="1598" spans="1:8" ht="19.5" customHeight="1">
      <c r="A1598" s="2"/>
      <c r="B1598" s="3">
        <v>71035</v>
      </c>
      <c r="C1598" s="3"/>
      <c r="D1598" s="3" t="s">
        <v>191</v>
      </c>
      <c r="E1598" s="4"/>
      <c r="F1598" s="4"/>
      <c r="G1598" s="4">
        <f>G1599</f>
        <v>800000</v>
      </c>
      <c r="H1598" s="4"/>
    </row>
    <row r="1599" spans="1:8" ht="18.75" customHeight="1">
      <c r="A1599" s="86"/>
      <c r="B1599" s="122"/>
      <c r="C1599" s="254"/>
      <c r="D1599" s="603" t="s">
        <v>700</v>
      </c>
      <c r="E1599" s="17"/>
      <c r="F1599" s="17"/>
      <c r="G1599" s="17">
        <f>G1601</f>
        <v>800000</v>
      </c>
      <c r="H1599" s="17"/>
    </row>
    <row r="1600" spans="1:8" ht="18.75" customHeight="1">
      <c r="A1600" s="86"/>
      <c r="B1600" s="86"/>
      <c r="C1600" s="170"/>
      <c r="D1600" s="339" t="s">
        <v>170</v>
      </c>
      <c r="E1600" s="10"/>
      <c r="F1600" s="10"/>
      <c r="G1600" s="10">
        <v>800000</v>
      </c>
      <c r="H1600" s="10"/>
    </row>
    <row r="1601" spans="1:8" ht="18.75" customHeight="1">
      <c r="A1601" s="86"/>
      <c r="B1601" s="86"/>
      <c r="C1601" s="181">
        <v>6050</v>
      </c>
      <c r="D1601" s="189" t="s">
        <v>746</v>
      </c>
      <c r="E1601" s="6"/>
      <c r="F1601" s="6"/>
      <c r="G1601" s="6">
        <f>G1600</f>
        <v>800000</v>
      </c>
      <c r="H1601" s="6"/>
    </row>
    <row r="1602" spans="1:8" s="1" customFormat="1" ht="19.5" customHeight="1" thickBot="1">
      <c r="A1602" s="394">
        <v>900</v>
      </c>
      <c r="B1602" s="394"/>
      <c r="C1602" s="394"/>
      <c r="D1602" s="394" t="s">
        <v>1109</v>
      </c>
      <c r="E1602" s="377"/>
      <c r="F1602" s="377"/>
      <c r="G1602" s="377">
        <f>G1603+G1612+G1616+G1620+G1626</f>
        <v>3619000</v>
      </c>
      <c r="H1602" s="377"/>
    </row>
    <row r="1603" spans="1:8" s="1" customFormat="1" ht="19.5" customHeight="1">
      <c r="A1603" s="2"/>
      <c r="B1603" s="3">
        <v>90001</v>
      </c>
      <c r="C1603" s="3"/>
      <c r="D1603" s="3" t="s">
        <v>1110</v>
      </c>
      <c r="E1603" s="4"/>
      <c r="F1603" s="4"/>
      <c r="G1603" s="4">
        <f>G1604+G1607</f>
        <v>665000</v>
      </c>
      <c r="H1603" s="4"/>
    </row>
    <row r="1604" spans="1:8" ht="18.75" customHeight="1">
      <c r="A1604" s="86"/>
      <c r="B1604" s="86"/>
      <c r="C1604" s="18"/>
      <c r="D1604" s="16" t="s">
        <v>294</v>
      </c>
      <c r="E1604" s="17"/>
      <c r="F1604" s="17"/>
      <c r="G1604" s="17">
        <f>G1606</f>
        <v>500000</v>
      </c>
      <c r="H1604" s="17"/>
    </row>
    <row r="1605" spans="1:8" ht="18.75" customHeight="1">
      <c r="A1605" s="86"/>
      <c r="B1605" s="86"/>
      <c r="C1605" s="18"/>
      <c r="D1605" s="253" t="s">
        <v>167</v>
      </c>
      <c r="E1605" s="10"/>
      <c r="F1605" s="10"/>
      <c r="G1605" s="10">
        <v>500000</v>
      </c>
      <c r="H1605" s="10"/>
    </row>
    <row r="1606" spans="1:8" ht="16.5" customHeight="1">
      <c r="A1606" s="86"/>
      <c r="B1606" s="86"/>
      <c r="C1606" s="18">
        <v>4270</v>
      </c>
      <c r="D1606" s="318" t="s">
        <v>98</v>
      </c>
      <c r="E1606" s="228"/>
      <c r="F1606" s="228"/>
      <c r="G1606" s="228">
        <f>G1605</f>
        <v>500000</v>
      </c>
      <c r="H1606" s="228"/>
    </row>
    <row r="1607" spans="1:8" s="1" customFormat="1" ht="16.5" customHeight="1">
      <c r="A1607" s="86"/>
      <c r="B1607" s="86"/>
      <c r="C1607" s="122"/>
      <c r="D1607" s="87" t="s">
        <v>841</v>
      </c>
      <c r="E1607" s="66"/>
      <c r="F1607" s="66"/>
      <c r="G1607" s="66">
        <f>G1611</f>
        <v>165000</v>
      </c>
      <c r="H1607" s="66"/>
    </row>
    <row r="1608" spans="1:8" s="1" customFormat="1" ht="27" customHeight="1">
      <c r="A1608" s="86"/>
      <c r="B1608" s="86"/>
      <c r="C1608" s="86"/>
      <c r="D1608" s="318" t="s">
        <v>0</v>
      </c>
      <c r="E1608" s="295"/>
      <c r="F1608" s="279"/>
      <c r="G1608" s="230">
        <v>65000</v>
      </c>
      <c r="H1608" s="230"/>
    </row>
    <row r="1609" spans="1:8" s="1" customFormat="1" ht="19.5" customHeight="1">
      <c r="A1609" s="86"/>
      <c r="B1609" s="86"/>
      <c r="C1609" s="86"/>
      <c r="D1609" s="331" t="s">
        <v>195</v>
      </c>
      <c r="E1609" s="11"/>
      <c r="F1609" s="11"/>
      <c r="G1609" s="11">
        <v>20000</v>
      </c>
      <c r="H1609" s="11"/>
    </row>
    <row r="1610" spans="1:8" s="1" customFormat="1" ht="19.5" customHeight="1">
      <c r="A1610" s="86"/>
      <c r="B1610" s="86"/>
      <c r="C1610" s="18"/>
      <c r="D1610" s="331" t="s">
        <v>526</v>
      </c>
      <c r="E1610" s="231"/>
      <c r="F1610" s="231"/>
      <c r="G1610" s="11">
        <v>80000</v>
      </c>
      <c r="H1610" s="11"/>
    </row>
    <row r="1611" spans="1:8" s="1" customFormat="1" ht="19.5" customHeight="1">
      <c r="A1611" s="86"/>
      <c r="B1611" s="107"/>
      <c r="C1611" s="22">
        <v>6050</v>
      </c>
      <c r="D1611" s="20" t="s">
        <v>746</v>
      </c>
      <c r="E1611" s="6"/>
      <c r="F1611" s="6"/>
      <c r="G1611" s="6">
        <f>SUM(G1608:G1610)</f>
        <v>165000</v>
      </c>
      <c r="H1611" s="6"/>
    </row>
    <row r="1612" spans="1:8" ht="16.5" customHeight="1">
      <c r="A1612" s="2"/>
      <c r="B1612" s="3">
        <v>90003</v>
      </c>
      <c r="C1612" s="45"/>
      <c r="D1612" s="67" t="s">
        <v>1111</v>
      </c>
      <c r="E1612" s="4"/>
      <c r="F1612" s="4"/>
      <c r="G1612" s="4">
        <f>G1613</f>
        <v>294000</v>
      </c>
      <c r="H1612" s="4"/>
    </row>
    <row r="1613" spans="1:8" ht="19.5" customHeight="1">
      <c r="A1613" s="86"/>
      <c r="B1613" s="86"/>
      <c r="C1613" s="18"/>
      <c r="D1613" s="16" t="s">
        <v>196</v>
      </c>
      <c r="E1613" s="17"/>
      <c r="F1613" s="17"/>
      <c r="G1613" s="17">
        <f>G1614+G1615</f>
        <v>294000</v>
      </c>
      <c r="H1613" s="17"/>
    </row>
    <row r="1614" spans="1:8" ht="19.5" customHeight="1">
      <c r="A1614" s="18"/>
      <c r="B1614" s="18"/>
      <c r="C1614" s="22">
        <v>4300</v>
      </c>
      <c r="D1614" s="20" t="s">
        <v>815</v>
      </c>
      <c r="E1614" s="6"/>
      <c r="F1614" s="6"/>
      <c r="G1614" s="6">
        <v>204000</v>
      </c>
      <c r="H1614" s="6"/>
    </row>
    <row r="1615" spans="1:8" ht="19.5" customHeight="1">
      <c r="A1615" s="86"/>
      <c r="B1615" s="86"/>
      <c r="C1615" s="22">
        <v>6060</v>
      </c>
      <c r="D1615" s="20" t="s">
        <v>685</v>
      </c>
      <c r="E1615" s="61"/>
      <c r="F1615" s="61"/>
      <c r="G1615" s="6">
        <v>90000</v>
      </c>
      <c r="H1615" s="6"/>
    </row>
    <row r="1616" spans="1:8" s="1" customFormat="1" ht="17.25" customHeight="1">
      <c r="A1616" s="2"/>
      <c r="B1616" s="13">
        <v>90004</v>
      </c>
      <c r="C1616" s="45"/>
      <c r="D1616" s="67" t="s">
        <v>1000</v>
      </c>
      <c r="E1616" s="4"/>
      <c r="F1616" s="4"/>
      <c r="G1616" s="4">
        <f>G1617</f>
        <v>1000000</v>
      </c>
      <c r="H1616" s="4"/>
    </row>
    <row r="1617" spans="1:8" s="1" customFormat="1" ht="19.5" customHeight="1">
      <c r="A1617" s="86"/>
      <c r="B1617" s="86"/>
      <c r="C1617" s="18"/>
      <c r="D1617" s="93" t="s">
        <v>451</v>
      </c>
      <c r="E1617" s="66"/>
      <c r="F1617" s="66"/>
      <c r="G1617" s="66">
        <f>G1619</f>
        <v>1000000</v>
      </c>
      <c r="H1617" s="66"/>
    </row>
    <row r="1618" spans="1:8" s="1" customFormat="1" ht="19.5" customHeight="1">
      <c r="A1618" s="86"/>
      <c r="B1618" s="86"/>
      <c r="C1618" s="18"/>
      <c r="D1618" s="419" t="s">
        <v>197</v>
      </c>
      <c r="E1618" s="10"/>
      <c r="F1618" s="10"/>
      <c r="G1618" s="10">
        <v>1000000</v>
      </c>
      <c r="H1618" s="10"/>
    </row>
    <row r="1619" spans="1:8" s="1" customFormat="1" ht="19.5" customHeight="1">
      <c r="A1619" s="86"/>
      <c r="B1619" s="107"/>
      <c r="C1619" s="22">
        <v>6050</v>
      </c>
      <c r="D1619" s="20" t="s">
        <v>746</v>
      </c>
      <c r="E1619" s="6"/>
      <c r="F1619" s="6"/>
      <c r="G1619" s="6">
        <f>G1618</f>
        <v>1000000</v>
      </c>
      <c r="H1619" s="6"/>
    </row>
    <row r="1620" spans="1:8" s="1" customFormat="1" ht="17.25" customHeight="1">
      <c r="A1620" s="2"/>
      <c r="B1620" s="3">
        <v>90013</v>
      </c>
      <c r="C1620" s="45"/>
      <c r="D1620" s="67" t="s">
        <v>1001</v>
      </c>
      <c r="E1620" s="4"/>
      <c r="F1620" s="4"/>
      <c r="G1620" s="4">
        <f>SUM(G1621:G1621)</f>
        <v>600000</v>
      </c>
      <c r="H1620" s="4"/>
    </row>
    <row r="1621" spans="1:8" s="1" customFormat="1" ht="19.5" customHeight="1">
      <c r="A1621" s="86"/>
      <c r="B1621" s="86"/>
      <c r="C1621" s="18"/>
      <c r="D1621" s="316" t="s">
        <v>243</v>
      </c>
      <c r="E1621" s="152"/>
      <c r="F1621" s="152"/>
      <c r="G1621" s="152">
        <f>G1622+G1623+G1625</f>
        <v>600000</v>
      </c>
      <c r="H1621" s="152"/>
    </row>
    <row r="1622" spans="1:8" s="1" customFormat="1" ht="19.5" customHeight="1">
      <c r="A1622" s="18"/>
      <c r="B1622" s="18"/>
      <c r="C1622" s="22">
        <v>4260</v>
      </c>
      <c r="D1622" s="20" t="s">
        <v>752</v>
      </c>
      <c r="E1622" s="6"/>
      <c r="F1622" s="6"/>
      <c r="G1622" s="6">
        <v>50000</v>
      </c>
      <c r="H1622" s="6"/>
    </row>
    <row r="1623" spans="1:8" s="1" customFormat="1" ht="19.5" customHeight="1">
      <c r="A1623" s="18"/>
      <c r="B1623" s="18"/>
      <c r="C1623" s="22">
        <v>4300</v>
      </c>
      <c r="D1623" s="20" t="s">
        <v>815</v>
      </c>
      <c r="E1623" s="6"/>
      <c r="F1623" s="6"/>
      <c r="G1623" s="6">
        <f>350000+100000</f>
        <v>450000</v>
      </c>
      <c r="H1623" s="6"/>
    </row>
    <row r="1624" spans="1:8" s="1" customFormat="1" ht="15.75" customHeight="1">
      <c r="A1624" s="86"/>
      <c r="B1624" s="86"/>
      <c r="C1624" s="18"/>
      <c r="D1624" s="331" t="s">
        <v>280</v>
      </c>
      <c r="E1624" s="11"/>
      <c r="F1624" s="11"/>
      <c r="G1624" s="11">
        <v>100000</v>
      </c>
      <c r="H1624" s="11"/>
    </row>
    <row r="1625" spans="1:8" ht="17.25" customHeight="1">
      <c r="A1625" s="107"/>
      <c r="B1625" s="107"/>
      <c r="C1625" s="22">
        <v>6060</v>
      </c>
      <c r="D1625" s="20" t="s">
        <v>685</v>
      </c>
      <c r="E1625" s="6"/>
      <c r="F1625" s="6"/>
      <c r="G1625" s="6">
        <f>SUM(G1624:G1624)</f>
        <v>100000</v>
      </c>
      <c r="H1625" s="6"/>
    </row>
    <row r="1626" spans="1:8" s="1" customFormat="1" ht="19.5" customHeight="1">
      <c r="A1626" s="5"/>
      <c r="B1626" s="13">
        <v>90015</v>
      </c>
      <c r="C1626" s="123"/>
      <c r="D1626" s="14" t="s">
        <v>1002</v>
      </c>
      <c r="E1626" s="15"/>
      <c r="F1626" s="15"/>
      <c r="G1626" s="15">
        <f>SUM(G1627:G1627)</f>
        <v>1060000</v>
      </c>
      <c r="H1626" s="15"/>
    </row>
    <row r="1627" spans="1:8" s="1" customFormat="1" ht="19.5" customHeight="1">
      <c r="A1627" s="86"/>
      <c r="B1627" s="86"/>
      <c r="C1627" s="18"/>
      <c r="D1627" s="316" t="s">
        <v>1159</v>
      </c>
      <c r="E1627" s="152"/>
      <c r="F1627" s="152"/>
      <c r="G1627" s="152">
        <f>G1629+G1631</f>
        <v>1060000</v>
      </c>
      <c r="H1627" s="152"/>
    </row>
    <row r="1628" spans="1:8" s="1" customFormat="1" ht="19.5" customHeight="1">
      <c r="A1628" s="86"/>
      <c r="B1628" s="86"/>
      <c r="C1628" s="18"/>
      <c r="D1628" s="420" t="s">
        <v>198</v>
      </c>
      <c r="E1628" s="11"/>
      <c r="F1628" s="11"/>
      <c r="G1628" s="11">
        <v>50000</v>
      </c>
      <c r="H1628" s="11"/>
    </row>
    <row r="1629" spans="1:8" s="1" customFormat="1" ht="19.5" customHeight="1">
      <c r="A1629" s="18"/>
      <c r="B1629" s="18"/>
      <c r="C1629" s="22">
        <v>4270</v>
      </c>
      <c r="D1629" s="20" t="s">
        <v>98</v>
      </c>
      <c r="E1629" s="6"/>
      <c r="F1629" s="6"/>
      <c r="G1629" s="6">
        <f>G1628</f>
        <v>50000</v>
      </c>
      <c r="H1629" s="6"/>
    </row>
    <row r="1630" spans="1:8" s="1" customFormat="1" ht="19.5" customHeight="1">
      <c r="A1630" s="86"/>
      <c r="B1630" s="86"/>
      <c r="C1630" s="18"/>
      <c r="D1630" s="420" t="s">
        <v>35</v>
      </c>
      <c r="E1630" s="11"/>
      <c r="F1630" s="11"/>
      <c r="G1630" s="11">
        <f>460000+550000</f>
        <v>1010000</v>
      </c>
      <c r="H1630" s="11"/>
    </row>
    <row r="1631" spans="1:8" s="1" customFormat="1" ht="19.5" customHeight="1">
      <c r="A1631" s="18"/>
      <c r="B1631" s="18"/>
      <c r="C1631" s="22">
        <v>6050</v>
      </c>
      <c r="D1631" s="20" t="s">
        <v>746</v>
      </c>
      <c r="E1631" s="6"/>
      <c r="F1631" s="6"/>
      <c r="G1631" s="6">
        <f>G1630</f>
        <v>1010000</v>
      </c>
      <c r="H1631" s="6"/>
    </row>
    <row r="1632" spans="1:8" ht="24" customHeight="1">
      <c r="A1632" s="56"/>
      <c r="B1632" s="56"/>
      <c r="C1632" s="56"/>
      <c r="D1632" s="7" t="s">
        <v>865</v>
      </c>
      <c r="E1632" s="83"/>
      <c r="F1632" s="83">
        <f>F1633</f>
        <v>41045</v>
      </c>
      <c r="G1632" s="83"/>
      <c r="H1632" s="83">
        <f>H1642</f>
        <v>7394000</v>
      </c>
    </row>
    <row r="1633" spans="1:8" ht="19.5" customHeight="1" thickBot="1">
      <c r="A1633" s="158"/>
      <c r="B1633" s="158"/>
      <c r="C1633" s="158"/>
      <c r="D1633" s="159" t="s">
        <v>461</v>
      </c>
      <c r="E1633" s="160"/>
      <c r="F1633" s="160">
        <f>F1634+F1638</f>
        <v>41045</v>
      </c>
      <c r="G1633" s="160"/>
      <c r="H1633" s="160"/>
    </row>
    <row r="1634" spans="1:8" s="149" customFormat="1" ht="27" thickBot="1" thickTop="1">
      <c r="A1634" s="394">
        <v>756</v>
      </c>
      <c r="B1634" s="394"/>
      <c r="C1634" s="394"/>
      <c r="D1634" s="395" t="s">
        <v>380</v>
      </c>
      <c r="E1634" s="377"/>
      <c r="F1634" s="377">
        <f>F1635</f>
        <v>20000</v>
      </c>
      <c r="G1634" s="377"/>
      <c r="H1634" s="377"/>
    </row>
    <row r="1635" spans="1:8" s="150" customFormat="1" ht="25.5">
      <c r="A1635" s="2"/>
      <c r="B1635" s="3">
        <v>75618</v>
      </c>
      <c r="C1635" s="3"/>
      <c r="D1635" s="37" t="s">
        <v>989</v>
      </c>
      <c r="E1635" s="4"/>
      <c r="F1635" s="4">
        <f>F1636</f>
        <v>20000</v>
      </c>
      <c r="G1635" s="4"/>
      <c r="H1635" s="4"/>
    </row>
    <row r="1636" spans="1:8" s="1" customFormat="1" ht="25.5">
      <c r="A1636" s="86"/>
      <c r="B1636" s="122"/>
      <c r="C1636" s="122"/>
      <c r="D1636" s="74" t="s">
        <v>186</v>
      </c>
      <c r="E1636" s="17"/>
      <c r="F1636" s="17">
        <f>F1637</f>
        <v>20000</v>
      </c>
      <c r="G1636" s="17"/>
      <c r="H1636" s="17"/>
    </row>
    <row r="1637" spans="1:8" s="150" customFormat="1" ht="18.75" customHeight="1">
      <c r="A1637" s="2"/>
      <c r="B1637" s="2"/>
      <c r="C1637" s="19" t="s">
        <v>728</v>
      </c>
      <c r="D1637" s="20" t="s">
        <v>512</v>
      </c>
      <c r="E1637" s="6"/>
      <c r="F1637" s="6">
        <v>20000</v>
      </c>
      <c r="G1637" s="6"/>
      <c r="H1637" s="6"/>
    </row>
    <row r="1638" spans="1:8" s="149" customFormat="1" ht="18.75" customHeight="1" thickBot="1">
      <c r="A1638" s="394">
        <v>900</v>
      </c>
      <c r="B1638" s="394"/>
      <c r="C1638" s="394"/>
      <c r="D1638" s="394" t="s">
        <v>1048</v>
      </c>
      <c r="E1638" s="377"/>
      <c r="F1638" s="377">
        <f>F1639</f>
        <v>21045</v>
      </c>
      <c r="G1638" s="377"/>
      <c r="H1638" s="377"/>
    </row>
    <row r="1639" spans="1:8" s="150" customFormat="1" ht="19.5" customHeight="1">
      <c r="A1639" s="2"/>
      <c r="B1639" s="13">
        <v>90095</v>
      </c>
      <c r="C1639" s="3"/>
      <c r="D1639" s="67" t="s">
        <v>100</v>
      </c>
      <c r="E1639" s="15"/>
      <c r="F1639" s="15">
        <f>F1640</f>
        <v>21045</v>
      </c>
      <c r="G1639" s="15"/>
      <c r="H1639" s="15"/>
    </row>
    <row r="1640" spans="1:8" s="1" customFormat="1" ht="19.5" customHeight="1">
      <c r="A1640" s="86"/>
      <c r="B1640" s="86"/>
      <c r="C1640" s="86"/>
      <c r="D1640" s="75" t="s">
        <v>228</v>
      </c>
      <c r="E1640" s="17"/>
      <c r="F1640" s="17">
        <f>F1641</f>
        <v>21045</v>
      </c>
      <c r="G1640" s="17"/>
      <c r="H1640" s="17"/>
    </row>
    <row r="1641" spans="1:8" s="8" customFormat="1" ht="39.75" customHeight="1">
      <c r="A1641" s="164"/>
      <c r="B1641" s="164"/>
      <c r="C1641" s="19" t="s">
        <v>632</v>
      </c>
      <c r="D1641" s="20" t="s">
        <v>999</v>
      </c>
      <c r="E1641" s="98"/>
      <c r="F1641" s="98">
        <v>21045</v>
      </c>
      <c r="G1641" s="98"/>
      <c r="H1641" s="98"/>
    </row>
    <row r="1642" spans="1:8" ht="19.5" customHeight="1" thickBot="1">
      <c r="A1642" s="158"/>
      <c r="B1642" s="158"/>
      <c r="C1642" s="158"/>
      <c r="D1642" s="159" t="s">
        <v>646</v>
      </c>
      <c r="E1642" s="160"/>
      <c r="F1642" s="160"/>
      <c r="G1642" s="160"/>
      <c r="H1642" s="160">
        <f>H1643+H1649</f>
        <v>7394000</v>
      </c>
    </row>
    <row r="1643" spans="1:8" ht="19.5" customHeight="1" thickBot="1" thickTop="1">
      <c r="A1643" s="394">
        <v>600</v>
      </c>
      <c r="B1643" s="394"/>
      <c r="C1643" s="394"/>
      <c r="D1643" s="394" t="s">
        <v>525</v>
      </c>
      <c r="E1643" s="377"/>
      <c r="F1643" s="377"/>
      <c r="G1643" s="377"/>
      <c r="H1643" s="377">
        <f>H1644</f>
        <v>7100000</v>
      </c>
    </row>
    <row r="1644" spans="1:8" ht="19.5" customHeight="1">
      <c r="A1644" s="86"/>
      <c r="B1644" s="13">
        <v>60004</v>
      </c>
      <c r="C1644" s="13"/>
      <c r="D1644" s="13" t="s">
        <v>647</v>
      </c>
      <c r="E1644" s="15"/>
      <c r="F1644" s="15"/>
      <c r="G1644" s="15"/>
      <c r="H1644" s="15">
        <f>H1645+H1647</f>
        <v>7100000</v>
      </c>
    </row>
    <row r="1645" spans="1:8" ht="19.5" customHeight="1">
      <c r="A1645" s="86"/>
      <c r="B1645" s="122"/>
      <c r="C1645" s="128"/>
      <c r="D1645" s="87" t="s">
        <v>293</v>
      </c>
      <c r="E1645" s="17"/>
      <c r="F1645" s="17"/>
      <c r="G1645" s="17"/>
      <c r="H1645" s="17">
        <f>H1646</f>
        <v>7000000</v>
      </c>
    </row>
    <row r="1646" spans="1:8" ht="19.5" customHeight="1">
      <c r="A1646" s="86"/>
      <c r="B1646" s="86"/>
      <c r="C1646" s="22">
        <v>4300</v>
      </c>
      <c r="D1646" s="22" t="s">
        <v>815</v>
      </c>
      <c r="E1646" s="6"/>
      <c r="F1646" s="6"/>
      <c r="G1646" s="6"/>
      <c r="H1646" s="6">
        <v>7000000</v>
      </c>
    </row>
    <row r="1647" spans="1:8" ht="19.5" customHeight="1">
      <c r="A1647" s="86"/>
      <c r="B1647" s="86"/>
      <c r="C1647" s="128"/>
      <c r="D1647" s="16" t="s">
        <v>131</v>
      </c>
      <c r="E1647" s="17"/>
      <c r="F1647" s="17"/>
      <c r="G1647" s="17"/>
      <c r="H1647" s="17">
        <f>H1648</f>
        <v>100000</v>
      </c>
    </row>
    <row r="1648" spans="1:8" ht="19.5" customHeight="1">
      <c r="A1648" s="86"/>
      <c r="B1648" s="86"/>
      <c r="C1648" s="22">
        <v>4300</v>
      </c>
      <c r="D1648" s="22" t="s">
        <v>815</v>
      </c>
      <c r="E1648" s="6"/>
      <c r="F1648" s="6"/>
      <c r="G1648" s="6"/>
      <c r="H1648" s="6">
        <v>100000</v>
      </c>
    </row>
    <row r="1649" spans="1:8" s="1" customFormat="1" ht="19.5" customHeight="1" thickBot="1">
      <c r="A1649" s="394">
        <v>900</v>
      </c>
      <c r="B1649" s="394"/>
      <c r="C1649" s="394"/>
      <c r="D1649" s="394" t="s">
        <v>1109</v>
      </c>
      <c r="E1649" s="377"/>
      <c r="F1649" s="377"/>
      <c r="G1649" s="377"/>
      <c r="H1649" s="377">
        <f>H1650</f>
        <v>294000</v>
      </c>
    </row>
    <row r="1650" spans="1:8" ht="19.5" customHeight="1">
      <c r="A1650" s="2"/>
      <c r="B1650" s="3">
        <v>90003</v>
      </c>
      <c r="C1650" s="45"/>
      <c r="D1650" s="67" t="s">
        <v>1111</v>
      </c>
      <c r="E1650" s="4"/>
      <c r="F1650" s="4"/>
      <c r="G1650" s="4"/>
      <c r="H1650" s="4">
        <f>H1651</f>
        <v>294000</v>
      </c>
    </row>
    <row r="1651" spans="1:8" ht="19.5" customHeight="1">
      <c r="A1651" s="107"/>
      <c r="B1651" s="107"/>
      <c r="C1651" s="22"/>
      <c r="D1651" s="1065" t="s">
        <v>196</v>
      </c>
      <c r="E1651" s="1046"/>
      <c r="F1651" s="1046"/>
      <c r="G1651" s="1046"/>
      <c r="H1651" s="1046">
        <f>H1652+H1653</f>
        <v>294000</v>
      </c>
    </row>
    <row r="1652" spans="1:8" ht="19.5" customHeight="1">
      <c r="A1652" s="128"/>
      <c r="B1652" s="128"/>
      <c r="C1652" s="144">
        <v>4300</v>
      </c>
      <c r="D1652" s="252" t="s">
        <v>815</v>
      </c>
      <c r="E1652" s="65"/>
      <c r="F1652" s="65"/>
      <c r="G1652" s="65"/>
      <c r="H1652" s="65">
        <v>204000</v>
      </c>
    </row>
    <row r="1653" spans="1:8" ht="19.5" customHeight="1">
      <c r="A1653" s="86"/>
      <c r="B1653" s="86"/>
      <c r="C1653" s="22">
        <v>6060</v>
      </c>
      <c r="D1653" s="20" t="s">
        <v>685</v>
      </c>
      <c r="E1653" s="61"/>
      <c r="F1653" s="61"/>
      <c r="G1653" s="6"/>
      <c r="H1653" s="6">
        <v>90000</v>
      </c>
    </row>
    <row r="1654" spans="1:8" ht="24" customHeight="1">
      <c r="A1654" s="56"/>
      <c r="B1654" s="56"/>
      <c r="C1654" s="56"/>
      <c r="D1654" s="7" t="s">
        <v>866</v>
      </c>
      <c r="E1654" s="83"/>
      <c r="F1654" s="83">
        <f>F1655+F1660</f>
        <v>3620000</v>
      </c>
      <c r="G1654" s="83"/>
      <c r="H1654" s="83">
        <f>H1667</f>
        <v>18750000</v>
      </c>
    </row>
    <row r="1655" spans="1:8" ht="19.5" customHeight="1" thickBot="1">
      <c r="A1655" s="158"/>
      <c r="B1655" s="158"/>
      <c r="C1655" s="158"/>
      <c r="D1655" s="159" t="s">
        <v>461</v>
      </c>
      <c r="E1655" s="160"/>
      <c r="F1655" s="160">
        <f>F1656</f>
        <v>600000</v>
      </c>
      <c r="G1655" s="160"/>
      <c r="H1655" s="160"/>
    </row>
    <row r="1656" spans="1:8" s="149" customFormat="1" ht="18.75" customHeight="1" thickBot="1" thickTop="1">
      <c r="A1656" s="394">
        <v>600</v>
      </c>
      <c r="B1656" s="394"/>
      <c r="C1656" s="394"/>
      <c r="D1656" s="394" t="s">
        <v>525</v>
      </c>
      <c r="E1656" s="377"/>
      <c r="F1656" s="377">
        <f>F1657</f>
        <v>600000</v>
      </c>
      <c r="G1656" s="377"/>
      <c r="H1656" s="377"/>
    </row>
    <row r="1657" spans="1:8" s="1" customFormat="1" ht="19.5" customHeight="1">
      <c r="A1657" s="86"/>
      <c r="B1657" s="3">
        <v>60016</v>
      </c>
      <c r="C1657" s="3"/>
      <c r="D1657" s="35" t="s">
        <v>1114</v>
      </c>
      <c r="E1657" s="4"/>
      <c r="F1657" s="4">
        <f>F1658</f>
        <v>600000</v>
      </c>
      <c r="G1657" s="4"/>
      <c r="H1657" s="4"/>
    </row>
    <row r="1658" spans="1:8" s="1" customFormat="1" ht="19.5" customHeight="1">
      <c r="A1658" s="86"/>
      <c r="B1658" s="86"/>
      <c r="C1658" s="86"/>
      <c r="D1658" s="161" t="s">
        <v>227</v>
      </c>
      <c r="E1658" s="17"/>
      <c r="F1658" s="17">
        <f>F1659</f>
        <v>600000</v>
      </c>
      <c r="G1658" s="17"/>
      <c r="H1658" s="17"/>
    </row>
    <row r="1659" spans="1:8" s="8" customFormat="1" ht="19.5" customHeight="1">
      <c r="A1659" s="22"/>
      <c r="B1659" s="22"/>
      <c r="C1659" s="162" t="s">
        <v>728</v>
      </c>
      <c r="D1659" s="163" t="s">
        <v>512</v>
      </c>
      <c r="E1659" s="88"/>
      <c r="F1659" s="88">
        <v>600000</v>
      </c>
      <c r="G1659" s="88"/>
      <c r="H1659" s="88"/>
    </row>
    <row r="1660" spans="1:8" ht="19.5" customHeight="1" thickBot="1">
      <c r="A1660" s="158"/>
      <c r="B1660" s="158"/>
      <c r="C1660" s="158"/>
      <c r="D1660" s="159" t="s">
        <v>101</v>
      </c>
      <c r="E1660" s="160"/>
      <c r="F1660" s="160">
        <f>F1661</f>
        <v>3020000</v>
      </c>
      <c r="G1660" s="160"/>
      <c r="H1660" s="160"/>
    </row>
    <row r="1661" spans="1:8" s="149" customFormat="1" ht="18.75" customHeight="1" thickBot="1" thickTop="1">
      <c r="A1661" s="394">
        <v>600</v>
      </c>
      <c r="B1661" s="394"/>
      <c r="C1661" s="394"/>
      <c r="D1661" s="394" t="s">
        <v>525</v>
      </c>
      <c r="E1661" s="377"/>
      <c r="F1661" s="377">
        <f>F1662</f>
        <v>3020000</v>
      </c>
      <c r="G1661" s="377"/>
      <c r="H1661" s="377"/>
    </row>
    <row r="1662" spans="1:8" ht="19.5" customHeight="1">
      <c r="A1662" s="56"/>
      <c r="B1662" s="165">
        <v>60015</v>
      </c>
      <c r="C1662" s="165"/>
      <c r="D1662" s="166" t="s">
        <v>1113</v>
      </c>
      <c r="E1662" s="167"/>
      <c r="F1662" s="167">
        <f>F1663+F1665</f>
        <v>3020000</v>
      </c>
      <c r="G1662" s="167"/>
      <c r="H1662" s="167"/>
    </row>
    <row r="1663" spans="1:8" ht="18.75" customHeight="1">
      <c r="A1663" s="56"/>
      <c r="B1663" s="56"/>
      <c r="C1663" s="56"/>
      <c r="D1663" s="168" t="s">
        <v>227</v>
      </c>
      <c r="E1663" s="169"/>
      <c r="F1663" s="169">
        <f>F1664</f>
        <v>3000000</v>
      </c>
      <c r="G1663" s="169"/>
      <c r="H1663" s="169"/>
    </row>
    <row r="1664" spans="1:8" s="174" customFormat="1" ht="18.75" customHeight="1">
      <c r="A1664" s="170"/>
      <c r="B1664" s="170"/>
      <c r="C1664" s="171" t="s">
        <v>728</v>
      </c>
      <c r="D1664" s="172" t="s">
        <v>512</v>
      </c>
      <c r="E1664" s="173"/>
      <c r="F1664" s="173">
        <v>3000000</v>
      </c>
      <c r="G1664" s="173"/>
      <c r="H1664" s="173"/>
    </row>
    <row r="1665" spans="1:8" ht="18.75" customHeight="1">
      <c r="A1665" s="56"/>
      <c r="B1665" s="56"/>
      <c r="C1665" s="175"/>
      <c r="D1665" s="168" t="s">
        <v>1050</v>
      </c>
      <c r="E1665" s="169"/>
      <c r="F1665" s="169">
        <f>F1666</f>
        <v>20000</v>
      </c>
      <c r="G1665" s="169"/>
      <c r="H1665" s="169"/>
    </row>
    <row r="1666" spans="1:8" ht="18.75" customHeight="1">
      <c r="A1666" s="56"/>
      <c r="B1666" s="56"/>
      <c r="C1666" s="76" t="s">
        <v>1066</v>
      </c>
      <c r="D1666" s="77" t="s">
        <v>235</v>
      </c>
      <c r="E1666" s="176"/>
      <c r="F1666" s="176">
        <v>20000</v>
      </c>
      <c r="G1666" s="176"/>
      <c r="H1666" s="176"/>
    </row>
    <row r="1667" spans="1:8" ht="19.5" customHeight="1" thickBot="1">
      <c r="A1667" s="158"/>
      <c r="B1667" s="158"/>
      <c r="C1667" s="158"/>
      <c r="D1667" s="159" t="s">
        <v>646</v>
      </c>
      <c r="E1667" s="160"/>
      <c r="F1667" s="160"/>
      <c r="G1667" s="160"/>
      <c r="H1667" s="160">
        <f>H1668+H1689</f>
        <v>18750000</v>
      </c>
    </row>
    <row r="1668" spans="1:8" ht="19.5" customHeight="1" thickBot="1" thickTop="1">
      <c r="A1668" s="394">
        <v>600</v>
      </c>
      <c r="B1668" s="394"/>
      <c r="C1668" s="394"/>
      <c r="D1668" s="394" t="s">
        <v>525</v>
      </c>
      <c r="E1668" s="377"/>
      <c r="F1668" s="377"/>
      <c r="G1668" s="377"/>
      <c r="H1668" s="377">
        <f>H1669+H1677+H1684</f>
        <v>18200000</v>
      </c>
    </row>
    <row r="1669" spans="1:8" ht="19.5" customHeight="1">
      <c r="A1669" s="86"/>
      <c r="B1669" s="3">
        <v>60015</v>
      </c>
      <c r="C1669" s="3"/>
      <c r="D1669" s="3" t="s">
        <v>1113</v>
      </c>
      <c r="E1669" s="4"/>
      <c r="F1669" s="4"/>
      <c r="G1669" s="4"/>
      <c r="H1669" s="4">
        <f>H1670</f>
        <v>11900000</v>
      </c>
    </row>
    <row r="1670" spans="1:8" s="1" customFormat="1" ht="19.5" customHeight="1">
      <c r="A1670" s="86"/>
      <c r="B1670" s="122"/>
      <c r="C1670" s="128"/>
      <c r="D1670" s="16" t="s">
        <v>872</v>
      </c>
      <c r="E1670" s="17"/>
      <c r="F1670" s="17"/>
      <c r="G1670" s="17"/>
      <c r="H1670" s="17">
        <f>H1671+H1672+H1673+H1676</f>
        <v>11900000</v>
      </c>
    </row>
    <row r="1671" spans="1:8" s="1" customFormat="1" ht="19.5" customHeight="1">
      <c r="A1671" s="86"/>
      <c r="B1671" s="18"/>
      <c r="C1671" s="22">
        <v>4260</v>
      </c>
      <c r="D1671" s="22" t="s">
        <v>752</v>
      </c>
      <c r="E1671" s="88"/>
      <c r="F1671" s="88"/>
      <c r="G1671" s="88"/>
      <c r="H1671" s="88">
        <v>300000</v>
      </c>
    </row>
    <row r="1672" spans="1:8" s="1" customFormat="1" ht="19.5" customHeight="1">
      <c r="A1672" s="86"/>
      <c r="B1672" s="18"/>
      <c r="C1672" s="18">
        <v>4300</v>
      </c>
      <c r="D1672" s="18" t="s">
        <v>815</v>
      </c>
      <c r="E1672" s="88"/>
      <c r="F1672" s="88"/>
      <c r="G1672" s="88"/>
      <c r="H1672" s="88">
        <f>7695000+400000</f>
        <v>8095000</v>
      </c>
    </row>
    <row r="1673" spans="1:8" s="1" customFormat="1" ht="19.5" customHeight="1">
      <c r="A1673" s="86"/>
      <c r="B1673" s="18"/>
      <c r="C1673" s="144">
        <v>4590</v>
      </c>
      <c r="D1673" s="252" t="s">
        <v>1003</v>
      </c>
      <c r="E1673" s="88"/>
      <c r="F1673" s="88"/>
      <c r="G1673" s="88"/>
      <c r="H1673" s="88">
        <v>5000</v>
      </c>
    </row>
    <row r="1674" spans="1:8" s="1" customFormat="1" ht="19.5" customHeight="1">
      <c r="A1674" s="86"/>
      <c r="B1674" s="86"/>
      <c r="C1674" s="18"/>
      <c r="D1674" s="251" t="s">
        <v>873</v>
      </c>
      <c r="E1674" s="10"/>
      <c r="F1674" s="10"/>
      <c r="G1674" s="10"/>
      <c r="H1674" s="10">
        <v>1500000</v>
      </c>
    </row>
    <row r="1675" spans="1:8" s="1" customFormat="1" ht="19.5" customHeight="1">
      <c r="A1675" s="86"/>
      <c r="B1675" s="86"/>
      <c r="C1675" s="18"/>
      <c r="D1675" s="241" t="s">
        <v>874</v>
      </c>
      <c r="E1675" s="11"/>
      <c r="F1675" s="11"/>
      <c r="G1675" s="11"/>
      <c r="H1675" s="11">
        <v>2000000</v>
      </c>
    </row>
    <row r="1676" spans="1:8" s="1" customFormat="1" ht="19.5" customHeight="1">
      <c r="A1676" s="86"/>
      <c r="B1676" s="86"/>
      <c r="C1676" s="22">
        <v>4270</v>
      </c>
      <c r="D1676" s="22" t="s">
        <v>753</v>
      </c>
      <c r="E1676" s="6"/>
      <c r="F1676" s="6"/>
      <c r="G1676" s="6"/>
      <c r="H1676" s="6">
        <f>SUM(H1674:H1675)</f>
        <v>3500000</v>
      </c>
    </row>
    <row r="1677" spans="1:8" ht="19.5" customHeight="1">
      <c r="A1677" s="86"/>
      <c r="B1677" s="13">
        <v>60016</v>
      </c>
      <c r="C1677" s="3"/>
      <c r="D1677" s="3" t="s">
        <v>1114</v>
      </c>
      <c r="E1677" s="4"/>
      <c r="F1677" s="4"/>
      <c r="G1677" s="70"/>
      <c r="H1677" s="70">
        <f>H1678</f>
        <v>5150000</v>
      </c>
    </row>
    <row r="1678" spans="1:8" ht="19.5" customHeight="1">
      <c r="A1678" s="86"/>
      <c r="B1678" s="122"/>
      <c r="C1678" s="128"/>
      <c r="D1678" s="16" t="s">
        <v>509</v>
      </c>
      <c r="E1678" s="17"/>
      <c r="F1678" s="17"/>
      <c r="G1678" s="17"/>
      <c r="H1678" s="17">
        <f>H1679+H1680+H1681+H1683</f>
        <v>5150000</v>
      </c>
    </row>
    <row r="1679" spans="1:8" ht="19.5" customHeight="1">
      <c r="A1679" s="107"/>
      <c r="B1679" s="22"/>
      <c r="C1679" s="22">
        <v>4260</v>
      </c>
      <c r="D1679" s="22" t="s">
        <v>752</v>
      </c>
      <c r="E1679" s="6"/>
      <c r="F1679" s="6"/>
      <c r="G1679" s="88"/>
      <c r="H1679" s="88">
        <v>6000</v>
      </c>
    </row>
    <row r="1680" spans="1:8" ht="19.5" customHeight="1">
      <c r="A1680" s="86"/>
      <c r="B1680" s="18"/>
      <c r="C1680" s="18">
        <v>4300</v>
      </c>
      <c r="D1680" s="18" t="s">
        <v>815</v>
      </c>
      <c r="E1680" s="6"/>
      <c r="F1680" s="6"/>
      <c r="G1680" s="6"/>
      <c r="H1680" s="6">
        <f>3139000+500000</f>
        <v>3639000</v>
      </c>
    </row>
    <row r="1681" spans="1:8" ht="19.5" customHeight="1">
      <c r="A1681" s="86"/>
      <c r="B1681" s="18"/>
      <c r="C1681" s="144">
        <v>4590</v>
      </c>
      <c r="D1681" s="252" t="s">
        <v>1003</v>
      </c>
      <c r="E1681" s="65"/>
      <c r="F1681" s="6"/>
      <c r="G1681" s="88"/>
      <c r="H1681" s="88">
        <v>5000</v>
      </c>
    </row>
    <row r="1682" spans="1:8" ht="19.5" customHeight="1">
      <c r="A1682" s="86"/>
      <c r="B1682" s="86"/>
      <c r="C1682" s="18"/>
      <c r="D1682" s="251" t="s">
        <v>873</v>
      </c>
      <c r="E1682" s="11"/>
      <c r="F1682" s="231"/>
      <c r="G1682" s="10"/>
      <c r="H1682" s="10">
        <f>H1683</f>
        <v>1500000</v>
      </c>
    </row>
    <row r="1683" spans="1:8" ht="19.5" customHeight="1">
      <c r="A1683" s="86"/>
      <c r="B1683" s="86"/>
      <c r="C1683" s="22">
        <v>4270</v>
      </c>
      <c r="D1683" s="22" t="s">
        <v>753</v>
      </c>
      <c r="E1683" s="6"/>
      <c r="F1683" s="6"/>
      <c r="G1683" s="6"/>
      <c r="H1683" s="6">
        <v>1500000</v>
      </c>
    </row>
    <row r="1684" spans="1:8" ht="19.5" customHeight="1">
      <c r="A1684" s="86"/>
      <c r="B1684" s="13">
        <v>60017</v>
      </c>
      <c r="C1684" s="3"/>
      <c r="D1684" s="3" t="s">
        <v>481</v>
      </c>
      <c r="E1684" s="4"/>
      <c r="F1684" s="4"/>
      <c r="G1684" s="4"/>
      <c r="H1684" s="4">
        <f>H1685</f>
        <v>1150000</v>
      </c>
    </row>
    <row r="1685" spans="1:8" ht="19.5" customHeight="1">
      <c r="A1685" s="86"/>
      <c r="B1685" s="122"/>
      <c r="C1685" s="128"/>
      <c r="D1685" s="16" t="s">
        <v>1083</v>
      </c>
      <c r="E1685" s="17"/>
      <c r="F1685" s="17"/>
      <c r="G1685" s="17"/>
      <c r="H1685" s="17">
        <f>H1686+H1688</f>
        <v>1150000</v>
      </c>
    </row>
    <row r="1686" spans="1:8" ht="19.5" customHeight="1">
      <c r="A1686" s="86"/>
      <c r="B1686" s="18"/>
      <c r="C1686" s="22">
        <v>4300</v>
      </c>
      <c r="D1686" s="22" t="s">
        <v>815</v>
      </c>
      <c r="E1686" s="6"/>
      <c r="F1686" s="6"/>
      <c r="G1686" s="88"/>
      <c r="H1686" s="88">
        <v>750000</v>
      </c>
    </row>
    <row r="1687" spans="1:8" ht="18.75" customHeight="1">
      <c r="A1687" s="86"/>
      <c r="B1687" s="277"/>
      <c r="C1687" s="170"/>
      <c r="D1687" s="226" t="s">
        <v>873</v>
      </c>
      <c r="E1687" s="223"/>
      <c r="F1687" s="223"/>
      <c r="G1687" s="223"/>
      <c r="H1687" s="223">
        <v>400000</v>
      </c>
    </row>
    <row r="1688" spans="1:8" ht="18.75" customHeight="1">
      <c r="A1688" s="86"/>
      <c r="B1688" s="277"/>
      <c r="C1688" s="181">
        <v>4270</v>
      </c>
      <c r="D1688" s="181" t="s">
        <v>753</v>
      </c>
      <c r="E1688" s="176"/>
      <c r="F1688" s="176"/>
      <c r="G1688" s="176"/>
      <c r="H1688" s="176">
        <f>H1687</f>
        <v>400000</v>
      </c>
    </row>
    <row r="1689" spans="1:8" s="1" customFormat="1" ht="19.5" customHeight="1" thickBot="1">
      <c r="A1689" s="394">
        <v>900</v>
      </c>
      <c r="B1689" s="394"/>
      <c r="C1689" s="394"/>
      <c r="D1689" s="394" t="s">
        <v>1109</v>
      </c>
      <c r="E1689" s="377"/>
      <c r="F1689" s="377"/>
      <c r="G1689" s="377"/>
      <c r="H1689" s="377">
        <f>H1690+H1694</f>
        <v>550000</v>
      </c>
    </row>
    <row r="1690" spans="1:8" s="1" customFormat="1" ht="19.5" customHeight="1">
      <c r="A1690" s="2"/>
      <c r="B1690" s="3">
        <v>90001</v>
      </c>
      <c r="C1690" s="3"/>
      <c r="D1690" s="3" t="s">
        <v>1110</v>
      </c>
      <c r="E1690" s="4"/>
      <c r="F1690" s="4"/>
      <c r="G1690" s="4"/>
      <c r="H1690" s="4">
        <f>H1691</f>
        <v>500000</v>
      </c>
    </row>
    <row r="1691" spans="1:8" ht="18.75" customHeight="1">
      <c r="A1691" s="86"/>
      <c r="B1691" s="86"/>
      <c r="C1691" s="18"/>
      <c r="D1691" s="16" t="s">
        <v>294</v>
      </c>
      <c r="E1691" s="17"/>
      <c r="F1691" s="17"/>
      <c r="G1691" s="17"/>
      <c r="H1691" s="17">
        <f>H1692</f>
        <v>500000</v>
      </c>
    </row>
    <row r="1692" spans="1:8" ht="18.75" customHeight="1">
      <c r="A1692" s="86"/>
      <c r="B1692" s="86"/>
      <c r="C1692" s="18"/>
      <c r="D1692" s="253" t="s">
        <v>167</v>
      </c>
      <c r="E1692" s="10"/>
      <c r="F1692" s="10"/>
      <c r="G1692" s="10"/>
      <c r="H1692" s="10">
        <v>500000</v>
      </c>
    </row>
    <row r="1693" spans="1:8" ht="18.75" customHeight="1">
      <c r="A1693" s="86"/>
      <c r="B1693" s="86"/>
      <c r="C1693" s="18">
        <v>4270</v>
      </c>
      <c r="D1693" s="318" t="s">
        <v>98</v>
      </c>
      <c r="E1693" s="230"/>
      <c r="F1693" s="230"/>
      <c r="G1693" s="230"/>
      <c r="H1693" s="230">
        <f>H1692</f>
        <v>500000</v>
      </c>
    </row>
    <row r="1694" spans="1:8" s="1" customFormat="1" ht="19.5" customHeight="1">
      <c r="A1694" s="2"/>
      <c r="B1694" s="13">
        <v>90015</v>
      </c>
      <c r="C1694" s="123"/>
      <c r="D1694" s="14" t="s">
        <v>1002</v>
      </c>
      <c r="E1694" s="15"/>
      <c r="F1694" s="15"/>
      <c r="G1694" s="15"/>
      <c r="H1694" s="15">
        <f>SUM(H1695:H1695)</f>
        <v>50000</v>
      </c>
    </row>
    <row r="1695" spans="1:8" s="1" customFormat="1" ht="19.5" customHeight="1">
      <c r="A1695" s="86"/>
      <c r="B1695" s="86"/>
      <c r="C1695" s="18"/>
      <c r="D1695" s="316" t="s">
        <v>1159</v>
      </c>
      <c r="E1695" s="152"/>
      <c r="F1695" s="152"/>
      <c r="G1695" s="152"/>
      <c r="H1695" s="152">
        <f>H1696</f>
        <v>50000</v>
      </c>
    </row>
    <row r="1696" spans="1:8" s="1" customFormat="1" ht="19.5" customHeight="1">
      <c r="A1696" s="86"/>
      <c r="B1696" s="86"/>
      <c r="C1696" s="18"/>
      <c r="D1696" s="420" t="s">
        <v>198</v>
      </c>
      <c r="E1696" s="11"/>
      <c r="F1696" s="11"/>
      <c r="G1696" s="11"/>
      <c r="H1696" s="11">
        <v>50000</v>
      </c>
    </row>
    <row r="1697" spans="1:8" s="1" customFormat="1" ht="19.5" customHeight="1">
      <c r="A1697" s="18"/>
      <c r="B1697" s="18"/>
      <c r="C1697" s="22">
        <v>4270</v>
      </c>
      <c r="D1697" s="20" t="s">
        <v>98</v>
      </c>
      <c r="E1697" s="6"/>
      <c r="F1697" s="6"/>
      <c r="G1697" s="6"/>
      <c r="H1697" s="6">
        <f>H1696</f>
        <v>50000</v>
      </c>
    </row>
    <row r="1698" spans="1:8" ht="24" customHeight="1">
      <c r="A1698" s="56"/>
      <c r="B1698" s="56"/>
      <c r="C1698" s="56"/>
      <c r="D1698" s="7" t="s">
        <v>867</v>
      </c>
      <c r="E1698" s="83"/>
      <c r="F1698" s="83">
        <f>F1699</f>
        <v>12000</v>
      </c>
      <c r="G1698" s="83"/>
      <c r="H1698" s="83">
        <f>H1704</f>
        <v>600000</v>
      </c>
    </row>
    <row r="1699" spans="1:8" ht="19.5" customHeight="1" thickBot="1">
      <c r="A1699" s="158"/>
      <c r="B1699" s="158"/>
      <c r="C1699" s="158"/>
      <c r="D1699" s="159" t="s">
        <v>461</v>
      </c>
      <c r="E1699" s="160"/>
      <c r="F1699" s="160">
        <f>F1700</f>
        <v>12000</v>
      </c>
      <c r="G1699" s="160"/>
      <c r="H1699" s="160"/>
    </row>
    <row r="1700" spans="1:8" s="149" customFormat="1" ht="18.75" customHeight="1" thickBot="1" thickTop="1">
      <c r="A1700" s="394">
        <v>900</v>
      </c>
      <c r="B1700" s="394"/>
      <c r="C1700" s="394"/>
      <c r="D1700" s="394" t="s">
        <v>1048</v>
      </c>
      <c r="E1700" s="377"/>
      <c r="F1700" s="377">
        <f>F1701</f>
        <v>12000</v>
      </c>
      <c r="G1700" s="377"/>
      <c r="H1700" s="377"/>
    </row>
    <row r="1701" spans="1:8" s="150" customFormat="1" ht="19.5" customHeight="1">
      <c r="A1701" s="2"/>
      <c r="B1701" s="3">
        <v>90013</v>
      </c>
      <c r="C1701" s="3"/>
      <c r="D1701" s="67" t="s">
        <v>1001</v>
      </c>
      <c r="E1701" s="4"/>
      <c r="F1701" s="4">
        <f>F1702</f>
        <v>12000</v>
      </c>
      <c r="G1701" s="4"/>
      <c r="H1701" s="4"/>
    </row>
    <row r="1702" spans="1:8" s="1" customFormat="1" ht="18.75" customHeight="1">
      <c r="A1702" s="86"/>
      <c r="B1702" s="86"/>
      <c r="C1702" s="86"/>
      <c r="D1702" s="93" t="s">
        <v>1119</v>
      </c>
      <c r="E1702" s="17"/>
      <c r="F1702" s="17">
        <f>F1703</f>
        <v>12000</v>
      </c>
      <c r="G1702" s="17"/>
      <c r="H1702" s="17"/>
    </row>
    <row r="1703" spans="1:8" s="8" customFormat="1" ht="18.75" customHeight="1">
      <c r="A1703" s="18"/>
      <c r="B1703" s="18"/>
      <c r="C1703" s="19" t="s">
        <v>1064</v>
      </c>
      <c r="D1703" s="20" t="s">
        <v>882</v>
      </c>
      <c r="E1703" s="88"/>
      <c r="F1703" s="88">
        <v>12000</v>
      </c>
      <c r="G1703" s="88"/>
      <c r="H1703" s="88"/>
    </row>
    <row r="1704" spans="1:8" ht="19.5" customHeight="1" thickBot="1">
      <c r="A1704" s="158"/>
      <c r="B1704" s="158"/>
      <c r="C1704" s="158"/>
      <c r="D1704" s="159" t="s">
        <v>646</v>
      </c>
      <c r="E1704" s="160"/>
      <c r="F1704" s="160"/>
      <c r="G1704" s="160"/>
      <c r="H1704" s="160">
        <f>H1705</f>
        <v>600000</v>
      </c>
    </row>
    <row r="1705" spans="1:8" s="1" customFormat="1" ht="19.5" customHeight="1" thickBot="1" thickTop="1">
      <c r="A1705" s="394">
        <v>900</v>
      </c>
      <c r="B1705" s="394"/>
      <c r="C1705" s="394"/>
      <c r="D1705" s="394" t="s">
        <v>1109</v>
      </c>
      <c r="E1705" s="377"/>
      <c r="F1705" s="377"/>
      <c r="G1705" s="377"/>
      <c r="H1705" s="377">
        <f>H1706</f>
        <v>600000</v>
      </c>
    </row>
    <row r="1706" spans="1:8" s="1" customFormat="1" ht="19.5" customHeight="1">
      <c r="A1706" s="2"/>
      <c r="B1706" s="3">
        <v>90013</v>
      </c>
      <c r="C1706" s="45"/>
      <c r="D1706" s="67" t="s">
        <v>1001</v>
      </c>
      <c r="E1706" s="4"/>
      <c r="F1706" s="4"/>
      <c r="G1706" s="4"/>
      <c r="H1706" s="4">
        <f>SUM(H1707:H1707)</f>
        <v>600000</v>
      </c>
    </row>
    <row r="1707" spans="1:8" s="1" customFormat="1" ht="19.5" customHeight="1">
      <c r="A1707" s="107"/>
      <c r="B1707" s="107"/>
      <c r="C1707" s="22"/>
      <c r="D1707" s="1091" t="s">
        <v>243</v>
      </c>
      <c r="E1707" s="1092"/>
      <c r="F1707" s="1092"/>
      <c r="G1707" s="1092"/>
      <c r="H1707" s="1092">
        <f>H1709+H1711+H1708</f>
        <v>600000</v>
      </c>
    </row>
    <row r="1708" spans="1:8" s="1" customFormat="1" ht="19.5" customHeight="1">
      <c r="A1708" s="18"/>
      <c r="B1708" s="18"/>
      <c r="C1708" s="22">
        <v>4260</v>
      </c>
      <c r="D1708" s="20" t="s">
        <v>752</v>
      </c>
      <c r="E1708" s="6"/>
      <c r="F1708" s="6"/>
      <c r="G1708" s="6"/>
      <c r="H1708" s="6">
        <v>50000</v>
      </c>
    </row>
    <row r="1709" spans="1:8" s="1" customFormat="1" ht="19.5" customHeight="1">
      <c r="A1709" s="18"/>
      <c r="B1709" s="18"/>
      <c r="C1709" s="22">
        <v>4300</v>
      </c>
      <c r="D1709" s="20" t="s">
        <v>815</v>
      </c>
      <c r="E1709" s="6"/>
      <c r="F1709" s="6"/>
      <c r="G1709" s="6"/>
      <c r="H1709" s="6">
        <f>350000+100000</f>
        <v>450000</v>
      </c>
    </row>
    <row r="1710" spans="1:8" s="1" customFormat="1" ht="19.5" customHeight="1">
      <c r="A1710" s="86"/>
      <c r="B1710" s="86"/>
      <c r="C1710" s="18"/>
      <c r="D1710" s="331" t="s">
        <v>280</v>
      </c>
      <c r="E1710" s="11"/>
      <c r="F1710" s="11"/>
      <c r="G1710" s="11"/>
      <c r="H1710" s="11">
        <v>100000</v>
      </c>
    </row>
    <row r="1711" spans="1:8" ht="19.5" customHeight="1">
      <c r="A1711" s="86"/>
      <c r="B1711" s="86"/>
      <c r="C1711" s="22">
        <v>6060</v>
      </c>
      <c r="D1711" s="20" t="s">
        <v>685</v>
      </c>
      <c r="E1711" s="6"/>
      <c r="F1711" s="6"/>
      <c r="G1711" s="6"/>
      <c r="H1711" s="6">
        <f>SUM(H1710:H1710)</f>
        <v>100000</v>
      </c>
    </row>
    <row r="1712" spans="1:8" ht="24" customHeight="1">
      <c r="A1712" s="56"/>
      <c r="B1712" s="56"/>
      <c r="C1712" s="56"/>
      <c r="D1712" s="7" t="s">
        <v>868</v>
      </c>
      <c r="E1712" s="83">
        <f>E1713+E1721</f>
        <v>9624500</v>
      </c>
      <c r="F1712" s="83"/>
      <c r="G1712" s="83">
        <f>G1732</f>
        <v>194800</v>
      </c>
      <c r="H1712" s="83"/>
    </row>
    <row r="1713" spans="1:8" ht="21" customHeight="1" thickBot="1">
      <c r="A1713" s="158"/>
      <c r="B1713" s="158"/>
      <c r="C1713" s="158"/>
      <c r="D1713" s="159" t="s">
        <v>461</v>
      </c>
      <c r="E1713" s="160">
        <f>E1714</f>
        <v>1522500</v>
      </c>
      <c r="F1713" s="160"/>
      <c r="G1713" s="160"/>
      <c r="H1713" s="160"/>
    </row>
    <row r="1714" spans="1:8" s="149" customFormat="1" ht="29.25" customHeight="1" thickBot="1" thickTop="1">
      <c r="A1714" s="425">
        <v>756</v>
      </c>
      <c r="B1714" s="405"/>
      <c r="C1714" s="405"/>
      <c r="D1714" s="426" t="s">
        <v>380</v>
      </c>
      <c r="E1714" s="406">
        <f>E1715+E1718</f>
        <v>1522500</v>
      </c>
      <c r="F1714" s="406"/>
      <c r="G1714" s="406"/>
      <c r="H1714" s="406"/>
    </row>
    <row r="1715" spans="1:8" s="150" customFormat="1" ht="41.25" customHeight="1">
      <c r="A1715" s="55"/>
      <c r="B1715" s="165">
        <v>75616</v>
      </c>
      <c r="C1715" s="165"/>
      <c r="D1715" s="185" t="s">
        <v>501</v>
      </c>
      <c r="E1715" s="167">
        <f>E1716</f>
        <v>1500000</v>
      </c>
      <c r="F1715" s="167"/>
      <c r="G1715" s="167"/>
      <c r="H1715" s="167"/>
    </row>
    <row r="1716" spans="1:8" s="150" customFormat="1" ht="20.25" customHeight="1">
      <c r="A1716" s="56"/>
      <c r="B1716" s="56"/>
      <c r="C1716" s="56"/>
      <c r="D1716" s="196" t="s">
        <v>1121</v>
      </c>
      <c r="E1716" s="169">
        <f>E1717</f>
        <v>1500000</v>
      </c>
      <c r="F1716" s="169"/>
      <c r="G1716" s="169"/>
      <c r="H1716" s="169"/>
    </row>
    <row r="1717" spans="1:8" s="150" customFormat="1" ht="18.75" customHeight="1">
      <c r="A1717" s="170"/>
      <c r="B1717" s="181"/>
      <c r="C1717" s="188" t="s">
        <v>636</v>
      </c>
      <c r="D1717" s="189" t="s">
        <v>1122</v>
      </c>
      <c r="E1717" s="173">
        <v>1500000</v>
      </c>
      <c r="F1717" s="173"/>
      <c r="G1717" s="173"/>
      <c r="H1717" s="173"/>
    </row>
    <row r="1718" spans="1:8" s="150" customFormat="1" ht="30" customHeight="1">
      <c r="A1718" s="170"/>
      <c r="B1718" s="165">
        <v>75618</v>
      </c>
      <c r="C1718" s="188"/>
      <c r="D1718" s="197" t="s">
        <v>989</v>
      </c>
      <c r="E1718" s="167">
        <f>E1719</f>
        <v>22500</v>
      </c>
      <c r="F1718" s="167"/>
      <c r="G1718" s="167"/>
      <c r="H1718" s="167"/>
    </row>
    <row r="1719" spans="1:8" s="150" customFormat="1" ht="18" customHeight="1">
      <c r="A1719" s="198"/>
      <c r="B1719" s="199"/>
      <c r="C1719" s="199"/>
      <c r="D1719" s="200" t="s">
        <v>638</v>
      </c>
      <c r="E1719" s="57">
        <f>E1720</f>
        <v>22500</v>
      </c>
      <c r="F1719" s="57"/>
      <c r="G1719" s="57"/>
      <c r="H1719" s="57"/>
    </row>
    <row r="1720" spans="1:8" s="1" customFormat="1" ht="19.5" customHeight="1">
      <c r="A1720" s="198"/>
      <c r="B1720" s="199"/>
      <c r="C1720" s="188" t="s">
        <v>637</v>
      </c>
      <c r="D1720" s="201" t="s">
        <v>577</v>
      </c>
      <c r="E1720" s="190">
        <v>22500</v>
      </c>
      <c r="F1720" s="190"/>
      <c r="G1720" s="190"/>
      <c r="H1720" s="190"/>
    </row>
    <row r="1721" spans="1:8" s="150" customFormat="1" ht="21" customHeight="1" thickBot="1">
      <c r="A1721" s="158"/>
      <c r="B1721" s="158"/>
      <c r="C1721" s="158"/>
      <c r="D1721" s="159" t="s">
        <v>101</v>
      </c>
      <c r="E1721" s="160">
        <f>E1722</f>
        <v>8102000</v>
      </c>
      <c r="F1721" s="160"/>
      <c r="G1721" s="160"/>
      <c r="H1721" s="160"/>
    </row>
    <row r="1722" spans="1:8" s="1" customFormat="1" ht="30.75" customHeight="1" thickBot="1" thickTop="1">
      <c r="A1722" s="405">
        <v>756</v>
      </c>
      <c r="B1722" s="405"/>
      <c r="C1722" s="405"/>
      <c r="D1722" s="427" t="s">
        <v>380</v>
      </c>
      <c r="E1722" s="406">
        <f>E1723</f>
        <v>8102000</v>
      </c>
      <c r="F1722" s="406"/>
      <c r="G1722" s="406"/>
      <c r="H1722" s="406"/>
    </row>
    <row r="1723" spans="1:8" s="8" customFormat="1" ht="28.5" customHeight="1">
      <c r="A1723" s="55"/>
      <c r="B1723" s="165">
        <v>75618</v>
      </c>
      <c r="C1723" s="165"/>
      <c r="D1723" s="197" t="s">
        <v>989</v>
      </c>
      <c r="E1723" s="167">
        <f>E1724+E1726+E1728+E1730</f>
        <v>8102000</v>
      </c>
      <c r="F1723" s="167"/>
      <c r="G1723" s="167"/>
      <c r="H1723" s="167"/>
    </row>
    <row r="1724" spans="1:8" s="150" customFormat="1" ht="26.25" customHeight="1">
      <c r="A1724" s="56"/>
      <c r="B1724" s="56"/>
      <c r="C1724" s="56"/>
      <c r="D1724" s="196" t="s">
        <v>541</v>
      </c>
      <c r="E1724" s="169">
        <f>E1725</f>
        <v>8000000</v>
      </c>
      <c r="F1724" s="169"/>
      <c r="G1724" s="169"/>
      <c r="H1724" s="169"/>
    </row>
    <row r="1725" spans="1:8" s="1" customFormat="1" ht="15.75" customHeight="1">
      <c r="A1725" s="170"/>
      <c r="B1725" s="170"/>
      <c r="C1725" s="188" t="s">
        <v>128</v>
      </c>
      <c r="D1725" s="189" t="s">
        <v>542</v>
      </c>
      <c r="E1725" s="173">
        <v>8000000</v>
      </c>
      <c r="F1725" s="173"/>
      <c r="G1725" s="173"/>
      <c r="H1725" s="173"/>
    </row>
    <row r="1726" spans="1:8" s="8" customFormat="1" ht="37.5" customHeight="1">
      <c r="A1726" s="202"/>
      <c r="B1726" s="203"/>
      <c r="C1726" s="204"/>
      <c r="D1726" s="205" t="s">
        <v>1108</v>
      </c>
      <c r="E1726" s="206">
        <f>E1727</f>
        <v>65000</v>
      </c>
      <c r="F1726" s="206"/>
      <c r="G1726" s="206"/>
      <c r="H1726" s="206"/>
    </row>
    <row r="1727" spans="1:8" s="1" customFormat="1" ht="19.5" customHeight="1">
      <c r="A1727" s="207"/>
      <c r="B1727" s="208"/>
      <c r="C1727" s="188" t="s">
        <v>637</v>
      </c>
      <c r="D1727" s="209" t="s">
        <v>577</v>
      </c>
      <c r="E1727" s="210">
        <v>65000</v>
      </c>
      <c r="F1727" s="210"/>
      <c r="G1727" s="210"/>
      <c r="H1727" s="210"/>
    </row>
    <row r="1728" spans="1:8" s="8" customFormat="1" ht="20.25" customHeight="1">
      <c r="A1728" s="202"/>
      <c r="B1728" s="203"/>
      <c r="C1728" s="204"/>
      <c r="D1728" s="205" t="s">
        <v>578</v>
      </c>
      <c r="E1728" s="206">
        <f>E1729</f>
        <v>34000</v>
      </c>
      <c r="F1728" s="206"/>
      <c r="G1728" s="206"/>
      <c r="H1728" s="206"/>
    </row>
    <row r="1729" spans="1:8" ht="19.5" customHeight="1">
      <c r="A1729" s="207"/>
      <c r="B1729" s="208"/>
      <c r="C1729" s="188" t="s">
        <v>728</v>
      </c>
      <c r="D1729" s="209" t="s">
        <v>512</v>
      </c>
      <c r="E1729" s="210">
        <v>34000</v>
      </c>
      <c r="F1729" s="210"/>
      <c r="G1729" s="210"/>
      <c r="H1729" s="210"/>
    </row>
    <row r="1730" spans="1:8" s="149" customFormat="1" ht="16.5" customHeight="1">
      <c r="A1730" s="202"/>
      <c r="B1730" s="203"/>
      <c r="C1730" s="204"/>
      <c r="D1730" s="205" t="s">
        <v>188</v>
      </c>
      <c r="E1730" s="206">
        <f>E1731</f>
        <v>3000</v>
      </c>
      <c r="F1730" s="206"/>
      <c r="G1730" s="206"/>
      <c r="H1730" s="206"/>
    </row>
    <row r="1731" spans="1:8" ht="19.5" customHeight="1">
      <c r="A1731" s="1093"/>
      <c r="B1731" s="189"/>
      <c r="C1731" s="188" t="s">
        <v>728</v>
      </c>
      <c r="D1731" s="209" t="s">
        <v>512</v>
      </c>
      <c r="E1731" s="210">
        <v>3000</v>
      </c>
      <c r="F1731" s="210"/>
      <c r="G1731" s="210"/>
      <c r="H1731" s="210"/>
    </row>
    <row r="1732" spans="1:8" ht="18.75" customHeight="1" thickBot="1">
      <c r="A1732" s="158"/>
      <c r="B1732" s="158"/>
      <c r="C1732" s="158"/>
      <c r="D1732" s="159" t="s">
        <v>646</v>
      </c>
      <c r="E1732" s="160"/>
      <c r="F1732" s="160"/>
      <c r="G1732" s="160">
        <f>G1733+G1737</f>
        <v>194800</v>
      </c>
      <c r="H1732" s="160"/>
    </row>
    <row r="1733" spans="1:8" ht="21.75" customHeight="1" thickBot="1" thickTop="1">
      <c r="A1733" s="375">
        <v>500</v>
      </c>
      <c r="B1733" s="375"/>
      <c r="C1733" s="375"/>
      <c r="D1733" s="376" t="s">
        <v>645</v>
      </c>
      <c r="E1733" s="378"/>
      <c r="F1733" s="378"/>
      <c r="G1733" s="378">
        <f>G1734</f>
        <v>4800</v>
      </c>
      <c r="H1733" s="378"/>
    </row>
    <row r="1734" spans="1:8" ht="19.5" customHeight="1">
      <c r="A1734" s="86"/>
      <c r="B1734" s="25">
        <v>50095</v>
      </c>
      <c r="C1734" s="25"/>
      <c r="D1734" s="67" t="s">
        <v>100</v>
      </c>
      <c r="E1734" s="4"/>
      <c r="F1734" s="4"/>
      <c r="G1734" s="4">
        <f>G1735</f>
        <v>4800</v>
      </c>
      <c r="H1734" s="4"/>
    </row>
    <row r="1735" spans="1:8" ht="19.5" customHeight="1">
      <c r="A1735" s="86"/>
      <c r="B1735" s="122"/>
      <c r="C1735" s="86"/>
      <c r="D1735" s="263" t="s">
        <v>68</v>
      </c>
      <c r="E1735" s="17"/>
      <c r="F1735" s="17"/>
      <c r="G1735" s="17">
        <f>G1736</f>
        <v>4800</v>
      </c>
      <c r="H1735" s="17"/>
    </row>
    <row r="1736" spans="1:8" ht="18.75" customHeight="1">
      <c r="A1736" s="22"/>
      <c r="B1736" s="22"/>
      <c r="C1736" s="22">
        <v>4170</v>
      </c>
      <c r="D1736" s="189" t="s">
        <v>740</v>
      </c>
      <c r="E1736" s="1070"/>
      <c r="F1736" s="1070"/>
      <c r="G1736" s="1070">
        <v>4800</v>
      </c>
      <c r="H1736" s="1070"/>
    </row>
    <row r="1737" spans="1:8" ht="29.25" customHeight="1" thickBot="1">
      <c r="A1737" s="375">
        <v>756</v>
      </c>
      <c r="B1737" s="375"/>
      <c r="C1737" s="375"/>
      <c r="D1737" s="376" t="s">
        <v>452</v>
      </c>
      <c r="E1737" s="378"/>
      <c r="F1737" s="378"/>
      <c r="G1737" s="378">
        <f>G1738</f>
        <v>190000</v>
      </c>
      <c r="H1737" s="378"/>
    </row>
    <row r="1738" spans="1:8" ht="19.5" customHeight="1">
      <c r="A1738" s="86"/>
      <c r="B1738" s="25">
        <v>75647</v>
      </c>
      <c r="C1738" s="25"/>
      <c r="D1738" s="67" t="s">
        <v>493</v>
      </c>
      <c r="E1738" s="4"/>
      <c r="F1738" s="4"/>
      <c r="G1738" s="4">
        <f>G1739</f>
        <v>190000</v>
      </c>
      <c r="H1738" s="4"/>
    </row>
    <row r="1739" spans="1:8" ht="19.5" customHeight="1">
      <c r="A1739" s="86"/>
      <c r="B1739" s="122"/>
      <c r="C1739" s="86"/>
      <c r="D1739" s="263" t="s">
        <v>49</v>
      </c>
      <c r="E1739" s="17"/>
      <c r="F1739" s="17"/>
      <c r="G1739" s="17">
        <f>G1740</f>
        <v>190000</v>
      </c>
      <c r="H1739" s="17"/>
    </row>
    <row r="1740" spans="1:8" ht="19.5" customHeight="1">
      <c r="A1740" s="86"/>
      <c r="B1740" s="86"/>
      <c r="C1740" s="22">
        <v>4300</v>
      </c>
      <c r="D1740" s="20" t="s">
        <v>815</v>
      </c>
      <c r="E1740" s="6"/>
      <c r="F1740" s="6"/>
      <c r="G1740" s="6">
        <v>190000</v>
      </c>
      <c r="H1740" s="6"/>
    </row>
    <row r="1741" spans="1:8" ht="24" customHeight="1">
      <c r="A1741" s="56"/>
      <c r="B1741" s="56"/>
      <c r="C1741" s="56"/>
      <c r="D1741" s="7" t="s">
        <v>869</v>
      </c>
      <c r="E1741" s="83"/>
      <c r="F1741" s="83">
        <f>F1742+F1747</f>
        <v>8124500</v>
      </c>
      <c r="G1741" s="83"/>
      <c r="H1741" s="83"/>
    </row>
    <row r="1742" spans="1:8" ht="21" customHeight="1" thickBot="1">
      <c r="A1742" s="158"/>
      <c r="B1742" s="158"/>
      <c r="C1742" s="158"/>
      <c r="D1742" s="159" t="s">
        <v>461</v>
      </c>
      <c r="E1742" s="160"/>
      <c r="F1742" s="160">
        <f>F1743</f>
        <v>22500</v>
      </c>
      <c r="G1742" s="160"/>
      <c r="H1742" s="160"/>
    </row>
    <row r="1743" spans="1:8" s="149" customFormat="1" ht="29.25" customHeight="1" thickBot="1" thickTop="1">
      <c r="A1743" s="425">
        <v>756</v>
      </c>
      <c r="B1743" s="405"/>
      <c r="C1743" s="405"/>
      <c r="D1743" s="426" t="s">
        <v>380</v>
      </c>
      <c r="E1743" s="406"/>
      <c r="F1743" s="406">
        <f>F1744</f>
        <v>22500</v>
      </c>
      <c r="G1743" s="406"/>
      <c r="H1743" s="406"/>
    </row>
    <row r="1744" spans="1:8" s="150" customFormat="1" ht="30" customHeight="1">
      <c r="A1744" s="170"/>
      <c r="B1744" s="165">
        <v>75618</v>
      </c>
      <c r="C1744" s="188"/>
      <c r="D1744" s="197" t="s">
        <v>989</v>
      </c>
      <c r="E1744" s="167"/>
      <c r="F1744" s="167">
        <f>F1745</f>
        <v>22500</v>
      </c>
      <c r="G1744" s="167"/>
      <c r="H1744" s="167"/>
    </row>
    <row r="1745" spans="1:8" s="150" customFormat="1" ht="18" customHeight="1">
      <c r="A1745" s="198"/>
      <c r="B1745" s="199"/>
      <c r="C1745" s="199"/>
      <c r="D1745" s="200" t="s">
        <v>638</v>
      </c>
      <c r="E1745" s="57"/>
      <c r="F1745" s="57">
        <f>F1746</f>
        <v>22500</v>
      </c>
      <c r="G1745" s="57"/>
      <c r="H1745" s="57"/>
    </row>
    <row r="1746" spans="1:8" s="1" customFormat="1" ht="19.5" customHeight="1">
      <c r="A1746" s="198"/>
      <c r="B1746" s="199"/>
      <c r="C1746" s="188" t="s">
        <v>637</v>
      </c>
      <c r="D1746" s="201" t="s">
        <v>577</v>
      </c>
      <c r="E1746" s="190"/>
      <c r="F1746" s="190">
        <v>22500</v>
      </c>
      <c r="G1746" s="190"/>
      <c r="H1746" s="190"/>
    </row>
    <row r="1747" spans="1:8" s="150" customFormat="1" ht="21" customHeight="1" thickBot="1">
      <c r="A1747" s="158"/>
      <c r="B1747" s="158"/>
      <c r="C1747" s="158"/>
      <c r="D1747" s="159" t="s">
        <v>101</v>
      </c>
      <c r="E1747" s="160"/>
      <c r="F1747" s="160">
        <f>F1748</f>
        <v>8102000</v>
      </c>
      <c r="G1747" s="160"/>
      <c r="H1747" s="160"/>
    </row>
    <row r="1748" spans="1:8" s="1" customFormat="1" ht="30.75" customHeight="1" thickBot="1" thickTop="1">
      <c r="A1748" s="405">
        <v>756</v>
      </c>
      <c r="B1748" s="405"/>
      <c r="C1748" s="405"/>
      <c r="D1748" s="427" t="s">
        <v>380</v>
      </c>
      <c r="E1748" s="406"/>
      <c r="F1748" s="406">
        <f>F1749</f>
        <v>8102000</v>
      </c>
      <c r="G1748" s="406"/>
      <c r="H1748" s="406"/>
    </row>
    <row r="1749" spans="1:8" s="8" customFormat="1" ht="28.5" customHeight="1">
      <c r="A1749" s="55"/>
      <c r="B1749" s="165">
        <v>75618</v>
      </c>
      <c r="C1749" s="165"/>
      <c r="D1749" s="197" t="s">
        <v>989</v>
      </c>
      <c r="E1749" s="167"/>
      <c r="F1749" s="167">
        <f>F1750+F1752+F1754+F1756</f>
        <v>8102000</v>
      </c>
      <c r="G1749" s="167"/>
      <c r="H1749" s="167"/>
    </row>
    <row r="1750" spans="1:8" s="150" customFormat="1" ht="26.25" customHeight="1">
      <c r="A1750" s="56"/>
      <c r="B1750" s="56"/>
      <c r="C1750" s="56"/>
      <c r="D1750" s="196" t="s">
        <v>541</v>
      </c>
      <c r="E1750" s="169"/>
      <c r="F1750" s="169">
        <f>F1751</f>
        <v>8000000</v>
      </c>
      <c r="G1750" s="169"/>
      <c r="H1750" s="169"/>
    </row>
    <row r="1751" spans="1:8" s="1" customFormat="1" ht="19.5" customHeight="1">
      <c r="A1751" s="170"/>
      <c r="B1751" s="170"/>
      <c r="C1751" s="188" t="s">
        <v>128</v>
      </c>
      <c r="D1751" s="189" t="s">
        <v>542</v>
      </c>
      <c r="E1751" s="173"/>
      <c r="F1751" s="173">
        <v>8000000</v>
      </c>
      <c r="G1751" s="173"/>
      <c r="H1751" s="173"/>
    </row>
    <row r="1752" spans="1:8" s="8" customFormat="1" ht="40.5" customHeight="1">
      <c r="A1752" s="202"/>
      <c r="B1752" s="203"/>
      <c r="C1752" s="204"/>
      <c r="D1752" s="205" t="s">
        <v>1108</v>
      </c>
      <c r="E1752" s="206"/>
      <c r="F1752" s="206">
        <f>F1753</f>
        <v>65000</v>
      </c>
      <c r="G1752" s="206"/>
      <c r="H1752" s="206"/>
    </row>
    <row r="1753" spans="1:8" s="1" customFormat="1" ht="19.5" customHeight="1">
      <c r="A1753" s="207"/>
      <c r="B1753" s="208"/>
      <c r="C1753" s="188" t="s">
        <v>637</v>
      </c>
      <c r="D1753" s="209" t="s">
        <v>577</v>
      </c>
      <c r="E1753" s="210"/>
      <c r="F1753" s="210">
        <v>65000</v>
      </c>
      <c r="G1753" s="210"/>
      <c r="H1753" s="210"/>
    </row>
    <row r="1754" spans="1:8" s="8" customFormat="1" ht="20.25" customHeight="1">
      <c r="A1754" s="202"/>
      <c r="B1754" s="203"/>
      <c r="C1754" s="204"/>
      <c r="D1754" s="205" t="s">
        <v>578</v>
      </c>
      <c r="E1754" s="206"/>
      <c r="F1754" s="206">
        <f>F1755</f>
        <v>34000</v>
      </c>
      <c r="G1754" s="206"/>
      <c r="H1754" s="206"/>
    </row>
    <row r="1755" spans="1:8" ht="19.5" customHeight="1">
      <c r="A1755" s="1093"/>
      <c r="B1755" s="189"/>
      <c r="C1755" s="188" t="s">
        <v>728</v>
      </c>
      <c r="D1755" s="209" t="s">
        <v>512</v>
      </c>
      <c r="E1755" s="210"/>
      <c r="F1755" s="210">
        <v>34000</v>
      </c>
      <c r="G1755" s="210"/>
      <c r="H1755" s="210"/>
    </row>
    <row r="1756" spans="1:8" s="149" customFormat="1" ht="18.75" customHeight="1">
      <c r="A1756" s="202"/>
      <c r="B1756" s="203"/>
      <c r="C1756" s="203"/>
      <c r="D1756" s="1094" t="s">
        <v>188</v>
      </c>
      <c r="E1756" s="1095"/>
      <c r="F1756" s="1095">
        <f>F1757</f>
        <v>3000</v>
      </c>
      <c r="G1756" s="1095"/>
      <c r="H1756" s="1095"/>
    </row>
    <row r="1757" spans="1:8" ht="19.5" customHeight="1">
      <c r="A1757" s="207"/>
      <c r="B1757" s="208"/>
      <c r="C1757" s="188" t="s">
        <v>728</v>
      </c>
      <c r="D1757" s="209" t="s">
        <v>512</v>
      </c>
      <c r="E1757" s="210"/>
      <c r="F1757" s="210">
        <v>3000</v>
      </c>
      <c r="G1757" s="210"/>
      <c r="H1757" s="210"/>
    </row>
    <row r="1758" spans="1:8" ht="21.75" customHeight="1">
      <c r="A1758" s="56"/>
      <c r="B1758" s="56"/>
      <c r="C1758" s="56"/>
      <c r="D1758" s="271" t="s">
        <v>870</v>
      </c>
      <c r="E1758" s="272">
        <f>E1759</f>
        <v>253168</v>
      </c>
      <c r="F1758" s="272"/>
      <c r="G1758" s="272">
        <f>G1770+G1959+G1968</f>
        <v>105908482</v>
      </c>
      <c r="H1758" s="272"/>
    </row>
    <row r="1759" spans="1:8" ht="19.5" customHeight="1" thickBot="1">
      <c r="A1759" s="158"/>
      <c r="B1759" s="158"/>
      <c r="C1759" s="158"/>
      <c r="D1759" s="159" t="s">
        <v>461</v>
      </c>
      <c r="E1759" s="160">
        <f>E1760+E1764</f>
        <v>253168</v>
      </c>
      <c r="F1759" s="160"/>
      <c r="G1759" s="160"/>
      <c r="H1759" s="160"/>
    </row>
    <row r="1760" spans="1:8" ht="19.5" customHeight="1" thickBot="1" thickTop="1">
      <c r="A1760" s="405">
        <v>700</v>
      </c>
      <c r="B1760" s="405"/>
      <c r="C1760" s="405"/>
      <c r="D1760" s="405" t="s">
        <v>433</v>
      </c>
      <c r="E1760" s="406">
        <f>E1761</f>
        <v>23000</v>
      </c>
      <c r="F1760" s="406"/>
      <c r="G1760" s="406"/>
      <c r="H1760" s="406"/>
    </row>
    <row r="1761" spans="1:8" s="184" customFormat="1" ht="19.5" customHeight="1">
      <c r="A1761" s="55"/>
      <c r="B1761" s="165">
        <v>70005</v>
      </c>
      <c r="C1761" s="165"/>
      <c r="D1761" s="185" t="s">
        <v>435</v>
      </c>
      <c r="E1761" s="167">
        <f>E1762</f>
        <v>23000</v>
      </c>
      <c r="F1761" s="167"/>
      <c r="G1761" s="167"/>
      <c r="H1761" s="167"/>
    </row>
    <row r="1762" spans="1:8" ht="19.5" customHeight="1">
      <c r="A1762" s="56"/>
      <c r="B1762" s="55"/>
      <c r="C1762" s="55"/>
      <c r="D1762" s="186" t="s">
        <v>520</v>
      </c>
      <c r="E1762" s="169">
        <f>E1763</f>
        <v>23000</v>
      </c>
      <c r="F1762" s="169"/>
      <c r="G1762" s="169"/>
      <c r="H1762" s="169"/>
    </row>
    <row r="1763" spans="1:8" s="174" customFormat="1" ht="38.25">
      <c r="A1763" s="187"/>
      <c r="B1763" s="187"/>
      <c r="C1763" s="188" t="s">
        <v>632</v>
      </c>
      <c r="D1763" s="189" t="s">
        <v>999</v>
      </c>
      <c r="E1763" s="190">
        <v>23000</v>
      </c>
      <c r="F1763" s="190"/>
      <c r="G1763" s="190"/>
      <c r="H1763" s="190"/>
    </row>
    <row r="1764" spans="1:8" ht="19.5" customHeight="1" thickBot="1">
      <c r="A1764" s="405">
        <v>750</v>
      </c>
      <c r="B1764" s="405"/>
      <c r="C1764" s="405"/>
      <c r="D1764" s="405" t="s">
        <v>439</v>
      </c>
      <c r="E1764" s="406">
        <f>E1765</f>
        <v>230168</v>
      </c>
      <c r="F1764" s="406"/>
      <c r="G1764" s="406"/>
      <c r="H1764" s="406"/>
    </row>
    <row r="1765" spans="1:8" s="184" customFormat="1" ht="19.5" customHeight="1">
      <c r="A1765" s="55"/>
      <c r="B1765" s="165">
        <v>75023</v>
      </c>
      <c r="C1765" s="165"/>
      <c r="D1765" s="185" t="s">
        <v>1061</v>
      </c>
      <c r="E1765" s="167">
        <f>E1766+E1768</f>
        <v>230168</v>
      </c>
      <c r="F1765" s="167"/>
      <c r="G1765" s="167"/>
      <c r="H1765" s="167"/>
    </row>
    <row r="1766" spans="1:8" ht="19.5" customHeight="1">
      <c r="A1766" s="56"/>
      <c r="B1766" s="55"/>
      <c r="C1766" s="55"/>
      <c r="D1766" s="79" t="s">
        <v>1120</v>
      </c>
      <c r="E1766" s="169">
        <f>E1767</f>
        <v>50000</v>
      </c>
      <c r="F1766" s="169"/>
      <c r="G1766" s="169"/>
      <c r="H1766" s="169"/>
    </row>
    <row r="1767" spans="1:8" s="174" customFormat="1" ht="19.5" customHeight="1">
      <c r="A1767" s="191"/>
      <c r="B1767" s="191"/>
      <c r="C1767" s="188" t="s">
        <v>728</v>
      </c>
      <c r="D1767" s="189" t="s">
        <v>512</v>
      </c>
      <c r="E1767" s="190">
        <v>50000</v>
      </c>
      <c r="F1767" s="190"/>
      <c r="G1767" s="190"/>
      <c r="H1767" s="190"/>
    </row>
    <row r="1768" spans="1:8" ht="18" customHeight="1">
      <c r="A1768" s="923"/>
      <c r="B1768" s="923"/>
      <c r="C1768" s="938"/>
      <c r="D1768" s="904" t="s">
        <v>790</v>
      </c>
      <c r="E1768" s="270">
        <f>E1769</f>
        <v>180168</v>
      </c>
      <c r="F1768" s="270"/>
      <c r="G1768" s="270"/>
      <c r="H1768" s="270"/>
    </row>
    <row r="1769" spans="1:8" ht="18" customHeight="1">
      <c r="A1769" s="957"/>
      <c r="B1769" s="957"/>
      <c r="C1769" s="940" t="s">
        <v>1064</v>
      </c>
      <c r="D1769" s="941" t="s">
        <v>882</v>
      </c>
      <c r="E1769" s="958">
        <v>180168</v>
      </c>
      <c r="F1769" s="958"/>
      <c r="G1769" s="958"/>
      <c r="H1769" s="958"/>
    </row>
    <row r="1770" spans="1:8" ht="19.5" customHeight="1" thickBot="1">
      <c r="A1770" s="158"/>
      <c r="B1770" s="158"/>
      <c r="C1770" s="158"/>
      <c r="D1770" s="159" t="s">
        <v>646</v>
      </c>
      <c r="E1770" s="160"/>
      <c r="F1770" s="160"/>
      <c r="G1770" s="160">
        <f>G1771+G1775+G1823+G1832+G1881+G1889+G1907+G1921+G1946+G1955+G1950</f>
        <v>103483142</v>
      </c>
      <c r="H1770" s="160"/>
    </row>
    <row r="1771" spans="1:8" ht="19.5" customHeight="1" thickBot="1" thickTop="1">
      <c r="A1771" s="394">
        <v>700</v>
      </c>
      <c r="B1771" s="394"/>
      <c r="C1771" s="394"/>
      <c r="D1771" s="394" t="s">
        <v>433</v>
      </c>
      <c r="E1771" s="378"/>
      <c r="F1771" s="378"/>
      <c r="G1771" s="378">
        <f>G1772</f>
        <v>4800</v>
      </c>
      <c r="H1771" s="378"/>
    </row>
    <row r="1772" spans="1:8" ht="19.5" customHeight="1">
      <c r="A1772" s="86"/>
      <c r="B1772" s="3">
        <v>70005</v>
      </c>
      <c r="C1772" s="3"/>
      <c r="D1772" s="3" t="s">
        <v>435</v>
      </c>
      <c r="E1772" s="4"/>
      <c r="F1772" s="4"/>
      <c r="G1772" s="4">
        <f>G1773</f>
        <v>4800</v>
      </c>
      <c r="H1772" s="4"/>
    </row>
    <row r="1773" spans="1:8" ht="27" customHeight="1">
      <c r="A1773" s="86"/>
      <c r="B1773" s="86"/>
      <c r="C1773" s="86"/>
      <c r="D1773" s="16" t="s">
        <v>284</v>
      </c>
      <c r="E1773" s="66"/>
      <c r="F1773" s="66"/>
      <c r="G1773" s="66">
        <f>SUM(G1774:G1774)</f>
        <v>4800</v>
      </c>
      <c r="H1773" s="66"/>
    </row>
    <row r="1774" spans="1:8" ht="19.5" customHeight="1">
      <c r="A1774" s="86"/>
      <c r="B1774" s="86"/>
      <c r="C1774" s="22">
        <v>3050</v>
      </c>
      <c r="D1774" s="20" t="s">
        <v>345</v>
      </c>
      <c r="E1774" s="6"/>
      <c r="F1774" s="6"/>
      <c r="G1774" s="6">
        <v>4800</v>
      </c>
      <c r="H1774" s="6"/>
    </row>
    <row r="1775" spans="1:8" s="1" customFormat="1" ht="19.5" customHeight="1" thickBot="1">
      <c r="A1775" s="394">
        <v>750</v>
      </c>
      <c r="B1775" s="394"/>
      <c r="C1775" s="394"/>
      <c r="D1775" s="394" t="s">
        <v>439</v>
      </c>
      <c r="E1775" s="377"/>
      <c r="F1775" s="377"/>
      <c r="G1775" s="377">
        <f>G1776+G1795</f>
        <v>65708000</v>
      </c>
      <c r="H1775" s="377"/>
    </row>
    <row r="1776" spans="1:8" s="1" customFormat="1" ht="19.5" customHeight="1">
      <c r="A1776" s="86"/>
      <c r="B1776" s="3">
        <v>75022</v>
      </c>
      <c r="C1776" s="3"/>
      <c r="D1776" s="3" t="s">
        <v>440</v>
      </c>
      <c r="E1776" s="4"/>
      <c r="F1776" s="4"/>
      <c r="G1776" s="4">
        <f>G1777+G1788</f>
        <v>390000</v>
      </c>
      <c r="H1776" s="4"/>
    </row>
    <row r="1777" spans="1:8" ht="19.5" customHeight="1">
      <c r="A1777" s="86"/>
      <c r="B1777" s="86"/>
      <c r="C1777" s="18"/>
      <c r="D1777" s="93" t="s">
        <v>701</v>
      </c>
      <c r="E1777" s="66"/>
      <c r="F1777" s="66"/>
      <c r="G1777" s="66">
        <f>SUM(G1778:G1787)-G1781</f>
        <v>382000</v>
      </c>
      <c r="H1777" s="66"/>
    </row>
    <row r="1778" spans="1:8" ht="19.5" customHeight="1">
      <c r="A1778" s="86"/>
      <c r="B1778" s="86"/>
      <c r="C1778" s="22">
        <v>3030</v>
      </c>
      <c r="D1778" s="20" t="s">
        <v>747</v>
      </c>
      <c r="E1778" s="88"/>
      <c r="F1778" s="88"/>
      <c r="G1778" s="88">
        <v>254552</v>
      </c>
      <c r="H1778" s="88"/>
    </row>
    <row r="1779" spans="1:8" ht="19.5" customHeight="1">
      <c r="A1779" s="86"/>
      <c r="B1779" s="86"/>
      <c r="C1779" s="144">
        <v>4210</v>
      </c>
      <c r="D1779" s="144" t="s">
        <v>748</v>
      </c>
      <c r="E1779" s="65"/>
      <c r="F1779" s="65"/>
      <c r="G1779" s="65">
        <v>3400</v>
      </c>
      <c r="H1779" s="65"/>
    </row>
    <row r="1780" spans="1:8" ht="19.5" customHeight="1">
      <c r="A1780" s="86"/>
      <c r="B1780" s="86"/>
      <c r="C1780" s="144">
        <v>4260</v>
      </c>
      <c r="D1780" s="144" t="s">
        <v>752</v>
      </c>
      <c r="E1780" s="65"/>
      <c r="F1780" s="65"/>
      <c r="G1780" s="65">
        <v>33891</v>
      </c>
      <c r="H1780" s="65"/>
    </row>
    <row r="1781" spans="1:8" ht="18.75" customHeight="1">
      <c r="A1781" s="86"/>
      <c r="B1781" s="86"/>
      <c r="C1781" s="128"/>
      <c r="D1781" s="293" t="s">
        <v>702</v>
      </c>
      <c r="E1781" s="178"/>
      <c r="F1781" s="178"/>
      <c r="G1781" s="178">
        <f>G1782</f>
        <v>17000</v>
      </c>
      <c r="H1781" s="178"/>
    </row>
    <row r="1782" spans="1:8" ht="18.75" customHeight="1">
      <c r="A1782" s="107"/>
      <c r="B1782" s="107"/>
      <c r="C1782" s="22">
        <v>4270</v>
      </c>
      <c r="D1782" s="227" t="s">
        <v>98</v>
      </c>
      <c r="E1782" s="228"/>
      <c r="F1782" s="228"/>
      <c r="G1782" s="228">
        <v>17000</v>
      </c>
      <c r="H1782" s="228"/>
    </row>
    <row r="1783" spans="1:8" ht="19.5" customHeight="1">
      <c r="A1783" s="86"/>
      <c r="B1783" s="86"/>
      <c r="C1783" s="22">
        <v>4300</v>
      </c>
      <c r="D1783" s="22" t="s">
        <v>815</v>
      </c>
      <c r="E1783" s="6"/>
      <c r="F1783" s="6"/>
      <c r="G1783" s="6">
        <v>1872</v>
      </c>
      <c r="H1783" s="6"/>
    </row>
    <row r="1784" spans="1:8" ht="19.5" customHeight="1">
      <c r="A1784" s="86"/>
      <c r="B1784" s="86"/>
      <c r="C1784" s="22">
        <v>4360</v>
      </c>
      <c r="D1784" s="20" t="s">
        <v>310</v>
      </c>
      <c r="E1784" s="65"/>
      <c r="F1784" s="65"/>
      <c r="G1784" s="65">
        <v>2560</v>
      </c>
      <c r="H1784" s="65"/>
    </row>
    <row r="1785" spans="1:8" ht="19.5" customHeight="1">
      <c r="A1785" s="86"/>
      <c r="B1785" s="86"/>
      <c r="C1785" s="22">
        <v>4370</v>
      </c>
      <c r="D1785" s="20" t="s">
        <v>311</v>
      </c>
      <c r="E1785" s="65"/>
      <c r="F1785" s="65"/>
      <c r="G1785" s="65">
        <v>19025</v>
      </c>
      <c r="H1785" s="65"/>
    </row>
    <row r="1786" spans="1:8" ht="19.5" customHeight="1">
      <c r="A1786" s="86"/>
      <c r="B1786" s="86"/>
      <c r="C1786" s="22">
        <v>4400</v>
      </c>
      <c r="D1786" s="20" t="s">
        <v>1081</v>
      </c>
      <c r="E1786" s="65"/>
      <c r="F1786" s="65"/>
      <c r="G1786" s="65">
        <v>48650</v>
      </c>
      <c r="H1786" s="65"/>
    </row>
    <row r="1787" spans="1:8" ht="25.5">
      <c r="A1787" s="86"/>
      <c r="B1787" s="86"/>
      <c r="C1787" s="22">
        <v>4740</v>
      </c>
      <c r="D1787" s="20" t="s">
        <v>313</v>
      </c>
      <c r="E1787" s="65"/>
      <c r="F1787" s="65"/>
      <c r="G1787" s="65">
        <v>1050</v>
      </c>
      <c r="H1787" s="65"/>
    </row>
    <row r="1788" spans="1:8" ht="19.5" customHeight="1">
      <c r="A1788" s="86"/>
      <c r="B1788" s="86"/>
      <c r="C1788" s="18"/>
      <c r="D1788" s="93" t="s">
        <v>925</v>
      </c>
      <c r="E1788" s="66"/>
      <c r="F1788" s="66"/>
      <c r="G1788" s="66">
        <f>SUM(G1789:G1794)</f>
        <v>8000</v>
      </c>
      <c r="H1788" s="66"/>
    </row>
    <row r="1789" spans="1:8" ht="19.5" customHeight="1">
      <c r="A1789" s="86"/>
      <c r="B1789" s="86"/>
      <c r="C1789" s="22">
        <v>3030</v>
      </c>
      <c r="D1789" s="20" t="s">
        <v>747</v>
      </c>
      <c r="E1789" s="88"/>
      <c r="F1789" s="88"/>
      <c r="G1789" s="88">
        <v>2400</v>
      </c>
      <c r="H1789" s="88"/>
    </row>
    <row r="1790" spans="1:8" ht="19.5" customHeight="1">
      <c r="A1790" s="18"/>
      <c r="B1790" s="18"/>
      <c r="C1790" s="22">
        <v>4110</v>
      </c>
      <c r="D1790" s="20" t="s">
        <v>681</v>
      </c>
      <c r="E1790" s="6"/>
      <c r="F1790" s="6"/>
      <c r="G1790" s="6">
        <v>500</v>
      </c>
      <c r="H1790" s="6"/>
    </row>
    <row r="1791" spans="1:8" ht="19.5" customHeight="1">
      <c r="A1791" s="18"/>
      <c r="B1791" s="18"/>
      <c r="C1791" s="22">
        <v>4120</v>
      </c>
      <c r="D1791" s="20" t="s">
        <v>682</v>
      </c>
      <c r="E1791" s="6"/>
      <c r="F1791" s="6"/>
      <c r="G1791" s="6">
        <v>100</v>
      </c>
      <c r="H1791" s="6"/>
    </row>
    <row r="1792" spans="1:8" ht="19.5" customHeight="1">
      <c r="A1792" s="18"/>
      <c r="B1792" s="18"/>
      <c r="C1792" s="22">
        <v>4170</v>
      </c>
      <c r="D1792" s="20" t="s">
        <v>740</v>
      </c>
      <c r="E1792" s="6"/>
      <c r="F1792" s="6"/>
      <c r="G1792" s="6">
        <v>3000</v>
      </c>
      <c r="H1792" s="6"/>
    </row>
    <row r="1793" spans="1:8" ht="19.5" customHeight="1">
      <c r="A1793" s="18"/>
      <c r="B1793" s="18"/>
      <c r="C1793" s="22">
        <v>4210</v>
      </c>
      <c r="D1793" s="20" t="s">
        <v>748</v>
      </c>
      <c r="E1793" s="6"/>
      <c r="F1793" s="6"/>
      <c r="G1793" s="6">
        <v>1000</v>
      </c>
      <c r="H1793" s="6"/>
    </row>
    <row r="1794" spans="1:8" ht="19.5" customHeight="1">
      <c r="A1794" s="18"/>
      <c r="B1794" s="22"/>
      <c r="C1794" s="22">
        <v>4300</v>
      </c>
      <c r="D1794" s="20" t="s">
        <v>815</v>
      </c>
      <c r="E1794" s="6"/>
      <c r="F1794" s="6"/>
      <c r="G1794" s="6">
        <v>1000</v>
      </c>
      <c r="H1794" s="6"/>
    </row>
    <row r="1795" spans="1:8" ht="18.75" customHeight="1">
      <c r="A1795" s="56"/>
      <c r="B1795" s="165">
        <v>75023</v>
      </c>
      <c r="C1795" s="165"/>
      <c r="D1795" s="165" t="s">
        <v>1061</v>
      </c>
      <c r="E1795" s="167"/>
      <c r="F1795" s="167"/>
      <c r="G1795" s="167">
        <f>G1796</f>
        <v>65318000</v>
      </c>
      <c r="H1795" s="167"/>
    </row>
    <row r="1796" spans="1:8" ht="18.75" customHeight="1">
      <c r="A1796" s="56"/>
      <c r="B1796" s="56"/>
      <c r="C1796" s="56"/>
      <c r="D1796" s="186" t="s">
        <v>703</v>
      </c>
      <c r="E1796" s="169"/>
      <c r="F1796" s="169"/>
      <c r="G1796" s="169">
        <f>SUM(G1797:G1818)-G1807+G1820+G1822</f>
        <v>65318000</v>
      </c>
      <c r="H1796" s="169"/>
    </row>
    <row r="1797" spans="1:8" ht="18.75" customHeight="1">
      <c r="A1797" s="277"/>
      <c r="B1797" s="277"/>
      <c r="C1797" s="22">
        <v>3020</v>
      </c>
      <c r="D1797" s="22" t="s">
        <v>639</v>
      </c>
      <c r="E1797" s="173"/>
      <c r="F1797" s="173"/>
      <c r="G1797" s="173">
        <v>50000</v>
      </c>
      <c r="H1797" s="173"/>
    </row>
    <row r="1798" spans="1:8" ht="18.75" customHeight="1">
      <c r="A1798" s="277"/>
      <c r="B1798" s="277"/>
      <c r="C1798" s="22">
        <v>4010</v>
      </c>
      <c r="D1798" s="22" t="s">
        <v>754</v>
      </c>
      <c r="E1798" s="232"/>
      <c r="F1798" s="232"/>
      <c r="G1798" s="232">
        <v>36340000</v>
      </c>
      <c r="H1798" s="232"/>
    </row>
    <row r="1799" spans="1:8" ht="18.75" customHeight="1">
      <c r="A1799" s="277"/>
      <c r="B1799" s="277"/>
      <c r="C1799" s="144">
        <v>4040</v>
      </c>
      <c r="D1799" s="144" t="s">
        <v>755</v>
      </c>
      <c r="E1799" s="232"/>
      <c r="F1799" s="232"/>
      <c r="G1799" s="232">
        <v>2600509</v>
      </c>
      <c r="H1799" s="232"/>
    </row>
    <row r="1800" spans="1:8" ht="18.75" customHeight="1">
      <c r="A1800" s="277"/>
      <c r="B1800" s="277"/>
      <c r="C1800" s="22">
        <v>4110</v>
      </c>
      <c r="D1800" s="20" t="s">
        <v>681</v>
      </c>
      <c r="E1800" s="232"/>
      <c r="F1800" s="232"/>
      <c r="G1800" s="232">
        <v>6300000</v>
      </c>
      <c r="H1800" s="232"/>
    </row>
    <row r="1801" spans="1:8" ht="18.75" customHeight="1">
      <c r="A1801" s="277"/>
      <c r="B1801" s="277"/>
      <c r="C1801" s="22">
        <v>4120</v>
      </c>
      <c r="D1801" s="20" t="s">
        <v>682</v>
      </c>
      <c r="E1801" s="232"/>
      <c r="F1801" s="232"/>
      <c r="G1801" s="232">
        <v>558000</v>
      </c>
      <c r="H1801" s="232"/>
    </row>
    <row r="1802" spans="1:8" ht="18.75" customHeight="1">
      <c r="A1802" s="277"/>
      <c r="B1802" s="277"/>
      <c r="C1802" s="18">
        <v>4140</v>
      </c>
      <c r="D1802" s="221" t="s">
        <v>241</v>
      </c>
      <c r="E1802" s="232"/>
      <c r="F1802" s="232"/>
      <c r="G1802" s="232">
        <v>290500</v>
      </c>
      <c r="H1802" s="232"/>
    </row>
    <row r="1803" spans="1:8" ht="18.75" customHeight="1">
      <c r="A1803" s="277"/>
      <c r="B1803" s="277"/>
      <c r="C1803" s="144">
        <v>4170</v>
      </c>
      <c r="D1803" s="144" t="s">
        <v>740</v>
      </c>
      <c r="E1803" s="232"/>
      <c r="F1803" s="232"/>
      <c r="G1803" s="232">
        <v>220000</v>
      </c>
      <c r="H1803" s="232"/>
    </row>
    <row r="1804" spans="1:8" ht="18.75" customHeight="1">
      <c r="A1804" s="277"/>
      <c r="B1804" s="277"/>
      <c r="C1804" s="128">
        <v>4210</v>
      </c>
      <c r="D1804" s="128" t="s">
        <v>748</v>
      </c>
      <c r="E1804" s="232"/>
      <c r="F1804" s="232"/>
      <c r="G1804" s="232">
        <v>1254500</v>
      </c>
      <c r="H1804" s="232"/>
    </row>
    <row r="1805" spans="1:8" ht="18.75" customHeight="1">
      <c r="A1805" s="277"/>
      <c r="B1805" s="277"/>
      <c r="C1805" s="128">
        <v>4260</v>
      </c>
      <c r="D1805" s="144" t="s">
        <v>752</v>
      </c>
      <c r="E1805" s="232"/>
      <c r="F1805" s="232"/>
      <c r="G1805" s="232">
        <v>1000000</v>
      </c>
      <c r="H1805" s="232"/>
    </row>
    <row r="1806" spans="1:8" ht="18.75" customHeight="1">
      <c r="A1806" s="277"/>
      <c r="B1806" s="277"/>
      <c r="C1806" s="128"/>
      <c r="D1806" s="251" t="s">
        <v>704</v>
      </c>
      <c r="E1806" s="180"/>
      <c r="F1806" s="180"/>
      <c r="G1806" s="180">
        <v>400000</v>
      </c>
      <c r="H1806" s="180"/>
    </row>
    <row r="1807" spans="1:8" ht="18.75" customHeight="1">
      <c r="A1807" s="277"/>
      <c r="B1807" s="277"/>
      <c r="C1807" s="22">
        <v>4270</v>
      </c>
      <c r="D1807" s="20" t="s">
        <v>98</v>
      </c>
      <c r="E1807" s="234"/>
      <c r="F1807" s="234"/>
      <c r="G1807" s="234">
        <f>G1806</f>
        <v>400000</v>
      </c>
      <c r="H1807" s="234"/>
    </row>
    <row r="1808" spans="1:8" ht="18.75" customHeight="1">
      <c r="A1808" s="277"/>
      <c r="B1808" s="277"/>
      <c r="C1808" s="144">
        <v>4280</v>
      </c>
      <c r="D1808" s="252" t="s">
        <v>304</v>
      </c>
      <c r="E1808" s="232"/>
      <c r="F1808" s="232"/>
      <c r="G1808" s="232">
        <v>35000</v>
      </c>
      <c r="H1808" s="232"/>
    </row>
    <row r="1809" spans="1:8" ht="18.75" customHeight="1">
      <c r="A1809" s="277"/>
      <c r="B1809" s="277"/>
      <c r="C1809" s="22">
        <v>4300</v>
      </c>
      <c r="D1809" s="20" t="s">
        <v>815</v>
      </c>
      <c r="E1809" s="176"/>
      <c r="F1809" s="176"/>
      <c r="G1809" s="176">
        <f>6720000</f>
        <v>6720000</v>
      </c>
      <c r="H1809" s="176"/>
    </row>
    <row r="1810" spans="1:8" ht="18.75" customHeight="1">
      <c r="A1810" s="291"/>
      <c r="B1810" s="291"/>
      <c r="C1810" s="22">
        <v>4360</v>
      </c>
      <c r="D1810" s="20" t="s">
        <v>310</v>
      </c>
      <c r="E1810" s="232"/>
      <c r="F1810" s="232"/>
      <c r="G1810" s="232">
        <v>245000</v>
      </c>
      <c r="H1810" s="232"/>
    </row>
    <row r="1811" spans="1:8" ht="18.75" customHeight="1">
      <c r="A1811" s="277"/>
      <c r="B1811" s="277"/>
      <c r="C1811" s="22">
        <v>4380</v>
      </c>
      <c r="D1811" s="20" t="s">
        <v>199</v>
      </c>
      <c r="E1811" s="176"/>
      <c r="F1811" s="176"/>
      <c r="G1811" s="176">
        <v>20000</v>
      </c>
      <c r="H1811" s="176"/>
    </row>
    <row r="1812" spans="1:8" ht="18.75" customHeight="1">
      <c r="A1812" s="277"/>
      <c r="B1812" s="277"/>
      <c r="C1812" s="22">
        <v>4400</v>
      </c>
      <c r="D1812" s="20" t="s">
        <v>1081</v>
      </c>
      <c r="E1812" s="232"/>
      <c r="F1812" s="232"/>
      <c r="G1812" s="232">
        <v>60000</v>
      </c>
      <c r="H1812" s="232"/>
    </row>
    <row r="1813" spans="1:8" ht="18.75" customHeight="1">
      <c r="A1813" s="277"/>
      <c r="B1813" s="277"/>
      <c r="C1813" s="144">
        <v>4410</v>
      </c>
      <c r="D1813" s="144" t="s">
        <v>749</v>
      </c>
      <c r="E1813" s="232"/>
      <c r="F1813" s="232"/>
      <c r="G1813" s="232">
        <v>120000</v>
      </c>
      <c r="H1813" s="232"/>
    </row>
    <row r="1814" spans="1:8" ht="18.75" customHeight="1">
      <c r="A1814" s="277"/>
      <c r="B1814" s="277"/>
      <c r="C1814" s="144">
        <v>4420</v>
      </c>
      <c r="D1814" s="144" t="s">
        <v>686</v>
      </c>
      <c r="E1814" s="232"/>
      <c r="F1814" s="232"/>
      <c r="G1814" s="232">
        <v>80000</v>
      </c>
      <c r="H1814" s="232"/>
    </row>
    <row r="1815" spans="1:8" ht="18.75" customHeight="1">
      <c r="A1815" s="277"/>
      <c r="B1815" s="277"/>
      <c r="C1815" s="18">
        <v>4430</v>
      </c>
      <c r="D1815" s="18" t="s">
        <v>750</v>
      </c>
      <c r="E1815" s="232"/>
      <c r="F1815" s="232"/>
      <c r="G1815" s="232">
        <v>400000</v>
      </c>
      <c r="H1815" s="232"/>
    </row>
    <row r="1816" spans="1:8" ht="18.75" customHeight="1">
      <c r="A1816" s="277"/>
      <c r="B1816" s="277"/>
      <c r="C1816" s="144">
        <v>4440</v>
      </c>
      <c r="D1816" s="252" t="s">
        <v>684</v>
      </c>
      <c r="E1816" s="232"/>
      <c r="F1816" s="232"/>
      <c r="G1816" s="232">
        <v>724491</v>
      </c>
      <c r="H1816" s="232"/>
    </row>
    <row r="1817" spans="1:8" ht="18.75" customHeight="1">
      <c r="A1817" s="277"/>
      <c r="B1817" s="277"/>
      <c r="C1817" s="22">
        <v>4700</v>
      </c>
      <c r="D1817" s="20" t="s">
        <v>312</v>
      </c>
      <c r="E1817" s="232"/>
      <c r="F1817" s="232"/>
      <c r="G1817" s="232">
        <v>200000</v>
      </c>
      <c r="H1817" s="232"/>
    </row>
    <row r="1818" spans="1:8" ht="25.5">
      <c r="A1818" s="277"/>
      <c r="B1818" s="277"/>
      <c r="C1818" s="22">
        <v>4740</v>
      </c>
      <c r="D1818" s="20" t="s">
        <v>313</v>
      </c>
      <c r="E1818" s="232"/>
      <c r="F1818" s="232"/>
      <c r="G1818" s="232">
        <v>500000</v>
      </c>
      <c r="H1818" s="232"/>
    </row>
    <row r="1819" spans="1:8" ht="16.5" customHeight="1">
      <c r="A1819" s="56"/>
      <c r="B1819" s="56"/>
      <c r="C1819" s="170"/>
      <c r="D1819" s="248" t="s">
        <v>395</v>
      </c>
      <c r="E1819" s="249"/>
      <c r="F1819" s="249"/>
      <c r="G1819" s="249">
        <f>5700000+1000000</f>
        <v>6700000</v>
      </c>
      <c r="H1819" s="249"/>
    </row>
    <row r="1820" spans="1:8" ht="15.75" customHeight="1">
      <c r="A1820" s="56"/>
      <c r="B1820" s="56"/>
      <c r="C1820" s="181">
        <v>6050</v>
      </c>
      <c r="D1820" s="181" t="s">
        <v>746</v>
      </c>
      <c r="E1820" s="176"/>
      <c r="F1820" s="176"/>
      <c r="G1820" s="176">
        <f>SUM(G1819:G1819)</f>
        <v>6700000</v>
      </c>
      <c r="H1820" s="176"/>
    </row>
    <row r="1821" spans="1:8" ht="16.5" customHeight="1">
      <c r="A1821" s="56"/>
      <c r="B1821" s="56"/>
      <c r="C1821" s="170"/>
      <c r="D1821" s="248" t="s">
        <v>280</v>
      </c>
      <c r="E1821" s="250"/>
      <c r="F1821" s="250"/>
      <c r="G1821" s="249">
        <v>500000</v>
      </c>
      <c r="H1821" s="249"/>
    </row>
    <row r="1822" spans="1:8" ht="15.75" customHeight="1">
      <c r="A1822" s="56"/>
      <c r="B1822" s="158"/>
      <c r="C1822" s="181">
        <v>6060</v>
      </c>
      <c r="D1822" s="181" t="s">
        <v>685</v>
      </c>
      <c r="E1822" s="176"/>
      <c r="F1822" s="176"/>
      <c r="G1822" s="176">
        <f>G1821</f>
        <v>500000</v>
      </c>
      <c r="H1822" s="176"/>
    </row>
    <row r="1823" spans="1:8" ht="19.5" customHeight="1" thickBot="1">
      <c r="A1823" s="396">
        <v>754</v>
      </c>
      <c r="B1823" s="394"/>
      <c r="C1823" s="402"/>
      <c r="D1823" s="376" t="s">
        <v>441</v>
      </c>
      <c r="E1823" s="377"/>
      <c r="F1823" s="377"/>
      <c r="G1823" s="377">
        <f>G1824+G1828</f>
        <v>58000</v>
      </c>
      <c r="H1823" s="377"/>
    </row>
    <row r="1824" spans="1:8" ht="18" customHeight="1">
      <c r="A1824" s="5"/>
      <c r="B1824" s="3">
        <v>75412</v>
      </c>
      <c r="C1824" s="45"/>
      <c r="D1824" s="67" t="s">
        <v>443</v>
      </c>
      <c r="E1824" s="4"/>
      <c r="F1824" s="4"/>
      <c r="G1824" s="4">
        <f>G1825</f>
        <v>38000</v>
      </c>
      <c r="H1824" s="4"/>
    </row>
    <row r="1825" spans="1:8" ht="18" customHeight="1">
      <c r="A1825" s="86"/>
      <c r="B1825" s="122"/>
      <c r="C1825" s="128"/>
      <c r="D1825" s="186" t="s">
        <v>669</v>
      </c>
      <c r="E1825" s="236"/>
      <c r="F1825" s="236"/>
      <c r="G1825" s="17">
        <f>G1827</f>
        <v>38000</v>
      </c>
      <c r="H1825" s="17"/>
    </row>
    <row r="1826" spans="1:8" ht="18" customHeight="1">
      <c r="A1826" s="56"/>
      <c r="B1826" s="56"/>
      <c r="C1826" s="170"/>
      <c r="D1826" s="328" t="s">
        <v>670</v>
      </c>
      <c r="E1826" s="329"/>
      <c r="F1826" s="329"/>
      <c r="G1826" s="249">
        <v>38000</v>
      </c>
      <c r="H1826" s="249"/>
    </row>
    <row r="1827" spans="1:8" ht="18" customHeight="1">
      <c r="A1827" s="56"/>
      <c r="B1827" s="56"/>
      <c r="C1827" s="181">
        <v>4270</v>
      </c>
      <c r="D1827" s="189" t="s">
        <v>98</v>
      </c>
      <c r="E1827" s="330"/>
      <c r="F1827" s="330"/>
      <c r="G1827" s="234">
        <f>G1826</f>
        <v>38000</v>
      </c>
      <c r="H1827" s="234"/>
    </row>
    <row r="1828" spans="1:8" ht="18" customHeight="1">
      <c r="A1828" s="2"/>
      <c r="B1828" s="13">
        <v>75495</v>
      </c>
      <c r="C1828" s="45"/>
      <c r="D1828" s="67" t="s">
        <v>100</v>
      </c>
      <c r="E1828" s="4"/>
      <c r="F1828" s="4"/>
      <c r="G1828" s="4">
        <f>G1829</f>
        <v>20000</v>
      </c>
      <c r="H1828" s="4"/>
    </row>
    <row r="1829" spans="1:8" ht="18" customHeight="1">
      <c r="A1829" s="86"/>
      <c r="B1829" s="122"/>
      <c r="C1829" s="128"/>
      <c r="D1829" s="186" t="s">
        <v>673</v>
      </c>
      <c r="E1829" s="236"/>
      <c r="F1829" s="236"/>
      <c r="G1829" s="17">
        <f>G1830</f>
        <v>20000</v>
      </c>
      <c r="H1829" s="17"/>
    </row>
    <row r="1830" spans="1:8" ht="18" customHeight="1">
      <c r="A1830" s="56"/>
      <c r="B1830" s="56"/>
      <c r="C1830" s="170"/>
      <c r="D1830" s="328" t="s">
        <v>845</v>
      </c>
      <c r="E1830" s="329"/>
      <c r="F1830" s="329"/>
      <c r="G1830" s="249">
        <v>20000</v>
      </c>
      <c r="H1830" s="249"/>
    </row>
    <row r="1831" spans="1:8" ht="18" customHeight="1">
      <c r="A1831" s="56"/>
      <c r="B1831" s="56"/>
      <c r="C1831" s="181">
        <v>4270</v>
      </c>
      <c r="D1831" s="189" t="s">
        <v>753</v>
      </c>
      <c r="E1831" s="330"/>
      <c r="F1831" s="330"/>
      <c r="G1831" s="234">
        <f>G1830</f>
        <v>20000</v>
      </c>
      <c r="H1831" s="234"/>
    </row>
    <row r="1832" spans="1:8" s="1" customFormat="1" ht="19.5" customHeight="1" thickBot="1">
      <c r="A1832" s="394">
        <v>801</v>
      </c>
      <c r="B1832" s="394"/>
      <c r="C1832" s="394"/>
      <c r="D1832" s="394" t="s">
        <v>448</v>
      </c>
      <c r="E1832" s="377"/>
      <c r="F1832" s="377"/>
      <c r="G1832" s="377">
        <f>G1833+G1843+G1849+G1853+G1860+G1866+G1875</f>
        <v>28736398</v>
      </c>
      <c r="H1832" s="377"/>
    </row>
    <row r="1833" spans="1:8" s="1" customFormat="1" ht="19.5" customHeight="1">
      <c r="A1833" s="2"/>
      <c r="B1833" s="3">
        <v>80101</v>
      </c>
      <c r="C1833" s="3"/>
      <c r="D1833" s="3" t="s">
        <v>449</v>
      </c>
      <c r="E1833" s="4"/>
      <c r="F1833" s="4"/>
      <c r="G1833" s="4">
        <f>G1834</f>
        <v>16126572</v>
      </c>
      <c r="H1833" s="4"/>
    </row>
    <row r="1834" spans="1:8" ht="19.5" customHeight="1">
      <c r="A1834" s="56"/>
      <c r="B1834" s="193"/>
      <c r="C1834" s="56"/>
      <c r="D1834" s="186" t="s">
        <v>319</v>
      </c>
      <c r="E1834" s="327"/>
      <c r="F1834" s="327"/>
      <c r="G1834" s="169">
        <f>G1836+G1840+G1842</f>
        <v>16126572</v>
      </c>
      <c r="H1834" s="169"/>
    </row>
    <row r="1835" spans="1:8" ht="19.5" customHeight="1">
      <c r="A1835" s="56"/>
      <c r="B1835" s="56"/>
      <c r="C1835" s="170"/>
      <c r="D1835" s="450" t="s">
        <v>151</v>
      </c>
      <c r="E1835" s="451"/>
      <c r="F1835" s="451"/>
      <c r="G1835" s="369">
        <f>80066+100000-17000</f>
        <v>163066</v>
      </c>
      <c r="H1835" s="369"/>
    </row>
    <row r="1836" spans="1:8" ht="19.5" customHeight="1">
      <c r="A1836" s="56"/>
      <c r="B1836" s="56"/>
      <c r="C1836" s="181">
        <v>4270</v>
      </c>
      <c r="D1836" s="306" t="s">
        <v>98</v>
      </c>
      <c r="E1836" s="330"/>
      <c r="F1836" s="330"/>
      <c r="G1836" s="234">
        <f>G1835</f>
        <v>163066</v>
      </c>
      <c r="H1836" s="234"/>
    </row>
    <row r="1837" spans="1:8" ht="16.5" customHeight="1">
      <c r="A1837" s="56"/>
      <c r="B1837" s="56"/>
      <c r="C1837" s="56"/>
      <c r="D1837" s="340" t="s">
        <v>368</v>
      </c>
      <c r="E1837" s="249"/>
      <c r="F1837" s="249"/>
      <c r="G1837" s="249">
        <f>6482626+1500000</f>
        <v>7982626</v>
      </c>
      <c r="H1837" s="249"/>
    </row>
    <row r="1838" spans="1:8" ht="16.5" customHeight="1">
      <c r="A1838" s="56"/>
      <c r="B1838" s="56"/>
      <c r="C1838" s="56"/>
      <c r="D1838" s="340" t="s">
        <v>559</v>
      </c>
      <c r="E1838" s="250"/>
      <c r="F1838" s="250"/>
      <c r="G1838" s="250">
        <v>2250000</v>
      </c>
      <c r="H1838" s="250"/>
    </row>
    <row r="1839" spans="1:8" ht="19.5" customHeight="1">
      <c r="A1839" s="56"/>
      <c r="B1839" s="56"/>
      <c r="C1839" s="56"/>
      <c r="D1839" s="340" t="s">
        <v>560</v>
      </c>
      <c r="E1839" s="296"/>
      <c r="F1839" s="296"/>
      <c r="G1839" s="296">
        <v>4617000</v>
      </c>
      <c r="H1839" s="296"/>
    </row>
    <row r="1840" spans="1:8" ht="19.5" customHeight="1">
      <c r="A1840" s="158"/>
      <c r="B1840" s="158"/>
      <c r="C1840" s="181">
        <v>6050</v>
      </c>
      <c r="D1840" s="181" t="s">
        <v>746</v>
      </c>
      <c r="E1840" s="176"/>
      <c r="F1840" s="176"/>
      <c r="G1840" s="176">
        <f>SUM(G1837:G1839)</f>
        <v>14849626</v>
      </c>
      <c r="H1840" s="176"/>
    </row>
    <row r="1841" spans="1:8" ht="19.5" customHeight="1">
      <c r="A1841" s="193"/>
      <c r="B1841" s="193"/>
      <c r="C1841" s="193"/>
      <c r="D1841" s="418" t="s">
        <v>368</v>
      </c>
      <c r="E1841" s="180"/>
      <c r="F1841" s="180"/>
      <c r="G1841" s="180">
        <v>1113880</v>
      </c>
      <c r="H1841" s="180"/>
    </row>
    <row r="1842" spans="1:8" ht="19.5" customHeight="1">
      <c r="A1842" s="56"/>
      <c r="B1842" s="158"/>
      <c r="C1842" s="181">
        <v>6055</v>
      </c>
      <c r="D1842" s="181" t="s">
        <v>746</v>
      </c>
      <c r="E1842" s="176"/>
      <c r="F1842" s="176"/>
      <c r="G1842" s="176">
        <f>G1841</f>
        <v>1113880</v>
      </c>
      <c r="H1842" s="176"/>
    </row>
    <row r="1843" spans="1:8" s="1" customFormat="1" ht="18" customHeight="1">
      <c r="A1843" s="2"/>
      <c r="B1843" s="3">
        <v>80104</v>
      </c>
      <c r="C1843" s="3"/>
      <c r="D1843" s="3" t="s">
        <v>1038</v>
      </c>
      <c r="E1843" s="4"/>
      <c r="F1843" s="4"/>
      <c r="G1843" s="4">
        <f>G1844</f>
        <v>300000</v>
      </c>
      <c r="H1843" s="4"/>
    </row>
    <row r="1844" spans="1:8" ht="18" customHeight="1">
      <c r="A1844" s="56"/>
      <c r="B1844" s="193"/>
      <c r="C1844" s="56"/>
      <c r="D1844" s="186" t="s">
        <v>45</v>
      </c>
      <c r="E1844" s="327"/>
      <c r="F1844" s="327"/>
      <c r="G1844" s="169">
        <f>G1846+G1848</f>
        <v>300000</v>
      </c>
      <c r="H1844" s="169"/>
    </row>
    <row r="1845" spans="1:8" ht="18" customHeight="1">
      <c r="A1845" s="56"/>
      <c r="B1845" s="56"/>
      <c r="C1845" s="170"/>
      <c r="D1845" s="305" t="s">
        <v>1019</v>
      </c>
      <c r="E1845" s="329"/>
      <c r="F1845" s="329"/>
      <c r="G1845" s="249">
        <v>100000</v>
      </c>
      <c r="H1845" s="249"/>
    </row>
    <row r="1846" spans="1:8" ht="18" customHeight="1">
      <c r="A1846" s="56"/>
      <c r="B1846" s="56"/>
      <c r="C1846" s="181">
        <v>4270</v>
      </c>
      <c r="D1846" s="189" t="s">
        <v>98</v>
      </c>
      <c r="E1846" s="326"/>
      <c r="F1846" s="326"/>
      <c r="G1846" s="176">
        <f>G1845</f>
        <v>100000</v>
      </c>
      <c r="H1846" s="176"/>
    </row>
    <row r="1847" spans="1:8" ht="18" customHeight="1">
      <c r="A1847" s="56"/>
      <c r="B1847" s="56"/>
      <c r="C1847" s="56"/>
      <c r="D1847" s="340" t="s">
        <v>886</v>
      </c>
      <c r="E1847" s="250"/>
      <c r="F1847" s="250"/>
      <c r="G1847" s="250">
        <v>200000</v>
      </c>
      <c r="H1847" s="250"/>
    </row>
    <row r="1848" spans="1:8" ht="18" customHeight="1">
      <c r="A1848" s="56"/>
      <c r="B1848" s="158"/>
      <c r="C1848" s="181">
        <v>6050</v>
      </c>
      <c r="D1848" s="181" t="s">
        <v>746</v>
      </c>
      <c r="E1848" s="176"/>
      <c r="F1848" s="176"/>
      <c r="G1848" s="176">
        <f>SUM(G1847:G1847)</f>
        <v>200000</v>
      </c>
      <c r="H1848" s="176"/>
    </row>
    <row r="1849" spans="1:8" s="1" customFormat="1" ht="18" customHeight="1">
      <c r="A1849" s="2"/>
      <c r="B1849" s="3">
        <v>80105</v>
      </c>
      <c r="C1849" s="3"/>
      <c r="D1849" s="3" t="s">
        <v>248</v>
      </c>
      <c r="E1849" s="4"/>
      <c r="F1849" s="4"/>
      <c r="G1849" s="4">
        <f>G1850</f>
        <v>50000</v>
      </c>
      <c r="H1849" s="4"/>
    </row>
    <row r="1850" spans="1:8" s="1" customFormat="1" ht="18" customHeight="1">
      <c r="A1850" s="86"/>
      <c r="B1850" s="122"/>
      <c r="C1850" s="86"/>
      <c r="D1850" s="16" t="s">
        <v>584</v>
      </c>
      <c r="E1850" s="236"/>
      <c r="F1850" s="236"/>
      <c r="G1850" s="17">
        <f>G1852</f>
        <v>50000</v>
      </c>
      <c r="H1850" s="17"/>
    </row>
    <row r="1851" spans="1:8" s="1" customFormat="1" ht="18" customHeight="1">
      <c r="A1851" s="86"/>
      <c r="B1851" s="86"/>
      <c r="C1851" s="18"/>
      <c r="D1851" s="265" t="s">
        <v>586</v>
      </c>
      <c r="E1851" s="338"/>
      <c r="F1851" s="338"/>
      <c r="G1851" s="10">
        <v>50000</v>
      </c>
      <c r="H1851" s="10"/>
    </row>
    <row r="1852" spans="1:8" s="1" customFormat="1" ht="18" customHeight="1">
      <c r="A1852" s="86"/>
      <c r="B1852" s="107"/>
      <c r="C1852" s="22">
        <v>4270</v>
      </c>
      <c r="D1852" s="20" t="s">
        <v>98</v>
      </c>
      <c r="E1852" s="239"/>
      <c r="F1852" s="239"/>
      <c r="G1852" s="228">
        <f>G1851</f>
        <v>50000</v>
      </c>
      <c r="H1852" s="228"/>
    </row>
    <row r="1853" spans="1:8" s="1" customFormat="1" ht="18" customHeight="1">
      <c r="A1853" s="2"/>
      <c r="B1853" s="3">
        <v>80110</v>
      </c>
      <c r="C1853" s="3"/>
      <c r="D1853" s="3" t="s">
        <v>450</v>
      </c>
      <c r="E1853" s="4"/>
      <c r="F1853" s="4"/>
      <c r="G1853" s="4">
        <f>G1854</f>
        <v>3257360</v>
      </c>
      <c r="H1853" s="4"/>
    </row>
    <row r="1854" spans="1:8" s="1" customFormat="1" ht="18" customHeight="1">
      <c r="A1854" s="86"/>
      <c r="B1854" s="122"/>
      <c r="C1854" s="86"/>
      <c r="D1854" s="16" t="s">
        <v>585</v>
      </c>
      <c r="E1854" s="236"/>
      <c r="F1854" s="236"/>
      <c r="G1854" s="17">
        <f>G1856+G1859</f>
        <v>3257360</v>
      </c>
      <c r="H1854" s="17"/>
    </row>
    <row r="1855" spans="1:8" s="1" customFormat="1" ht="18" customHeight="1">
      <c r="A1855" s="86"/>
      <c r="B1855" s="86"/>
      <c r="C1855" s="86"/>
      <c r="D1855" s="265" t="s">
        <v>151</v>
      </c>
      <c r="E1855" s="338"/>
      <c r="F1855" s="338"/>
      <c r="G1855" s="10">
        <f>266360+100000</f>
        <v>366360</v>
      </c>
      <c r="H1855" s="10"/>
    </row>
    <row r="1856" spans="1:8" s="1" customFormat="1" ht="18" customHeight="1">
      <c r="A1856" s="86"/>
      <c r="B1856" s="86"/>
      <c r="C1856" s="22">
        <v>4270</v>
      </c>
      <c r="D1856" s="20" t="s">
        <v>753</v>
      </c>
      <c r="E1856" s="239"/>
      <c r="F1856" s="239"/>
      <c r="G1856" s="228">
        <f>G1855</f>
        <v>366360</v>
      </c>
      <c r="H1856" s="228"/>
    </row>
    <row r="1857" spans="1:8" s="1" customFormat="1" ht="18" customHeight="1">
      <c r="A1857" s="86"/>
      <c r="B1857" s="86"/>
      <c r="C1857" s="86"/>
      <c r="D1857" s="331" t="s">
        <v>368</v>
      </c>
      <c r="E1857" s="10"/>
      <c r="F1857" s="10"/>
      <c r="G1857" s="10">
        <f>400000+1000000</f>
        <v>1400000</v>
      </c>
      <c r="H1857" s="10"/>
    </row>
    <row r="1858" spans="1:8" s="1" customFormat="1" ht="18" customHeight="1">
      <c r="A1858" s="86"/>
      <c r="B1858" s="86"/>
      <c r="C1858" s="86"/>
      <c r="D1858" s="331" t="s">
        <v>273</v>
      </c>
      <c r="E1858" s="11"/>
      <c r="F1858" s="11"/>
      <c r="G1858" s="11">
        <f>380000+1111000</f>
        <v>1491000</v>
      </c>
      <c r="H1858" s="11"/>
    </row>
    <row r="1859" spans="1:8" s="1" customFormat="1" ht="18" customHeight="1">
      <c r="A1859" s="86"/>
      <c r="B1859" s="107"/>
      <c r="C1859" s="22">
        <v>6050</v>
      </c>
      <c r="D1859" s="22" t="s">
        <v>746</v>
      </c>
      <c r="E1859" s="6"/>
      <c r="F1859" s="6"/>
      <c r="G1859" s="6">
        <f>SUM(G1857:G1858)</f>
        <v>2891000</v>
      </c>
      <c r="H1859" s="6"/>
    </row>
    <row r="1860" spans="1:8" s="1" customFormat="1" ht="18" customHeight="1">
      <c r="A1860" s="2"/>
      <c r="B1860" s="3">
        <v>80120</v>
      </c>
      <c r="C1860" s="3"/>
      <c r="D1860" s="3" t="s">
        <v>814</v>
      </c>
      <c r="E1860" s="4"/>
      <c r="F1860" s="4"/>
      <c r="G1860" s="4">
        <f>G1861</f>
        <v>889272</v>
      </c>
      <c r="H1860" s="4"/>
    </row>
    <row r="1861" spans="1:8" s="1" customFormat="1" ht="18" customHeight="1">
      <c r="A1861" s="86"/>
      <c r="B1861" s="122"/>
      <c r="C1861" s="86"/>
      <c r="D1861" s="16" t="s">
        <v>587</v>
      </c>
      <c r="E1861" s="236"/>
      <c r="F1861" s="236"/>
      <c r="G1861" s="17">
        <f>G1863+G1865</f>
        <v>889272</v>
      </c>
      <c r="H1861" s="17"/>
    </row>
    <row r="1862" spans="1:8" s="1" customFormat="1" ht="18" customHeight="1">
      <c r="A1862" s="86"/>
      <c r="B1862" s="86"/>
      <c r="C1862" s="86"/>
      <c r="D1862" s="265" t="s">
        <v>151</v>
      </c>
      <c r="E1862" s="338"/>
      <c r="F1862" s="338"/>
      <c r="G1862" s="10">
        <f>498000+100000-108728</f>
        <v>489272</v>
      </c>
      <c r="H1862" s="10"/>
    </row>
    <row r="1863" spans="1:8" s="1" customFormat="1" ht="21" customHeight="1">
      <c r="A1863" s="86"/>
      <c r="B1863" s="86"/>
      <c r="C1863" s="22">
        <v>4270</v>
      </c>
      <c r="D1863" s="20" t="s">
        <v>753</v>
      </c>
      <c r="E1863" s="239"/>
      <c r="F1863" s="239"/>
      <c r="G1863" s="228">
        <f>G1862</f>
        <v>489272</v>
      </c>
      <c r="H1863" s="228"/>
    </row>
    <row r="1864" spans="1:8" s="1" customFormat="1" ht="20.25" customHeight="1">
      <c r="A1864" s="86"/>
      <c r="B1864" s="86"/>
      <c r="C1864" s="86"/>
      <c r="D1864" s="331" t="s">
        <v>368</v>
      </c>
      <c r="E1864" s="10"/>
      <c r="F1864" s="10"/>
      <c r="G1864" s="10">
        <v>400000</v>
      </c>
      <c r="H1864" s="10"/>
    </row>
    <row r="1865" spans="1:8" s="1" customFormat="1" ht="21" customHeight="1">
      <c r="A1865" s="86"/>
      <c r="B1865" s="107"/>
      <c r="C1865" s="22">
        <v>6050</v>
      </c>
      <c r="D1865" s="22" t="s">
        <v>746</v>
      </c>
      <c r="E1865" s="6"/>
      <c r="F1865" s="6"/>
      <c r="G1865" s="6">
        <f>SUM(G1864:G1864)</f>
        <v>400000</v>
      </c>
      <c r="H1865" s="6"/>
    </row>
    <row r="1866" spans="1:8" s="1" customFormat="1" ht="21" customHeight="1">
      <c r="A1866" s="2"/>
      <c r="B1866" s="3">
        <v>80130</v>
      </c>
      <c r="C1866" s="3"/>
      <c r="D1866" s="3" t="s">
        <v>494</v>
      </c>
      <c r="E1866" s="4"/>
      <c r="F1866" s="4"/>
      <c r="G1866" s="4">
        <f>G1867</f>
        <v>7579194</v>
      </c>
      <c r="H1866" s="4"/>
    </row>
    <row r="1867" spans="1:8" s="1" customFormat="1" ht="21" customHeight="1">
      <c r="A1867" s="86"/>
      <c r="B1867" s="122"/>
      <c r="C1867" s="86"/>
      <c r="D1867" s="16" t="s">
        <v>325</v>
      </c>
      <c r="E1867" s="236"/>
      <c r="F1867" s="236"/>
      <c r="G1867" s="17">
        <f>G1869+G1872+G1874</f>
        <v>7579194</v>
      </c>
      <c r="H1867" s="17"/>
    </row>
    <row r="1868" spans="1:8" s="1" customFormat="1" ht="20.25" customHeight="1">
      <c r="A1868" s="86"/>
      <c r="B1868" s="86"/>
      <c r="C1868" s="86"/>
      <c r="D1868" s="458" t="s">
        <v>151</v>
      </c>
      <c r="E1868" s="459"/>
      <c r="F1868" s="459"/>
      <c r="G1868" s="295">
        <f>203992+100000-203992</f>
        <v>100000</v>
      </c>
      <c r="H1868" s="295"/>
    </row>
    <row r="1869" spans="1:8" s="1" customFormat="1" ht="20.25" customHeight="1">
      <c r="A1869" s="107"/>
      <c r="B1869" s="107"/>
      <c r="C1869" s="22">
        <v>4270</v>
      </c>
      <c r="D1869" s="238" t="s">
        <v>98</v>
      </c>
      <c r="E1869" s="239"/>
      <c r="F1869" s="239"/>
      <c r="G1869" s="228">
        <f>G1868</f>
        <v>100000</v>
      </c>
      <c r="H1869" s="228"/>
    </row>
    <row r="1870" spans="1:8" s="1" customFormat="1" ht="18" customHeight="1">
      <c r="A1870" s="122"/>
      <c r="B1870" s="122"/>
      <c r="C1870" s="122"/>
      <c r="D1870" s="380" t="s">
        <v>368</v>
      </c>
      <c r="E1870" s="178"/>
      <c r="F1870" s="178"/>
      <c r="G1870" s="178">
        <v>5576194</v>
      </c>
      <c r="H1870" s="178"/>
    </row>
    <row r="1871" spans="1:8" s="1" customFormat="1" ht="18" customHeight="1">
      <c r="A1871" s="86"/>
      <c r="B1871" s="86"/>
      <c r="C1871" s="86"/>
      <c r="D1871" s="331" t="s">
        <v>807</v>
      </c>
      <c r="E1871" s="10"/>
      <c r="F1871" s="10"/>
      <c r="G1871" s="10">
        <v>203000</v>
      </c>
      <c r="H1871" s="10"/>
    </row>
    <row r="1872" spans="1:8" s="1" customFormat="1" ht="18" customHeight="1">
      <c r="A1872" s="86"/>
      <c r="B1872" s="86"/>
      <c r="C1872" s="22">
        <v>6050</v>
      </c>
      <c r="D1872" s="22" t="s">
        <v>746</v>
      </c>
      <c r="E1872" s="6"/>
      <c r="F1872" s="6"/>
      <c r="G1872" s="6">
        <f>G1870+G1871</f>
        <v>5779194</v>
      </c>
      <c r="H1872" s="6"/>
    </row>
    <row r="1873" spans="1:8" s="1" customFormat="1" ht="18" customHeight="1">
      <c r="A1873" s="86"/>
      <c r="B1873" s="86"/>
      <c r="C1873" s="86"/>
      <c r="D1873" s="331" t="s">
        <v>368</v>
      </c>
      <c r="E1873" s="10"/>
      <c r="F1873" s="10"/>
      <c r="G1873" s="10">
        <v>1700000</v>
      </c>
      <c r="H1873" s="10"/>
    </row>
    <row r="1874" spans="1:8" s="1" customFormat="1" ht="18" customHeight="1">
      <c r="A1874" s="86"/>
      <c r="B1874" s="107"/>
      <c r="C1874" s="22">
        <v>6055</v>
      </c>
      <c r="D1874" s="22" t="s">
        <v>746</v>
      </c>
      <c r="E1874" s="6"/>
      <c r="F1874" s="6"/>
      <c r="G1874" s="6">
        <f>G1873</f>
        <v>1700000</v>
      </c>
      <c r="H1874" s="6"/>
    </row>
    <row r="1875" spans="1:8" s="1" customFormat="1" ht="25.5">
      <c r="A1875" s="2"/>
      <c r="B1875" s="3">
        <v>80140</v>
      </c>
      <c r="C1875" s="3"/>
      <c r="D1875" s="67" t="s">
        <v>43</v>
      </c>
      <c r="E1875" s="4"/>
      <c r="F1875" s="4"/>
      <c r="G1875" s="4">
        <f>G1876</f>
        <v>534000</v>
      </c>
      <c r="H1875" s="4"/>
    </row>
    <row r="1876" spans="1:8" s="1" customFormat="1" ht="14.25">
      <c r="A1876" s="86"/>
      <c r="B1876" s="122"/>
      <c r="C1876" s="86"/>
      <c r="D1876" s="16" t="s">
        <v>42</v>
      </c>
      <c r="E1876" s="236"/>
      <c r="F1876" s="236"/>
      <c r="G1876" s="17">
        <f>G1878+G1880</f>
        <v>534000</v>
      </c>
      <c r="H1876" s="17"/>
    </row>
    <row r="1877" spans="1:8" s="1" customFormat="1" ht="18" customHeight="1">
      <c r="A1877" s="86"/>
      <c r="B1877" s="86"/>
      <c r="C1877" s="86"/>
      <c r="D1877" s="265" t="s">
        <v>44</v>
      </c>
      <c r="E1877" s="338"/>
      <c r="F1877" s="338"/>
      <c r="G1877" s="10">
        <v>34000</v>
      </c>
      <c r="H1877" s="10"/>
    </row>
    <row r="1878" spans="1:8" s="1" customFormat="1" ht="18" customHeight="1">
      <c r="A1878" s="86"/>
      <c r="B1878" s="86"/>
      <c r="C1878" s="22">
        <v>4270</v>
      </c>
      <c r="D1878" s="20" t="s">
        <v>98</v>
      </c>
      <c r="E1878" s="239"/>
      <c r="F1878" s="239"/>
      <c r="G1878" s="228">
        <f>G1877</f>
        <v>34000</v>
      </c>
      <c r="H1878" s="228"/>
    </row>
    <row r="1879" spans="1:8" s="1" customFormat="1" ht="18" customHeight="1">
      <c r="A1879" s="86"/>
      <c r="B1879" s="86"/>
      <c r="C1879" s="86"/>
      <c r="D1879" s="331" t="s">
        <v>368</v>
      </c>
      <c r="E1879" s="10"/>
      <c r="F1879" s="10"/>
      <c r="G1879" s="10">
        <v>500000</v>
      </c>
      <c r="H1879" s="10"/>
    </row>
    <row r="1880" spans="1:8" s="1" customFormat="1" ht="18" customHeight="1">
      <c r="A1880" s="107"/>
      <c r="B1880" s="107"/>
      <c r="C1880" s="22">
        <v>6050</v>
      </c>
      <c r="D1880" s="22" t="s">
        <v>746</v>
      </c>
      <c r="E1880" s="6"/>
      <c r="F1880" s="6"/>
      <c r="G1880" s="6">
        <f>G1879</f>
        <v>500000</v>
      </c>
      <c r="H1880" s="6"/>
    </row>
    <row r="1881" spans="1:8" s="1" customFormat="1" ht="19.5" customHeight="1" thickBot="1">
      <c r="A1881" s="394">
        <v>851</v>
      </c>
      <c r="B1881" s="394"/>
      <c r="C1881" s="394"/>
      <c r="D1881" s="394" t="s">
        <v>106</v>
      </c>
      <c r="E1881" s="377"/>
      <c r="F1881" s="377"/>
      <c r="G1881" s="377">
        <f>G1882</f>
        <v>1026000</v>
      </c>
      <c r="H1881" s="377"/>
    </row>
    <row r="1882" spans="1:8" ht="19.5" customHeight="1">
      <c r="A1882" s="56"/>
      <c r="B1882" s="165">
        <v>85154</v>
      </c>
      <c r="C1882" s="165"/>
      <c r="D1882" s="165" t="s">
        <v>124</v>
      </c>
      <c r="E1882" s="167"/>
      <c r="F1882" s="167"/>
      <c r="G1882" s="167">
        <f>G1883</f>
        <v>1026000</v>
      </c>
      <c r="H1882" s="167"/>
    </row>
    <row r="1883" spans="1:8" ht="19.5" customHeight="1">
      <c r="A1883" s="56"/>
      <c r="B1883" s="193"/>
      <c r="C1883" s="193"/>
      <c r="D1883" s="186" t="s">
        <v>519</v>
      </c>
      <c r="E1883" s="212"/>
      <c r="F1883" s="212"/>
      <c r="G1883" s="169">
        <f>G1887+G1884</f>
        <v>1026000</v>
      </c>
      <c r="H1883" s="169"/>
    </row>
    <row r="1884" spans="1:8" ht="25.5" customHeight="1">
      <c r="A1884" s="56"/>
      <c r="B1884" s="56"/>
      <c r="C1884" s="56"/>
      <c r="D1884" s="1071" t="s">
        <v>217</v>
      </c>
      <c r="E1884" s="1072"/>
      <c r="F1884" s="1072"/>
      <c r="G1884" s="1072">
        <f>SUM(G1885:G1885)</f>
        <v>1000000</v>
      </c>
      <c r="H1884" s="1072"/>
    </row>
    <row r="1885" spans="1:8" ht="18" customHeight="1">
      <c r="A1885" s="56"/>
      <c r="B1885" s="56"/>
      <c r="C1885" s="170"/>
      <c r="D1885" s="341" t="s">
        <v>560</v>
      </c>
      <c r="E1885" s="250"/>
      <c r="F1885" s="250"/>
      <c r="G1885" s="250">
        <v>1000000</v>
      </c>
      <c r="H1885" s="250"/>
    </row>
    <row r="1886" spans="1:8" ht="18" customHeight="1">
      <c r="A1886" s="56"/>
      <c r="B1886" s="56"/>
      <c r="C1886" s="181">
        <v>6050</v>
      </c>
      <c r="D1886" s="189" t="s">
        <v>746</v>
      </c>
      <c r="E1886" s="176"/>
      <c r="F1886" s="176"/>
      <c r="G1886" s="176">
        <f>G1885</f>
        <v>1000000</v>
      </c>
      <c r="H1886" s="176"/>
    </row>
    <row r="1887" spans="1:8" ht="18" customHeight="1">
      <c r="A1887" s="56"/>
      <c r="B1887" s="56"/>
      <c r="C1887" s="56"/>
      <c r="D1887" s="1073" t="s">
        <v>1040</v>
      </c>
      <c r="E1887" s="344"/>
      <c r="F1887" s="344"/>
      <c r="G1887" s="345">
        <f>G1888</f>
        <v>26000</v>
      </c>
      <c r="H1887" s="345"/>
    </row>
    <row r="1888" spans="1:8" ht="18" customHeight="1">
      <c r="A1888" s="56"/>
      <c r="B1888" s="56"/>
      <c r="C1888" s="181">
        <v>4410</v>
      </c>
      <c r="D1888" s="181" t="s">
        <v>749</v>
      </c>
      <c r="E1888" s="176"/>
      <c r="F1888" s="176"/>
      <c r="G1888" s="176">
        <v>26000</v>
      </c>
      <c r="H1888" s="176"/>
    </row>
    <row r="1889" spans="1:8" s="1" customFormat="1" ht="18.75" customHeight="1" thickBot="1">
      <c r="A1889" s="394">
        <v>852</v>
      </c>
      <c r="B1889" s="394"/>
      <c r="C1889" s="394"/>
      <c r="D1889" s="394" t="s">
        <v>129</v>
      </c>
      <c r="E1889" s="377"/>
      <c r="F1889" s="377"/>
      <c r="G1889" s="377">
        <f>G1890+G1894+G1900+G1904</f>
        <v>4213353</v>
      </c>
      <c r="H1889" s="377"/>
    </row>
    <row r="1890" spans="1:8" s="1" customFormat="1" ht="18.75" customHeight="1">
      <c r="A1890" s="2"/>
      <c r="B1890" s="3">
        <v>85201</v>
      </c>
      <c r="C1890" s="3"/>
      <c r="D1890" s="3" t="s">
        <v>55</v>
      </c>
      <c r="E1890" s="4"/>
      <c r="F1890" s="4"/>
      <c r="G1890" s="4">
        <f>G1891</f>
        <v>600000</v>
      </c>
      <c r="H1890" s="4"/>
    </row>
    <row r="1891" spans="1:8" s="1" customFormat="1" ht="18" customHeight="1">
      <c r="A1891" s="86"/>
      <c r="B1891" s="86"/>
      <c r="C1891" s="86"/>
      <c r="D1891" s="16" t="s">
        <v>516</v>
      </c>
      <c r="E1891" s="17"/>
      <c r="F1891" s="66"/>
      <c r="G1891" s="66">
        <f>G1893</f>
        <v>600000</v>
      </c>
      <c r="H1891" s="66"/>
    </row>
    <row r="1892" spans="1:8" s="1" customFormat="1" ht="18" customHeight="1">
      <c r="A1892" s="86"/>
      <c r="B1892" s="86"/>
      <c r="C1892" s="86"/>
      <c r="D1892" s="244" t="s">
        <v>926</v>
      </c>
      <c r="E1892" s="10"/>
      <c r="F1892" s="10"/>
      <c r="G1892" s="10">
        <v>600000</v>
      </c>
      <c r="H1892" s="10"/>
    </row>
    <row r="1893" spans="1:8" s="1" customFormat="1" ht="18" customHeight="1">
      <c r="A1893" s="86"/>
      <c r="B1893" s="107"/>
      <c r="C1893" s="22">
        <v>6050</v>
      </c>
      <c r="D1893" s="22" t="s">
        <v>746</v>
      </c>
      <c r="E1893" s="6"/>
      <c r="F1893" s="6"/>
      <c r="G1893" s="6">
        <f>G1892</f>
        <v>600000</v>
      </c>
      <c r="H1893" s="6"/>
    </row>
    <row r="1894" spans="1:8" s="1" customFormat="1" ht="18.75" customHeight="1">
      <c r="A1894" s="2"/>
      <c r="B1894" s="3">
        <v>85202</v>
      </c>
      <c r="C1894" s="3"/>
      <c r="D1894" s="3" t="s">
        <v>125</v>
      </c>
      <c r="E1894" s="4"/>
      <c r="F1894" s="4"/>
      <c r="G1894" s="4">
        <f>G1895</f>
        <v>2003500</v>
      </c>
      <c r="H1894" s="4"/>
    </row>
    <row r="1895" spans="1:8" s="1" customFormat="1" ht="18" customHeight="1">
      <c r="A1895" s="86"/>
      <c r="B1895" s="86"/>
      <c r="C1895" s="86"/>
      <c r="D1895" s="16" t="s">
        <v>1116</v>
      </c>
      <c r="E1895" s="17"/>
      <c r="F1895" s="66"/>
      <c r="G1895" s="66">
        <f>G1899</f>
        <v>2003500</v>
      </c>
      <c r="H1895" s="66"/>
    </row>
    <row r="1896" spans="1:8" s="1" customFormat="1" ht="18" customHeight="1">
      <c r="A1896" s="86"/>
      <c r="B1896" s="86"/>
      <c r="C1896" s="18"/>
      <c r="D1896" s="452" t="s">
        <v>1062</v>
      </c>
      <c r="E1896" s="295"/>
      <c r="F1896" s="295"/>
      <c r="G1896" s="295">
        <f>296000+250000</f>
        <v>546000</v>
      </c>
      <c r="H1896" s="295"/>
    </row>
    <row r="1897" spans="1:8" s="1" customFormat="1" ht="16.5" customHeight="1">
      <c r="A1897" s="86"/>
      <c r="B1897" s="86"/>
      <c r="C1897" s="18"/>
      <c r="D1897" s="422" t="s">
        <v>887</v>
      </c>
      <c r="E1897" s="11"/>
      <c r="F1897" s="11"/>
      <c r="G1897" s="11">
        <v>1000000</v>
      </c>
      <c r="H1897" s="11"/>
    </row>
    <row r="1898" spans="1:8" s="1" customFormat="1" ht="18" customHeight="1">
      <c r="A1898" s="86"/>
      <c r="B1898" s="86"/>
      <c r="C1898" s="18"/>
      <c r="D1898" s="331" t="s">
        <v>369</v>
      </c>
      <c r="E1898" s="11"/>
      <c r="F1898" s="11"/>
      <c r="G1898" s="11">
        <f>542500-85000</f>
        <v>457500</v>
      </c>
      <c r="H1898" s="11"/>
    </row>
    <row r="1899" spans="1:8" s="1" customFormat="1" ht="18" customHeight="1">
      <c r="A1899" s="107"/>
      <c r="B1899" s="107"/>
      <c r="C1899" s="22">
        <v>6050</v>
      </c>
      <c r="D1899" s="22" t="s">
        <v>746</v>
      </c>
      <c r="E1899" s="6"/>
      <c r="F1899" s="6"/>
      <c r="G1899" s="6">
        <f>SUM(G1896:G1898)</f>
        <v>2003500</v>
      </c>
      <c r="H1899" s="6"/>
    </row>
    <row r="1900" spans="1:8" s="1" customFormat="1" ht="18.75" customHeight="1">
      <c r="A1900" s="5"/>
      <c r="B1900" s="13">
        <v>85219</v>
      </c>
      <c r="C1900" s="13"/>
      <c r="D1900" s="13" t="s">
        <v>1020</v>
      </c>
      <c r="E1900" s="15"/>
      <c r="F1900" s="15"/>
      <c r="G1900" s="15">
        <f>G1901</f>
        <v>1600000</v>
      </c>
      <c r="H1900" s="15"/>
    </row>
    <row r="1901" spans="1:8" s="1" customFormat="1" ht="18" customHeight="1">
      <c r="A1901" s="86"/>
      <c r="B1901" s="86"/>
      <c r="C1901" s="86"/>
      <c r="D1901" s="16" t="s">
        <v>1117</v>
      </c>
      <c r="E1901" s="17"/>
      <c r="F1901" s="66"/>
      <c r="G1901" s="66">
        <f>G1903</f>
        <v>1600000</v>
      </c>
      <c r="H1901" s="66"/>
    </row>
    <row r="1902" spans="1:8" s="1" customFormat="1" ht="18" customHeight="1">
      <c r="A1902" s="86"/>
      <c r="B1902" s="86"/>
      <c r="C1902" s="86"/>
      <c r="D1902" s="244" t="s">
        <v>1118</v>
      </c>
      <c r="E1902" s="10"/>
      <c r="F1902" s="10"/>
      <c r="G1902" s="10">
        <v>1600000</v>
      </c>
      <c r="H1902" s="10"/>
    </row>
    <row r="1903" spans="1:8" s="1" customFormat="1" ht="18" customHeight="1">
      <c r="A1903" s="86"/>
      <c r="B1903" s="107"/>
      <c r="C1903" s="22">
        <v>6050</v>
      </c>
      <c r="D1903" s="22" t="s">
        <v>746</v>
      </c>
      <c r="E1903" s="6"/>
      <c r="F1903" s="6"/>
      <c r="G1903" s="6">
        <f>G1902</f>
        <v>1600000</v>
      </c>
      <c r="H1903" s="6"/>
    </row>
    <row r="1904" spans="1:8" s="1" customFormat="1" ht="21" customHeight="1">
      <c r="A1904" s="2"/>
      <c r="B1904" s="3">
        <v>85295</v>
      </c>
      <c r="C1904" s="3"/>
      <c r="D1904" s="3" t="s">
        <v>100</v>
      </c>
      <c r="E1904" s="4"/>
      <c r="F1904" s="4"/>
      <c r="G1904" s="4">
        <f>G1905</f>
        <v>9853</v>
      </c>
      <c r="H1904" s="4"/>
    </row>
    <row r="1905" spans="1:8" s="1" customFormat="1" ht="20.25" customHeight="1">
      <c r="A1905" s="86"/>
      <c r="B1905" s="86"/>
      <c r="C1905" s="18"/>
      <c r="D1905" s="316" t="s">
        <v>46</v>
      </c>
      <c r="E1905" s="17"/>
      <c r="F1905" s="17"/>
      <c r="G1905" s="17">
        <f>G1906</f>
        <v>9853</v>
      </c>
      <c r="H1905" s="17"/>
    </row>
    <row r="1906" spans="1:8" s="1" customFormat="1" ht="21" customHeight="1">
      <c r="A1906" s="107"/>
      <c r="B1906" s="107"/>
      <c r="C1906" s="22">
        <v>3110</v>
      </c>
      <c r="D1906" s="147" t="s">
        <v>301</v>
      </c>
      <c r="E1906" s="6"/>
      <c r="F1906" s="6"/>
      <c r="G1906" s="6">
        <f>24670-14817</f>
        <v>9853</v>
      </c>
      <c r="H1906" s="6"/>
    </row>
    <row r="1907" spans="1:8" s="1" customFormat="1" ht="21.75" customHeight="1" thickBot="1">
      <c r="A1907" s="394">
        <v>853</v>
      </c>
      <c r="B1907" s="394"/>
      <c r="C1907" s="394"/>
      <c r="D1907" s="394" t="s">
        <v>277</v>
      </c>
      <c r="E1907" s="377"/>
      <c r="F1907" s="377"/>
      <c r="G1907" s="377">
        <f>G1908+G1914+G1918</f>
        <v>1240442</v>
      </c>
      <c r="H1907" s="377"/>
    </row>
    <row r="1908" spans="1:8" ht="21.75" customHeight="1">
      <c r="A1908" s="2"/>
      <c r="B1908" s="3">
        <v>85305</v>
      </c>
      <c r="C1908" s="3"/>
      <c r="D1908" s="3" t="s">
        <v>127</v>
      </c>
      <c r="E1908" s="4"/>
      <c r="F1908" s="4"/>
      <c r="G1908" s="4">
        <f>G1909</f>
        <v>790442</v>
      </c>
      <c r="H1908" s="4"/>
    </row>
    <row r="1909" spans="1:8" ht="21" customHeight="1">
      <c r="A1909" s="86"/>
      <c r="B1909" s="86"/>
      <c r="C1909" s="86"/>
      <c r="D1909" s="16" t="s">
        <v>517</v>
      </c>
      <c r="E1909" s="17"/>
      <c r="F1909" s="66"/>
      <c r="G1909" s="66">
        <f>G1911+G1913</f>
        <v>790442</v>
      </c>
      <c r="H1909" s="66"/>
    </row>
    <row r="1910" spans="1:8" ht="21" customHeight="1">
      <c r="A1910" s="86"/>
      <c r="B1910" s="86"/>
      <c r="C1910" s="86"/>
      <c r="D1910" s="244" t="s">
        <v>518</v>
      </c>
      <c r="E1910" s="10"/>
      <c r="F1910" s="10"/>
      <c r="G1910" s="10">
        <v>69422</v>
      </c>
      <c r="H1910" s="10"/>
    </row>
    <row r="1911" spans="1:8" ht="21" customHeight="1">
      <c r="A1911" s="86"/>
      <c r="B1911" s="86"/>
      <c r="C1911" s="22">
        <v>4270</v>
      </c>
      <c r="D1911" s="22" t="s">
        <v>98</v>
      </c>
      <c r="E1911" s="6"/>
      <c r="F1911" s="6"/>
      <c r="G1911" s="6">
        <f>G1910</f>
        <v>69422</v>
      </c>
      <c r="H1911" s="6"/>
    </row>
    <row r="1912" spans="1:8" s="1" customFormat="1" ht="21" customHeight="1">
      <c r="A1912" s="86"/>
      <c r="B1912" s="86"/>
      <c r="C1912" s="18"/>
      <c r="D1912" s="380" t="s">
        <v>250</v>
      </c>
      <c r="E1912" s="10"/>
      <c r="F1912" s="10"/>
      <c r="G1912" s="10">
        <v>721020</v>
      </c>
      <c r="H1912" s="10"/>
    </row>
    <row r="1913" spans="1:8" s="8" customFormat="1" ht="21" customHeight="1">
      <c r="A1913" s="86"/>
      <c r="B1913" s="107"/>
      <c r="C1913" s="22">
        <v>6050</v>
      </c>
      <c r="D1913" s="22" t="s">
        <v>746</v>
      </c>
      <c r="E1913" s="6"/>
      <c r="F1913" s="6"/>
      <c r="G1913" s="6">
        <f>G1912</f>
        <v>721020</v>
      </c>
      <c r="H1913" s="6"/>
    </row>
    <row r="1914" spans="1:8" s="1" customFormat="1" ht="21.75" customHeight="1">
      <c r="A1914" s="2"/>
      <c r="B1914" s="3">
        <v>85333</v>
      </c>
      <c r="C1914" s="3"/>
      <c r="D1914" s="3" t="s">
        <v>617</v>
      </c>
      <c r="E1914" s="4"/>
      <c r="F1914" s="4"/>
      <c r="G1914" s="4">
        <f>G1915</f>
        <v>430000</v>
      </c>
      <c r="H1914" s="4"/>
    </row>
    <row r="1915" spans="1:8" s="1" customFormat="1" ht="21.75" customHeight="1">
      <c r="A1915" s="86"/>
      <c r="B1915" s="86"/>
      <c r="C1915" s="86"/>
      <c r="D1915" s="16" t="s">
        <v>315</v>
      </c>
      <c r="E1915" s="17"/>
      <c r="F1915" s="17"/>
      <c r="G1915" s="17">
        <f>G1917</f>
        <v>430000</v>
      </c>
      <c r="H1915" s="17"/>
    </row>
    <row r="1916" spans="1:8" s="1" customFormat="1" ht="21.75" customHeight="1">
      <c r="A1916" s="86"/>
      <c r="B1916" s="86"/>
      <c r="C1916" s="18"/>
      <c r="D1916" s="331" t="s">
        <v>926</v>
      </c>
      <c r="E1916" s="231"/>
      <c r="F1916" s="231"/>
      <c r="G1916" s="231">
        <v>430000</v>
      </c>
      <c r="H1916" s="231"/>
    </row>
    <row r="1917" spans="1:8" s="1" customFormat="1" ht="21.75" customHeight="1">
      <c r="A1917" s="86"/>
      <c r="B1917" s="107"/>
      <c r="C1917" s="22">
        <v>6050</v>
      </c>
      <c r="D1917" s="22" t="s">
        <v>746</v>
      </c>
      <c r="E1917" s="6"/>
      <c r="F1917" s="6"/>
      <c r="G1917" s="6">
        <f>G1916</f>
        <v>430000</v>
      </c>
      <c r="H1917" s="6"/>
    </row>
    <row r="1918" spans="1:8" ht="19.5" customHeight="1">
      <c r="A1918" s="56"/>
      <c r="B1918" s="165">
        <v>85334</v>
      </c>
      <c r="C1918" s="165"/>
      <c r="D1918" s="165" t="s">
        <v>885</v>
      </c>
      <c r="E1918" s="167"/>
      <c r="F1918" s="167"/>
      <c r="G1918" s="167">
        <f>G1919</f>
        <v>20000</v>
      </c>
      <c r="H1918" s="167"/>
    </row>
    <row r="1919" spans="1:8" ht="18.75" customHeight="1">
      <c r="A1919" s="56"/>
      <c r="B1919" s="56"/>
      <c r="D1919" s="1074" t="s">
        <v>927</v>
      </c>
      <c r="E1919" s="169"/>
      <c r="F1919" s="169"/>
      <c r="G1919" s="169">
        <f>G1920</f>
        <v>20000</v>
      </c>
      <c r="H1919" s="169"/>
    </row>
    <row r="1920" spans="1:8" s="174" customFormat="1" ht="18.75" customHeight="1">
      <c r="A1920" s="181"/>
      <c r="B1920" s="181"/>
      <c r="C1920" s="181">
        <v>4300</v>
      </c>
      <c r="D1920" s="189" t="s">
        <v>815</v>
      </c>
      <c r="E1920" s="176"/>
      <c r="F1920" s="176"/>
      <c r="G1920" s="176">
        <v>20000</v>
      </c>
      <c r="H1920" s="176"/>
    </row>
    <row r="1921" spans="1:8" s="1" customFormat="1" ht="19.5" customHeight="1" thickBot="1">
      <c r="A1921" s="394">
        <v>854</v>
      </c>
      <c r="B1921" s="394"/>
      <c r="C1921" s="394"/>
      <c r="D1921" s="394" t="s">
        <v>618</v>
      </c>
      <c r="E1921" s="377"/>
      <c r="F1921" s="377"/>
      <c r="G1921" s="377">
        <f>G1922+G1930+G1934+G1938+G1942</f>
        <v>2000809</v>
      </c>
      <c r="H1921" s="377"/>
    </row>
    <row r="1922" spans="1:8" ht="19.5" customHeight="1">
      <c r="A1922" s="56"/>
      <c r="B1922" s="165">
        <v>85403</v>
      </c>
      <c r="C1922" s="165"/>
      <c r="D1922" s="165" t="s">
        <v>677</v>
      </c>
      <c r="E1922" s="167"/>
      <c r="F1922" s="167"/>
      <c r="G1922" s="167">
        <f>G1923+G1927</f>
        <v>1750000</v>
      </c>
      <c r="H1922" s="167"/>
    </row>
    <row r="1923" spans="1:8" ht="18.75" customHeight="1">
      <c r="A1923" s="86"/>
      <c r="B1923" s="86"/>
      <c r="C1923" s="86"/>
      <c r="D1923" s="348" t="s">
        <v>567</v>
      </c>
      <c r="E1923" s="243"/>
      <c r="F1923" s="280"/>
      <c r="G1923" s="280">
        <f>G1926</f>
        <v>600000</v>
      </c>
      <c r="H1923" s="280"/>
    </row>
    <row r="1924" spans="1:8" ht="18.75" customHeight="1">
      <c r="A1924" s="86"/>
      <c r="B1924" s="86"/>
      <c r="C1924" s="18"/>
      <c r="D1924" s="421" t="s">
        <v>568</v>
      </c>
      <c r="E1924" s="300"/>
      <c r="F1924" s="300"/>
      <c r="G1924" s="10">
        <v>500000</v>
      </c>
      <c r="H1924" s="10"/>
    </row>
    <row r="1925" spans="1:8" ht="18.75" customHeight="1">
      <c r="A1925" s="86"/>
      <c r="B1925" s="86"/>
      <c r="C1925" s="18"/>
      <c r="D1925" s="331" t="s">
        <v>886</v>
      </c>
      <c r="E1925" s="11"/>
      <c r="F1925" s="11"/>
      <c r="G1925" s="279">
        <v>100000</v>
      </c>
      <c r="H1925" s="279"/>
    </row>
    <row r="1926" spans="1:8" ht="18.75" customHeight="1">
      <c r="A1926" s="107"/>
      <c r="B1926" s="107"/>
      <c r="C1926" s="22">
        <v>6050</v>
      </c>
      <c r="D1926" s="22" t="s">
        <v>746</v>
      </c>
      <c r="E1926" s="6"/>
      <c r="F1926" s="6"/>
      <c r="G1926" s="228">
        <f>SUM(G1924:G1925)</f>
        <v>600000</v>
      </c>
      <c r="H1926" s="228"/>
    </row>
    <row r="1927" spans="1:8" ht="25.5">
      <c r="A1927" s="122"/>
      <c r="B1927" s="122"/>
      <c r="C1927" s="128"/>
      <c r="D1927" s="16" t="s">
        <v>569</v>
      </c>
      <c r="E1927" s="17"/>
      <c r="F1927" s="17"/>
      <c r="G1927" s="17">
        <f>G1929</f>
        <v>1150000</v>
      </c>
      <c r="H1927" s="17"/>
    </row>
    <row r="1928" spans="1:8" ht="25.5">
      <c r="A1928" s="86"/>
      <c r="B1928" s="86"/>
      <c r="C1928" s="18"/>
      <c r="D1928" s="423" t="s">
        <v>990</v>
      </c>
      <c r="E1928" s="10"/>
      <c r="F1928" s="10"/>
      <c r="G1928" s="10">
        <v>1150000</v>
      </c>
      <c r="H1928" s="10"/>
    </row>
    <row r="1929" spans="1:8" ht="19.5" customHeight="1">
      <c r="A1929" s="86"/>
      <c r="B1929" s="107"/>
      <c r="C1929" s="22">
        <v>6050</v>
      </c>
      <c r="D1929" s="22" t="s">
        <v>746</v>
      </c>
      <c r="E1929" s="6"/>
      <c r="F1929" s="6"/>
      <c r="G1929" s="6">
        <f>G1928</f>
        <v>1150000</v>
      </c>
      <c r="H1929" s="6"/>
    </row>
    <row r="1930" spans="1:8" ht="19.5" customHeight="1">
      <c r="A1930" s="56"/>
      <c r="B1930" s="165">
        <v>85407</v>
      </c>
      <c r="C1930" s="165"/>
      <c r="D1930" s="165" t="s">
        <v>982</v>
      </c>
      <c r="E1930" s="167"/>
      <c r="F1930" s="167"/>
      <c r="G1930" s="167">
        <f>G1931</f>
        <v>113000</v>
      </c>
      <c r="H1930" s="167"/>
    </row>
    <row r="1931" spans="1:8" ht="18" customHeight="1">
      <c r="A1931" s="56"/>
      <c r="B1931" s="56"/>
      <c r="C1931" s="56"/>
      <c r="D1931" s="186" t="s">
        <v>570</v>
      </c>
      <c r="E1931" s="169"/>
      <c r="F1931" s="1075"/>
      <c r="G1931" s="1075">
        <f>G1933</f>
        <v>113000</v>
      </c>
      <c r="H1931" s="1075"/>
    </row>
    <row r="1932" spans="1:8" ht="19.5" customHeight="1">
      <c r="A1932" s="56"/>
      <c r="B1932" s="56"/>
      <c r="C1932" s="56"/>
      <c r="D1932" s="460" t="s">
        <v>44</v>
      </c>
      <c r="E1932" s="369"/>
      <c r="F1932" s="369"/>
      <c r="G1932" s="369">
        <v>113000</v>
      </c>
      <c r="H1932" s="369"/>
    </row>
    <row r="1933" spans="1:8" ht="19.5" customHeight="1">
      <c r="A1933" s="56"/>
      <c r="B1933" s="158"/>
      <c r="C1933" s="181">
        <v>4270</v>
      </c>
      <c r="D1933" s="269" t="s">
        <v>98</v>
      </c>
      <c r="E1933" s="234"/>
      <c r="F1933" s="234"/>
      <c r="G1933" s="234">
        <f>G1932</f>
        <v>113000</v>
      </c>
      <c r="H1933" s="234"/>
    </row>
    <row r="1934" spans="1:8" ht="19.5" customHeight="1">
      <c r="A1934" s="56"/>
      <c r="B1934" s="165">
        <v>85410</v>
      </c>
      <c r="C1934" s="165"/>
      <c r="D1934" s="165" t="s">
        <v>983</v>
      </c>
      <c r="E1934" s="167"/>
      <c r="F1934" s="167"/>
      <c r="G1934" s="167">
        <f>G1935</f>
        <v>107809</v>
      </c>
      <c r="H1934" s="167"/>
    </row>
    <row r="1935" spans="1:8" ht="19.5" customHeight="1">
      <c r="A1935" s="56"/>
      <c r="B1935" s="56"/>
      <c r="C1935" s="193"/>
      <c r="D1935" s="186" t="s">
        <v>571</v>
      </c>
      <c r="E1935" s="169"/>
      <c r="F1935" s="169"/>
      <c r="G1935" s="169">
        <f>G1937</f>
        <v>107809</v>
      </c>
      <c r="H1935" s="169"/>
    </row>
    <row r="1936" spans="1:8" ht="19.5" customHeight="1">
      <c r="A1936" s="56"/>
      <c r="B1936" s="56"/>
      <c r="C1936" s="56"/>
      <c r="D1936" s="460" t="s">
        <v>44</v>
      </c>
      <c r="E1936" s="369"/>
      <c r="F1936" s="369"/>
      <c r="G1936" s="369">
        <v>107809</v>
      </c>
      <c r="H1936" s="369"/>
    </row>
    <row r="1937" spans="1:8" ht="19.5" customHeight="1">
      <c r="A1937" s="56"/>
      <c r="B1937" s="158"/>
      <c r="C1937" s="181">
        <v>4270</v>
      </c>
      <c r="D1937" s="269" t="s">
        <v>98</v>
      </c>
      <c r="E1937" s="234"/>
      <c r="F1937" s="234"/>
      <c r="G1937" s="234">
        <f>G1936</f>
        <v>107809</v>
      </c>
      <c r="H1937" s="234"/>
    </row>
    <row r="1938" spans="1:8" ht="19.5" customHeight="1">
      <c r="A1938" s="56"/>
      <c r="B1938" s="165">
        <v>85417</v>
      </c>
      <c r="C1938" s="165"/>
      <c r="D1938" s="165" t="s">
        <v>888</v>
      </c>
      <c r="E1938" s="167"/>
      <c r="F1938" s="167"/>
      <c r="G1938" s="167">
        <f>G1939</f>
        <v>10000</v>
      </c>
      <c r="H1938" s="167"/>
    </row>
    <row r="1939" spans="1:8" ht="19.5" customHeight="1">
      <c r="A1939" s="56"/>
      <c r="B1939" s="56"/>
      <c r="C1939" s="193"/>
      <c r="D1939" s="186" t="s">
        <v>572</v>
      </c>
      <c r="E1939" s="169"/>
      <c r="F1939" s="169"/>
      <c r="G1939" s="169">
        <f>G1941</f>
        <v>10000</v>
      </c>
      <c r="H1939" s="169"/>
    </row>
    <row r="1940" spans="1:8" ht="19.5" customHeight="1">
      <c r="A1940" s="56"/>
      <c r="B1940" s="56"/>
      <c r="C1940" s="56"/>
      <c r="D1940" s="299" t="s">
        <v>316</v>
      </c>
      <c r="E1940" s="249"/>
      <c r="F1940" s="249"/>
      <c r="G1940" s="249">
        <v>10000</v>
      </c>
      <c r="H1940" s="249"/>
    </row>
    <row r="1941" spans="1:8" ht="19.5" customHeight="1">
      <c r="A1941" s="56"/>
      <c r="B1941" s="158"/>
      <c r="C1941" s="181">
        <v>4270</v>
      </c>
      <c r="D1941" s="181" t="s">
        <v>98</v>
      </c>
      <c r="E1941" s="176"/>
      <c r="F1941" s="176"/>
      <c r="G1941" s="176">
        <f>G1940</f>
        <v>10000</v>
      </c>
      <c r="H1941" s="176"/>
    </row>
    <row r="1942" spans="1:8" ht="19.5" customHeight="1">
      <c r="A1942" s="56"/>
      <c r="B1942" s="165">
        <v>85421</v>
      </c>
      <c r="C1942" s="165"/>
      <c r="D1942" s="165" t="s">
        <v>889</v>
      </c>
      <c r="E1942" s="167"/>
      <c r="F1942" s="167"/>
      <c r="G1942" s="167">
        <f>G1943</f>
        <v>20000</v>
      </c>
      <c r="H1942" s="167"/>
    </row>
    <row r="1943" spans="1:8" ht="19.5" customHeight="1">
      <c r="A1943" s="56"/>
      <c r="B1943" s="56"/>
      <c r="C1943" s="193"/>
      <c r="D1943" s="186" t="s">
        <v>573</v>
      </c>
      <c r="E1943" s="169"/>
      <c r="F1943" s="169"/>
      <c r="G1943" s="169">
        <f>G1945</f>
        <v>20000</v>
      </c>
      <c r="H1943" s="169"/>
    </row>
    <row r="1944" spans="1:8" ht="19.5" customHeight="1">
      <c r="A1944" s="56"/>
      <c r="B1944" s="56"/>
      <c r="C1944" s="56"/>
      <c r="D1944" s="299" t="s">
        <v>316</v>
      </c>
      <c r="E1944" s="249"/>
      <c r="F1944" s="249"/>
      <c r="G1944" s="249">
        <v>20000</v>
      </c>
      <c r="H1944" s="249"/>
    </row>
    <row r="1945" spans="1:8" ht="19.5" customHeight="1">
      <c r="A1945" s="56"/>
      <c r="B1945" s="158"/>
      <c r="C1945" s="181">
        <v>4270</v>
      </c>
      <c r="D1945" s="181" t="s">
        <v>98</v>
      </c>
      <c r="E1945" s="176"/>
      <c r="F1945" s="176"/>
      <c r="G1945" s="176">
        <f>G1944</f>
        <v>20000</v>
      </c>
      <c r="H1945" s="176"/>
    </row>
    <row r="1946" spans="1:8" s="1" customFormat="1" ht="19.5" customHeight="1" thickBot="1">
      <c r="A1946" s="394">
        <v>900</v>
      </c>
      <c r="B1946" s="394"/>
      <c r="C1946" s="394"/>
      <c r="D1946" s="394" t="s">
        <v>1048</v>
      </c>
      <c r="E1946" s="377"/>
      <c r="F1946" s="377"/>
      <c r="G1946" s="377">
        <f>G1947</f>
        <v>340</v>
      </c>
      <c r="H1946" s="377"/>
    </row>
    <row r="1947" spans="1:8" s="1" customFormat="1" ht="19.5" customHeight="1">
      <c r="A1947" s="311"/>
      <c r="B1947" s="3">
        <v>90002</v>
      </c>
      <c r="C1947" s="3"/>
      <c r="D1947" s="3" t="s">
        <v>176</v>
      </c>
      <c r="E1947" s="4"/>
      <c r="F1947" s="4"/>
      <c r="G1947" s="4">
        <f>G1948</f>
        <v>340</v>
      </c>
      <c r="H1947" s="4"/>
    </row>
    <row r="1948" spans="1:8" s="8" customFormat="1" ht="14.25" customHeight="1">
      <c r="A1948" s="277"/>
      <c r="B1948" s="86"/>
      <c r="C1948" s="86"/>
      <c r="D1948" s="94" t="s">
        <v>884</v>
      </c>
      <c r="E1948" s="17"/>
      <c r="F1948" s="17"/>
      <c r="G1948" s="17">
        <f>G1949</f>
        <v>340</v>
      </c>
      <c r="H1948" s="17"/>
    </row>
    <row r="1949" spans="1:8" s="8" customFormat="1" ht="15.75" customHeight="1">
      <c r="A1949" s="277"/>
      <c r="B1949" s="86"/>
      <c r="C1949" s="22">
        <v>4520</v>
      </c>
      <c r="D1949" s="20" t="s">
        <v>302</v>
      </c>
      <c r="E1949" s="6"/>
      <c r="F1949" s="6"/>
      <c r="G1949" s="6">
        <v>340</v>
      </c>
      <c r="H1949" s="6"/>
    </row>
    <row r="1950" spans="1:8" s="8" customFormat="1" ht="17.25" customHeight="1" thickBot="1">
      <c r="A1950" s="394">
        <v>921</v>
      </c>
      <c r="B1950" s="394"/>
      <c r="C1950" s="394"/>
      <c r="D1950" s="394" t="s">
        <v>401</v>
      </c>
      <c r="E1950" s="377"/>
      <c r="F1950" s="377"/>
      <c r="G1950" s="377">
        <f>G1951</f>
        <v>350000</v>
      </c>
      <c r="H1950" s="377"/>
    </row>
    <row r="1951" spans="1:8" s="8" customFormat="1" ht="19.5" customHeight="1">
      <c r="A1951" s="18"/>
      <c r="B1951" s="3">
        <v>92120</v>
      </c>
      <c r="C1951" s="3"/>
      <c r="D1951" s="3" t="s">
        <v>97</v>
      </c>
      <c r="E1951" s="4"/>
      <c r="F1951" s="4"/>
      <c r="G1951" s="4">
        <f>G1952</f>
        <v>350000</v>
      </c>
      <c r="H1951" s="4"/>
    </row>
    <row r="1952" spans="1:8" s="8" customFormat="1" ht="19.5" customHeight="1">
      <c r="A1952" s="86"/>
      <c r="B1952" s="86"/>
      <c r="C1952" s="18"/>
      <c r="D1952" s="316" t="s">
        <v>47</v>
      </c>
      <c r="E1952" s="152"/>
      <c r="F1952" s="152"/>
      <c r="G1952" s="152">
        <f>G1954</f>
        <v>350000</v>
      </c>
      <c r="H1952" s="152"/>
    </row>
    <row r="1953" spans="1:8" s="8" customFormat="1" ht="19.5" customHeight="1">
      <c r="A1953" s="86"/>
      <c r="B1953" s="86"/>
      <c r="C1953" s="18"/>
      <c r="D1953" s="242" t="s">
        <v>246</v>
      </c>
      <c r="E1953" s="337"/>
      <c r="F1953" s="337"/>
      <c r="G1953" s="296">
        <v>350000</v>
      </c>
      <c r="H1953" s="296"/>
    </row>
    <row r="1954" spans="1:8" s="8" customFormat="1" ht="19.5" customHeight="1">
      <c r="A1954" s="107"/>
      <c r="B1954" s="107"/>
      <c r="C1954" s="22">
        <v>4270</v>
      </c>
      <c r="D1954" s="20" t="s">
        <v>753</v>
      </c>
      <c r="E1954" s="6"/>
      <c r="F1954" s="6"/>
      <c r="G1954" s="6">
        <f>G1953</f>
        <v>350000</v>
      </c>
      <c r="H1954" s="6"/>
    </row>
    <row r="1955" spans="1:8" s="8" customFormat="1" ht="21.75" customHeight="1" thickBot="1">
      <c r="A1955" s="394">
        <v>926</v>
      </c>
      <c r="B1955" s="394"/>
      <c r="C1955" s="394"/>
      <c r="D1955" s="394" t="s">
        <v>1045</v>
      </c>
      <c r="E1955" s="377"/>
      <c r="F1955" s="377"/>
      <c r="G1955" s="377">
        <f>G1956</f>
        <v>145000</v>
      </c>
      <c r="H1955" s="377"/>
    </row>
    <row r="1956" spans="1:8" s="8" customFormat="1" ht="21.75" customHeight="1">
      <c r="A1956" s="18"/>
      <c r="B1956" s="3">
        <v>92601</v>
      </c>
      <c r="C1956" s="3"/>
      <c r="D1956" s="3" t="s">
        <v>1046</v>
      </c>
      <c r="E1956" s="4"/>
      <c r="F1956" s="4"/>
      <c r="G1956" s="4">
        <f>G1958</f>
        <v>145000</v>
      </c>
      <c r="H1956" s="4"/>
    </row>
    <row r="1957" spans="1:8" s="8" customFormat="1" ht="21.75" customHeight="1">
      <c r="A1957" s="86"/>
      <c r="B1957" s="86"/>
      <c r="C1957" s="18"/>
      <c r="D1957" s="316" t="s">
        <v>890</v>
      </c>
      <c r="E1957" s="152"/>
      <c r="F1957" s="152"/>
      <c r="G1957" s="152">
        <f>G1958</f>
        <v>145000</v>
      </c>
      <c r="H1957" s="152"/>
    </row>
    <row r="1958" spans="1:8" s="8" customFormat="1" ht="21.75" customHeight="1">
      <c r="A1958" s="86"/>
      <c r="B1958" s="86"/>
      <c r="C1958" s="22">
        <v>4270</v>
      </c>
      <c r="D1958" s="20" t="s">
        <v>753</v>
      </c>
      <c r="E1958" s="6"/>
      <c r="F1958" s="6"/>
      <c r="G1958" s="6">
        <v>145000</v>
      </c>
      <c r="H1958" s="6"/>
    </row>
    <row r="1959" spans="1:8" ht="21.75" customHeight="1" thickBot="1">
      <c r="A1959" s="158"/>
      <c r="B1959" s="158"/>
      <c r="C1959" s="56"/>
      <c r="D1959" s="159" t="s">
        <v>523</v>
      </c>
      <c r="E1959" s="160"/>
      <c r="F1959" s="160"/>
      <c r="G1959" s="160">
        <f>G1960</f>
        <v>1568923</v>
      </c>
      <c r="H1959" s="160"/>
    </row>
    <row r="1960" spans="1:8" ht="21.75" customHeight="1" thickBot="1" thickTop="1">
      <c r="A1960" s="405">
        <v>750</v>
      </c>
      <c r="B1960" s="405"/>
      <c r="C1960" s="405"/>
      <c r="D1960" s="405" t="s">
        <v>439</v>
      </c>
      <c r="E1960" s="406"/>
      <c r="F1960" s="406"/>
      <c r="G1960" s="406">
        <f>G1961</f>
        <v>1568923</v>
      </c>
      <c r="H1960" s="406"/>
    </row>
    <row r="1961" spans="1:8" ht="21.75" customHeight="1">
      <c r="A1961" s="55"/>
      <c r="B1961" s="165">
        <v>75011</v>
      </c>
      <c r="C1961" s="165"/>
      <c r="D1961" s="165" t="s">
        <v>1049</v>
      </c>
      <c r="E1961" s="167"/>
      <c r="F1961" s="167"/>
      <c r="G1961" s="167">
        <f>G1962</f>
        <v>1568923</v>
      </c>
      <c r="H1961" s="167"/>
    </row>
    <row r="1962" spans="1:8" ht="22.5" customHeight="1">
      <c r="A1962" s="86"/>
      <c r="B1962" s="122"/>
      <c r="C1962" s="128"/>
      <c r="D1962" s="16" t="s">
        <v>736</v>
      </c>
      <c r="E1962" s="243"/>
      <c r="F1962" s="243"/>
      <c r="G1962" s="243">
        <f>SUM(G1963:G1967)</f>
        <v>1568923</v>
      </c>
      <c r="H1962" s="243"/>
    </row>
    <row r="1963" spans="1:8" ht="21.75" customHeight="1">
      <c r="A1963" s="86"/>
      <c r="B1963" s="86"/>
      <c r="C1963" s="22">
        <v>4010</v>
      </c>
      <c r="D1963" s="22" t="s">
        <v>754</v>
      </c>
      <c r="E1963" s="295"/>
      <c r="F1963" s="295"/>
      <c r="G1963" s="295">
        <v>1210000</v>
      </c>
      <c r="H1963" s="295"/>
    </row>
    <row r="1964" spans="1:8" ht="21.75" customHeight="1">
      <c r="A1964" s="86"/>
      <c r="B1964" s="86"/>
      <c r="C1964" s="144">
        <v>4040</v>
      </c>
      <c r="D1964" s="144" t="s">
        <v>755</v>
      </c>
      <c r="E1964" s="276"/>
      <c r="F1964" s="276"/>
      <c r="G1964" s="276">
        <v>90000</v>
      </c>
      <c r="H1964" s="276"/>
    </row>
    <row r="1965" spans="1:8" ht="21.75" customHeight="1">
      <c r="A1965" s="86"/>
      <c r="B1965" s="86"/>
      <c r="C1965" s="22">
        <v>4110</v>
      </c>
      <c r="D1965" s="22" t="s">
        <v>681</v>
      </c>
      <c r="E1965" s="276"/>
      <c r="F1965" s="276"/>
      <c r="G1965" s="276">
        <v>190605</v>
      </c>
      <c r="H1965" s="276"/>
    </row>
    <row r="1966" spans="1:8" ht="21.75" customHeight="1">
      <c r="A1966" s="86"/>
      <c r="B1966" s="86"/>
      <c r="C1966" s="144">
        <v>4120</v>
      </c>
      <c r="D1966" s="144" t="s">
        <v>682</v>
      </c>
      <c r="E1966" s="276"/>
      <c r="F1966" s="276"/>
      <c r="G1966" s="276">
        <v>20923</v>
      </c>
      <c r="H1966" s="276"/>
    </row>
    <row r="1967" spans="1:8" ht="21.75" customHeight="1">
      <c r="A1967" s="86"/>
      <c r="B1967" s="86"/>
      <c r="C1967" s="22">
        <v>4440</v>
      </c>
      <c r="D1967" s="22" t="s">
        <v>684</v>
      </c>
      <c r="E1967" s="65"/>
      <c r="F1967" s="65"/>
      <c r="G1967" s="65">
        <v>57395</v>
      </c>
      <c r="H1967" s="65"/>
    </row>
    <row r="1968" spans="1:8" ht="29.25" thickBot="1">
      <c r="A1968" s="56"/>
      <c r="B1968" s="158"/>
      <c r="C1968" s="56"/>
      <c r="D1968" s="192" t="s">
        <v>1021</v>
      </c>
      <c r="E1968" s="160"/>
      <c r="F1968" s="160"/>
      <c r="G1968" s="160">
        <f>G1969+G1977</f>
        <v>856417</v>
      </c>
      <c r="H1968" s="160"/>
    </row>
    <row r="1969" spans="1:8" ht="18" customHeight="1" thickBot="1" thickTop="1">
      <c r="A1969" s="405">
        <v>750</v>
      </c>
      <c r="B1969" s="405"/>
      <c r="C1969" s="405"/>
      <c r="D1969" s="405" t="s">
        <v>439</v>
      </c>
      <c r="E1969" s="406"/>
      <c r="F1969" s="406"/>
      <c r="G1969" s="406">
        <f>G1970</f>
        <v>829596</v>
      </c>
      <c r="H1969" s="406"/>
    </row>
    <row r="1970" spans="1:8" ht="18.75" customHeight="1">
      <c r="A1970" s="56"/>
      <c r="B1970" s="165">
        <v>75011</v>
      </c>
      <c r="C1970" s="165"/>
      <c r="D1970" s="165" t="s">
        <v>1049</v>
      </c>
      <c r="E1970" s="167"/>
      <c r="F1970" s="167"/>
      <c r="G1970" s="167">
        <f>G1971</f>
        <v>829596</v>
      </c>
      <c r="H1970" s="167"/>
    </row>
    <row r="1971" spans="1:8" ht="22.5" customHeight="1">
      <c r="A1971" s="86"/>
      <c r="B1971" s="122"/>
      <c r="C1971" s="128"/>
      <c r="D1971" s="16" t="s">
        <v>736</v>
      </c>
      <c r="E1971" s="243"/>
      <c r="F1971" s="243"/>
      <c r="G1971" s="243">
        <f>SUM(G1972:G1976)</f>
        <v>829596</v>
      </c>
      <c r="H1971" s="243"/>
    </row>
    <row r="1972" spans="1:8" ht="18" customHeight="1">
      <c r="A1972" s="86"/>
      <c r="B1972" s="86"/>
      <c r="C1972" s="22">
        <v>4010</v>
      </c>
      <c r="D1972" s="22" t="s">
        <v>754</v>
      </c>
      <c r="E1972" s="295"/>
      <c r="F1972" s="295"/>
      <c r="G1972" s="295">
        <v>612000</v>
      </c>
      <c r="H1972" s="295"/>
    </row>
    <row r="1973" spans="1:8" ht="18" customHeight="1">
      <c r="A1973" s="86"/>
      <c r="B1973" s="86"/>
      <c r="C1973" s="144">
        <v>4040</v>
      </c>
      <c r="D1973" s="144" t="s">
        <v>755</v>
      </c>
      <c r="E1973" s="276"/>
      <c r="F1973" s="276"/>
      <c r="G1973" s="276">
        <v>52000</v>
      </c>
      <c r="H1973" s="276"/>
    </row>
    <row r="1974" spans="1:8" ht="18" customHeight="1">
      <c r="A1974" s="86"/>
      <c r="B1974" s="86"/>
      <c r="C1974" s="22">
        <v>4110</v>
      </c>
      <c r="D1974" s="22" t="s">
        <v>681</v>
      </c>
      <c r="E1974" s="276"/>
      <c r="F1974" s="276"/>
      <c r="G1974" s="276">
        <v>112988</v>
      </c>
      <c r="H1974" s="276"/>
    </row>
    <row r="1975" spans="1:8" ht="18" customHeight="1">
      <c r="A1975" s="86"/>
      <c r="B1975" s="86"/>
      <c r="C1975" s="144">
        <v>4120</v>
      </c>
      <c r="D1975" s="144" t="s">
        <v>682</v>
      </c>
      <c r="E1975" s="276"/>
      <c r="F1975" s="276"/>
      <c r="G1975" s="276">
        <v>15596</v>
      </c>
      <c r="H1975" s="276"/>
    </row>
    <row r="1976" spans="1:8" ht="18" customHeight="1">
      <c r="A1976" s="86"/>
      <c r="B1976" s="86"/>
      <c r="C1976" s="18">
        <v>4440</v>
      </c>
      <c r="D1976" s="18" t="s">
        <v>684</v>
      </c>
      <c r="E1976" s="276"/>
      <c r="F1976" s="276"/>
      <c r="G1976" s="276">
        <v>37012</v>
      </c>
      <c r="H1976" s="276"/>
    </row>
    <row r="1977" spans="1:8" ht="18" customHeight="1" thickBot="1">
      <c r="A1977" s="405">
        <v>853</v>
      </c>
      <c r="B1977" s="405"/>
      <c r="C1977" s="405"/>
      <c r="D1977" s="405" t="s">
        <v>277</v>
      </c>
      <c r="E1977" s="406"/>
      <c r="F1977" s="406"/>
      <c r="G1977" s="406">
        <f>G1978</f>
        <v>26821</v>
      </c>
      <c r="H1977" s="406"/>
    </row>
    <row r="1978" spans="1:8" ht="18" customHeight="1">
      <c r="A1978" s="56"/>
      <c r="B1978" s="165">
        <v>85334</v>
      </c>
      <c r="C1978" s="165"/>
      <c r="D1978" s="165" t="s">
        <v>885</v>
      </c>
      <c r="E1978" s="167"/>
      <c r="F1978" s="167"/>
      <c r="G1978" s="167">
        <f>G1979</f>
        <v>26821</v>
      </c>
      <c r="H1978" s="167"/>
    </row>
    <row r="1979" spans="1:8" ht="18" customHeight="1">
      <c r="A1979" s="86"/>
      <c r="B1979" s="122"/>
      <c r="C1979" s="128"/>
      <c r="D1979" s="16" t="s">
        <v>927</v>
      </c>
      <c r="E1979" s="243"/>
      <c r="F1979" s="243"/>
      <c r="G1979" s="243">
        <f>G1981+G1980</f>
        <v>26821</v>
      </c>
      <c r="H1979" s="243"/>
    </row>
    <row r="1980" spans="1:8" ht="18" customHeight="1">
      <c r="A1980" s="86"/>
      <c r="B1980" s="86"/>
      <c r="C1980" s="22">
        <v>3030</v>
      </c>
      <c r="D1980" s="22" t="s">
        <v>747</v>
      </c>
      <c r="E1980" s="88"/>
      <c r="F1980" s="88"/>
      <c r="G1980" s="88">
        <v>2321</v>
      </c>
      <c r="H1980" s="88"/>
    </row>
    <row r="1981" spans="1:8" ht="18" customHeight="1">
      <c r="A1981" s="107"/>
      <c r="B1981" s="107"/>
      <c r="C1981" s="22">
        <v>4300</v>
      </c>
      <c r="D1981" s="22" t="s">
        <v>815</v>
      </c>
      <c r="E1981" s="88"/>
      <c r="F1981" s="88"/>
      <c r="G1981" s="88">
        <f>19000+5500</f>
        <v>24500</v>
      </c>
      <c r="H1981" s="88"/>
    </row>
    <row r="1982" spans="1:8" ht="21.75" customHeight="1">
      <c r="A1982" s="193"/>
      <c r="B1982" s="193"/>
      <c r="C1982" s="193"/>
      <c r="D1982" s="1096" t="s">
        <v>871</v>
      </c>
      <c r="E1982" s="1097"/>
      <c r="F1982" s="1097"/>
      <c r="G1982" s="1097"/>
      <c r="H1982" s="1097">
        <f>H1983+H1997+H2006</f>
        <v>49194119</v>
      </c>
    </row>
    <row r="1983" spans="1:8" ht="21.75" customHeight="1" thickBot="1">
      <c r="A1983" s="158"/>
      <c r="B1983" s="158"/>
      <c r="C1983" s="158"/>
      <c r="D1983" s="159" t="s">
        <v>646</v>
      </c>
      <c r="E1983" s="160"/>
      <c r="F1983" s="160"/>
      <c r="G1983" s="160"/>
      <c r="H1983" s="160">
        <f>H1984+H1988</f>
        <v>46795600</v>
      </c>
    </row>
    <row r="1984" spans="1:8" ht="21.75" customHeight="1" thickBot="1" thickTop="1">
      <c r="A1984" s="394">
        <v>700</v>
      </c>
      <c r="B1984" s="394"/>
      <c r="C1984" s="394"/>
      <c r="D1984" s="394" t="s">
        <v>433</v>
      </c>
      <c r="E1984" s="378"/>
      <c r="F1984" s="378"/>
      <c r="G1984" s="378"/>
      <c r="H1984" s="378">
        <f>H1985</f>
        <v>4800</v>
      </c>
    </row>
    <row r="1985" spans="1:8" ht="21.75" customHeight="1">
      <c r="A1985" s="86"/>
      <c r="B1985" s="3">
        <v>70005</v>
      </c>
      <c r="C1985" s="3"/>
      <c r="D1985" s="3" t="s">
        <v>435</v>
      </c>
      <c r="E1985" s="4"/>
      <c r="F1985" s="4"/>
      <c r="G1985" s="4"/>
      <c r="H1985" s="4">
        <f>H1986</f>
        <v>4800</v>
      </c>
    </row>
    <row r="1986" spans="1:8" ht="32.25" customHeight="1">
      <c r="A1986" s="86"/>
      <c r="B1986" s="86"/>
      <c r="C1986" s="86"/>
      <c r="D1986" s="16" t="s">
        <v>284</v>
      </c>
      <c r="E1986" s="66"/>
      <c r="F1986" s="66"/>
      <c r="G1986" s="66"/>
      <c r="H1986" s="66">
        <f>SUM(H1987:H1987)</f>
        <v>4800</v>
      </c>
    </row>
    <row r="1987" spans="1:8" ht="21" customHeight="1">
      <c r="A1987" s="86"/>
      <c r="B1987" s="86"/>
      <c r="C1987" s="22">
        <v>3050</v>
      </c>
      <c r="D1987" s="20" t="s">
        <v>345</v>
      </c>
      <c r="E1987" s="6"/>
      <c r="F1987" s="6"/>
      <c r="G1987" s="6"/>
      <c r="H1987" s="6">
        <v>4800</v>
      </c>
    </row>
    <row r="1988" spans="1:8" s="1" customFormat="1" ht="23.25" customHeight="1" thickBot="1">
      <c r="A1988" s="394">
        <v>750</v>
      </c>
      <c r="B1988" s="394"/>
      <c r="C1988" s="394"/>
      <c r="D1988" s="394" t="s">
        <v>439</v>
      </c>
      <c r="E1988" s="377"/>
      <c r="F1988" s="377"/>
      <c r="G1988" s="377"/>
      <c r="H1988" s="377">
        <f>H1989</f>
        <v>46790800</v>
      </c>
    </row>
    <row r="1989" spans="1:8" ht="21" customHeight="1">
      <c r="A1989" s="56"/>
      <c r="B1989" s="165">
        <v>75023</v>
      </c>
      <c r="C1989" s="165"/>
      <c r="D1989" s="165" t="s">
        <v>1061</v>
      </c>
      <c r="E1989" s="167"/>
      <c r="F1989" s="167"/>
      <c r="G1989" s="167"/>
      <c r="H1989" s="167">
        <f>H1990</f>
        <v>46790800</v>
      </c>
    </row>
    <row r="1990" spans="1:8" ht="21" customHeight="1">
      <c r="A1990" s="56"/>
      <c r="B1990" s="56"/>
      <c r="C1990" s="56"/>
      <c r="D1990" s="186" t="s">
        <v>703</v>
      </c>
      <c r="E1990" s="270"/>
      <c r="F1990" s="270"/>
      <c r="G1990" s="270"/>
      <c r="H1990" s="270">
        <f>SUM(H1991:H1996)</f>
        <v>46790800</v>
      </c>
    </row>
    <row r="1991" spans="1:8" ht="21" customHeight="1">
      <c r="A1991" s="277"/>
      <c r="B1991" s="277"/>
      <c r="C1991" s="22">
        <v>4010</v>
      </c>
      <c r="D1991" s="22" t="s">
        <v>754</v>
      </c>
      <c r="E1991" s="173"/>
      <c r="F1991" s="173"/>
      <c r="G1991" s="173"/>
      <c r="H1991" s="173">
        <v>36340000</v>
      </c>
    </row>
    <row r="1992" spans="1:8" ht="21" customHeight="1">
      <c r="A1992" s="277"/>
      <c r="B1992" s="277"/>
      <c r="C1992" s="144">
        <v>4040</v>
      </c>
      <c r="D1992" s="144" t="s">
        <v>755</v>
      </c>
      <c r="E1992" s="232"/>
      <c r="F1992" s="232"/>
      <c r="G1992" s="232"/>
      <c r="H1992" s="232">
        <v>2600509</v>
      </c>
    </row>
    <row r="1993" spans="1:8" ht="21" customHeight="1">
      <c r="A1993" s="277"/>
      <c r="B1993" s="277"/>
      <c r="C1993" s="22">
        <v>4110</v>
      </c>
      <c r="D1993" s="20" t="s">
        <v>681</v>
      </c>
      <c r="E1993" s="232"/>
      <c r="F1993" s="232"/>
      <c r="G1993" s="232"/>
      <c r="H1993" s="232">
        <v>6280000</v>
      </c>
    </row>
    <row r="1994" spans="1:8" ht="21" customHeight="1">
      <c r="A1994" s="277"/>
      <c r="B1994" s="277"/>
      <c r="C1994" s="22">
        <v>4120</v>
      </c>
      <c r="D1994" s="20" t="s">
        <v>682</v>
      </c>
      <c r="E1994" s="232"/>
      <c r="F1994" s="232"/>
      <c r="G1994" s="232"/>
      <c r="H1994" s="232">
        <v>555300</v>
      </c>
    </row>
    <row r="1995" spans="1:8" ht="21" customHeight="1">
      <c r="A1995" s="277"/>
      <c r="B1995" s="277"/>
      <c r="C1995" s="18">
        <v>4140</v>
      </c>
      <c r="D1995" s="221" t="s">
        <v>241</v>
      </c>
      <c r="E1995" s="361"/>
      <c r="F1995" s="361"/>
      <c r="G1995" s="361"/>
      <c r="H1995" s="361">
        <v>290500</v>
      </c>
    </row>
    <row r="1996" spans="1:8" ht="21" customHeight="1">
      <c r="A1996" s="277"/>
      <c r="B1996" s="277"/>
      <c r="C1996" s="144">
        <v>4440</v>
      </c>
      <c r="D1996" s="252" t="s">
        <v>684</v>
      </c>
      <c r="E1996" s="232"/>
      <c r="F1996" s="232"/>
      <c r="G1996" s="232"/>
      <c r="H1996" s="232">
        <v>724491</v>
      </c>
    </row>
    <row r="1997" spans="1:8" ht="27" customHeight="1" thickBot="1">
      <c r="A1997" s="158"/>
      <c r="B1997" s="158"/>
      <c r="C1997" s="56"/>
      <c r="D1997" s="159" t="s">
        <v>523</v>
      </c>
      <c r="E1997" s="160"/>
      <c r="F1997" s="160"/>
      <c r="G1997" s="160"/>
      <c r="H1997" s="160">
        <f>H1998</f>
        <v>1568923</v>
      </c>
    </row>
    <row r="1998" spans="1:8" ht="21" customHeight="1" thickBot="1" thickTop="1">
      <c r="A1998" s="405">
        <v>750</v>
      </c>
      <c r="B1998" s="405"/>
      <c r="C1998" s="405"/>
      <c r="D1998" s="405" t="s">
        <v>439</v>
      </c>
      <c r="E1998" s="406"/>
      <c r="F1998" s="406"/>
      <c r="G1998" s="406"/>
      <c r="H1998" s="406">
        <f>H1999</f>
        <v>1568923</v>
      </c>
    </row>
    <row r="1999" spans="1:8" ht="21" customHeight="1">
      <c r="A1999" s="55"/>
      <c r="B1999" s="165">
        <v>75011</v>
      </c>
      <c r="C1999" s="165"/>
      <c r="D1999" s="165" t="s">
        <v>1049</v>
      </c>
      <c r="E1999" s="167"/>
      <c r="F1999" s="167"/>
      <c r="G1999" s="167"/>
      <c r="H1999" s="167">
        <f>H2000</f>
        <v>1568923</v>
      </c>
    </row>
    <row r="2000" spans="1:8" ht="20.25" customHeight="1">
      <c r="A2000" s="86"/>
      <c r="B2000" s="122"/>
      <c r="C2000" s="128"/>
      <c r="D2000" s="16" t="s">
        <v>736</v>
      </c>
      <c r="E2000" s="243"/>
      <c r="F2000" s="243"/>
      <c r="G2000" s="243"/>
      <c r="H2000" s="243">
        <f>SUM(H2001:H2005)</f>
        <v>1568923</v>
      </c>
    </row>
    <row r="2001" spans="1:8" ht="21.75" customHeight="1">
      <c r="A2001" s="86"/>
      <c r="B2001" s="86"/>
      <c r="C2001" s="22">
        <v>4010</v>
      </c>
      <c r="D2001" s="22" t="s">
        <v>754</v>
      </c>
      <c r="E2001" s="295"/>
      <c r="F2001" s="295"/>
      <c r="G2001" s="295"/>
      <c r="H2001" s="295">
        <v>1210000</v>
      </c>
    </row>
    <row r="2002" spans="1:8" ht="21.75" customHeight="1">
      <c r="A2002" s="86"/>
      <c r="B2002" s="86"/>
      <c r="C2002" s="144">
        <v>4040</v>
      </c>
      <c r="D2002" s="144" t="s">
        <v>755</v>
      </c>
      <c r="E2002" s="65"/>
      <c r="F2002" s="65"/>
      <c r="G2002" s="65"/>
      <c r="H2002" s="65">
        <v>90000</v>
      </c>
    </row>
    <row r="2003" spans="1:8" ht="21.75" customHeight="1">
      <c r="A2003" s="86"/>
      <c r="B2003" s="86"/>
      <c r="C2003" s="144">
        <v>4110</v>
      </c>
      <c r="D2003" s="144" t="s">
        <v>681</v>
      </c>
      <c r="E2003" s="276"/>
      <c r="F2003" s="276"/>
      <c r="G2003" s="276"/>
      <c r="H2003" s="276">
        <v>190605</v>
      </c>
    </row>
    <row r="2004" spans="1:8" ht="21.75" customHeight="1">
      <c r="A2004" s="86"/>
      <c r="B2004" s="86"/>
      <c r="C2004" s="144">
        <v>4120</v>
      </c>
      <c r="D2004" s="144" t="s">
        <v>682</v>
      </c>
      <c r="E2004" s="276"/>
      <c r="F2004" s="276"/>
      <c r="G2004" s="276"/>
      <c r="H2004" s="276">
        <v>20923</v>
      </c>
    </row>
    <row r="2005" spans="1:8" ht="21.75" customHeight="1">
      <c r="A2005" s="107"/>
      <c r="B2005" s="107"/>
      <c r="C2005" s="22">
        <v>4440</v>
      </c>
      <c r="D2005" s="22" t="s">
        <v>684</v>
      </c>
      <c r="E2005" s="65"/>
      <c r="F2005" s="65"/>
      <c r="G2005" s="65"/>
      <c r="H2005" s="65">
        <v>57395</v>
      </c>
    </row>
    <row r="2006" spans="1:8" ht="35.25" customHeight="1" thickBot="1">
      <c r="A2006" s="193"/>
      <c r="B2006" s="1078"/>
      <c r="C2006" s="193"/>
      <c r="D2006" s="266" t="s">
        <v>1021</v>
      </c>
      <c r="E2006" s="267"/>
      <c r="F2006" s="267"/>
      <c r="G2006" s="267"/>
      <c r="H2006" s="267">
        <f>H2007</f>
        <v>829596</v>
      </c>
    </row>
    <row r="2007" spans="1:8" ht="21.75" customHeight="1" thickBot="1" thickTop="1">
      <c r="A2007" s="405">
        <v>750</v>
      </c>
      <c r="B2007" s="405"/>
      <c r="C2007" s="405"/>
      <c r="D2007" s="405" t="s">
        <v>439</v>
      </c>
      <c r="E2007" s="406"/>
      <c r="F2007" s="406"/>
      <c r="G2007" s="406"/>
      <c r="H2007" s="406">
        <f>H2008</f>
        <v>829596</v>
      </c>
    </row>
    <row r="2008" spans="1:8" ht="21.75" customHeight="1">
      <c r="A2008" s="56"/>
      <c r="B2008" s="165">
        <v>75011</v>
      </c>
      <c r="C2008" s="165"/>
      <c r="D2008" s="165" t="s">
        <v>1049</v>
      </c>
      <c r="E2008" s="167"/>
      <c r="F2008" s="167"/>
      <c r="G2008" s="167"/>
      <c r="H2008" s="167">
        <f>H2009</f>
        <v>829596</v>
      </c>
    </row>
    <row r="2009" spans="1:8" ht="21" customHeight="1">
      <c r="A2009" s="86"/>
      <c r="B2009" s="122"/>
      <c r="C2009" s="128"/>
      <c r="D2009" s="16" t="s">
        <v>736</v>
      </c>
      <c r="E2009" s="243"/>
      <c r="F2009" s="243"/>
      <c r="G2009" s="243"/>
      <c r="H2009" s="243">
        <f>SUM(H2010:H2014)</f>
        <v>829596</v>
      </c>
    </row>
    <row r="2010" spans="1:8" ht="18.75" customHeight="1">
      <c r="A2010" s="86"/>
      <c r="B2010" s="86"/>
      <c r="C2010" s="22">
        <v>4010</v>
      </c>
      <c r="D2010" s="22" t="s">
        <v>754</v>
      </c>
      <c r="E2010" s="295"/>
      <c r="F2010" s="295"/>
      <c r="G2010" s="295"/>
      <c r="H2010" s="295">
        <v>612000</v>
      </c>
    </row>
    <row r="2011" spans="1:8" ht="18.75" customHeight="1">
      <c r="A2011" s="86"/>
      <c r="B2011" s="86"/>
      <c r="C2011" s="144">
        <v>4040</v>
      </c>
      <c r="D2011" s="144" t="s">
        <v>755</v>
      </c>
      <c r="E2011" s="276"/>
      <c r="F2011" s="276"/>
      <c r="G2011" s="276"/>
      <c r="H2011" s="276">
        <v>52000</v>
      </c>
    </row>
    <row r="2012" spans="1:8" ht="18.75" customHeight="1">
      <c r="A2012" s="86"/>
      <c r="B2012" s="86"/>
      <c r="C2012" s="22">
        <v>4110</v>
      </c>
      <c r="D2012" s="22" t="s">
        <v>681</v>
      </c>
      <c r="E2012" s="276"/>
      <c r="F2012" s="276"/>
      <c r="G2012" s="276"/>
      <c r="H2012" s="276">
        <v>112988</v>
      </c>
    </row>
    <row r="2013" spans="1:8" ht="18.75" customHeight="1">
      <c r="A2013" s="86"/>
      <c r="B2013" s="86"/>
      <c r="C2013" s="144">
        <v>4120</v>
      </c>
      <c r="D2013" s="144" t="s">
        <v>682</v>
      </c>
      <c r="E2013" s="276"/>
      <c r="F2013" s="276"/>
      <c r="G2013" s="276"/>
      <c r="H2013" s="276">
        <v>15596</v>
      </c>
    </row>
    <row r="2014" spans="1:8" ht="18.75" customHeight="1">
      <c r="A2014" s="86"/>
      <c r="B2014" s="86"/>
      <c r="C2014" s="144">
        <v>4440</v>
      </c>
      <c r="D2014" s="144" t="s">
        <v>684</v>
      </c>
      <c r="E2014" s="65"/>
      <c r="F2014" s="65"/>
      <c r="G2014" s="65"/>
      <c r="H2014" s="65">
        <v>37012</v>
      </c>
    </row>
    <row r="2015" spans="1:8" ht="18" customHeight="1">
      <c r="A2015" s="56"/>
      <c r="B2015" s="56"/>
      <c r="C2015" s="56"/>
      <c r="D2015" s="271" t="s">
        <v>851</v>
      </c>
      <c r="E2015" s="272"/>
      <c r="F2015" s="272">
        <f>F2016</f>
        <v>50000</v>
      </c>
      <c r="G2015" s="272"/>
      <c r="H2015" s="272"/>
    </row>
    <row r="2016" spans="1:8" ht="18" customHeight="1" thickBot="1">
      <c r="A2016" s="158"/>
      <c r="B2016" s="158"/>
      <c r="C2016" s="158"/>
      <c r="D2016" s="159" t="s">
        <v>461</v>
      </c>
      <c r="E2016" s="160"/>
      <c r="F2016" s="160">
        <f>F2017</f>
        <v>50000</v>
      </c>
      <c r="G2016" s="160"/>
      <c r="H2016" s="160"/>
    </row>
    <row r="2017" spans="1:8" ht="18" customHeight="1" thickBot="1" thickTop="1">
      <c r="A2017" s="405">
        <v>750</v>
      </c>
      <c r="B2017" s="405"/>
      <c r="C2017" s="405"/>
      <c r="D2017" s="405" t="s">
        <v>439</v>
      </c>
      <c r="E2017" s="406"/>
      <c r="F2017" s="406">
        <f>F2018</f>
        <v>50000</v>
      </c>
      <c r="G2017" s="406"/>
      <c r="H2017" s="406"/>
    </row>
    <row r="2018" spans="1:8" s="184" customFormat="1" ht="18" customHeight="1">
      <c r="A2018" s="55"/>
      <c r="B2018" s="165">
        <v>75023</v>
      </c>
      <c r="C2018" s="165"/>
      <c r="D2018" s="185" t="s">
        <v>1061</v>
      </c>
      <c r="E2018" s="167"/>
      <c r="F2018" s="167">
        <f>F2019</f>
        <v>50000</v>
      </c>
      <c r="G2018" s="167"/>
      <c r="H2018" s="167"/>
    </row>
    <row r="2019" spans="1:8" ht="18" customHeight="1">
      <c r="A2019" s="56"/>
      <c r="B2019" s="55"/>
      <c r="C2019" s="55"/>
      <c r="D2019" s="79" t="s">
        <v>1120</v>
      </c>
      <c r="E2019" s="169"/>
      <c r="F2019" s="169">
        <f>F2020</f>
        <v>50000</v>
      </c>
      <c r="G2019" s="169"/>
      <c r="H2019" s="169"/>
    </row>
    <row r="2020" spans="1:8" s="174" customFormat="1" ht="18" customHeight="1">
      <c r="A2020" s="191"/>
      <c r="B2020" s="191"/>
      <c r="C2020" s="188" t="s">
        <v>728</v>
      </c>
      <c r="D2020" s="189" t="s">
        <v>512</v>
      </c>
      <c r="E2020" s="190"/>
      <c r="F2020" s="190">
        <v>50000</v>
      </c>
      <c r="G2020" s="190"/>
      <c r="H2020" s="190"/>
    </row>
    <row r="2021" spans="1:8" ht="18" customHeight="1">
      <c r="A2021" s="56"/>
      <c r="B2021" s="56"/>
      <c r="C2021" s="56"/>
      <c r="D2021" s="271" t="s">
        <v>200</v>
      </c>
      <c r="E2021" s="272"/>
      <c r="F2021" s="272"/>
      <c r="G2021" s="272"/>
      <c r="H2021" s="272">
        <f>H2022</f>
        <v>1700000</v>
      </c>
    </row>
    <row r="2022" spans="1:8" ht="18" customHeight="1" thickBot="1">
      <c r="A2022" s="158"/>
      <c r="B2022" s="158"/>
      <c r="C2022" s="158"/>
      <c r="D2022" s="159" t="s">
        <v>646</v>
      </c>
      <c r="E2022" s="160"/>
      <c r="F2022" s="160"/>
      <c r="G2022" s="160"/>
      <c r="H2022" s="160">
        <f>H2023</f>
        <v>1700000</v>
      </c>
    </row>
    <row r="2023" spans="1:8" s="1" customFormat="1" ht="18" customHeight="1" thickBot="1" thickTop="1">
      <c r="A2023" s="394">
        <v>750</v>
      </c>
      <c r="B2023" s="394"/>
      <c r="C2023" s="394"/>
      <c r="D2023" s="394" t="s">
        <v>439</v>
      </c>
      <c r="E2023" s="377"/>
      <c r="F2023" s="377"/>
      <c r="G2023" s="377"/>
      <c r="H2023" s="377">
        <f>H2024</f>
        <v>1700000</v>
      </c>
    </row>
    <row r="2024" spans="1:8" ht="18" customHeight="1">
      <c r="A2024" s="56"/>
      <c r="B2024" s="165">
        <v>75023</v>
      </c>
      <c r="C2024" s="165"/>
      <c r="D2024" s="165" t="s">
        <v>1061</v>
      </c>
      <c r="E2024" s="167"/>
      <c r="F2024" s="167"/>
      <c r="G2024" s="167"/>
      <c r="H2024" s="167">
        <f>H2025</f>
        <v>1700000</v>
      </c>
    </row>
    <row r="2025" spans="1:8" ht="18" customHeight="1">
      <c r="A2025" s="56"/>
      <c r="B2025" s="56"/>
      <c r="C2025" s="56"/>
      <c r="D2025" s="186" t="s">
        <v>703</v>
      </c>
      <c r="E2025" s="270"/>
      <c r="F2025" s="270"/>
      <c r="G2025" s="270"/>
      <c r="H2025" s="270">
        <f>H2026</f>
        <v>1700000</v>
      </c>
    </row>
    <row r="2026" spans="1:8" ht="18" customHeight="1">
      <c r="A2026" s="277"/>
      <c r="B2026" s="277"/>
      <c r="C2026" s="22">
        <v>4300</v>
      </c>
      <c r="D2026" s="20" t="s">
        <v>815</v>
      </c>
      <c r="E2026" s="173"/>
      <c r="F2026" s="173"/>
      <c r="G2026" s="173"/>
      <c r="H2026" s="173">
        <v>1700000</v>
      </c>
    </row>
    <row r="2027" spans="1:8" ht="18" customHeight="1">
      <c r="A2027" s="56"/>
      <c r="B2027" s="56"/>
      <c r="C2027" s="56"/>
      <c r="D2027" s="271" t="s">
        <v>201</v>
      </c>
      <c r="E2027" s="272"/>
      <c r="F2027" s="272">
        <f>F2028</f>
        <v>203168</v>
      </c>
      <c r="G2027" s="272"/>
      <c r="H2027" s="272">
        <f>H2037+H2093</f>
        <v>9945214</v>
      </c>
    </row>
    <row r="2028" spans="1:8" ht="18" customHeight="1" thickBot="1">
      <c r="A2028" s="158"/>
      <c r="B2028" s="158"/>
      <c r="C2028" s="158"/>
      <c r="D2028" s="159" t="s">
        <v>461</v>
      </c>
      <c r="E2028" s="160"/>
      <c r="F2028" s="160">
        <f>F2029+F2033</f>
        <v>203168</v>
      </c>
      <c r="G2028" s="160"/>
      <c r="H2028" s="160"/>
    </row>
    <row r="2029" spans="1:8" ht="18" customHeight="1" thickBot="1" thickTop="1">
      <c r="A2029" s="405">
        <v>700</v>
      </c>
      <c r="B2029" s="405"/>
      <c r="C2029" s="405"/>
      <c r="D2029" s="405" t="s">
        <v>433</v>
      </c>
      <c r="E2029" s="406"/>
      <c r="F2029" s="406">
        <f>F2030</f>
        <v>23000</v>
      </c>
      <c r="G2029" s="406"/>
      <c r="H2029" s="406"/>
    </row>
    <row r="2030" spans="1:8" s="184" customFormat="1" ht="18" customHeight="1">
      <c r="A2030" s="55"/>
      <c r="B2030" s="165">
        <v>70005</v>
      </c>
      <c r="C2030" s="165"/>
      <c r="D2030" s="185" t="s">
        <v>435</v>
      </c>
      <c r="E2030" s="167"/>
      <c r="F2030" s="167">
        <f>F2031</f>
        <v>23000</v>
      </c>
      <c r="G2030" s="167"/>
      <c r="H2030" s="167"/>
    </row>
    <row r="2031" spans="1:8" ht="19.5" customHeight="1">
      <c r="A2031" s="56"/>
      <c r="B2031" s="55"/>
      <c r="C2031" s="55"/>
      <c r="D2031" s="186" t="s">
        <v>520</v>
      </c>
      <c r="E2031" s="169"/>
      <c r="F2031" s="169">
        <f>F2032</f>
        <v>23000</v>
      </c>
      <c r="G2031" s="169"/>
      <c r="H2031" s="169"/>
    </row>
    <row r="2032" spans="1:8" s="174" customFormat="1" ht="40.5" customHeight="1">
      <c r="A2032" s="191"/>
      <c r="B2032" s="191"/>
      <c r="C2032" s="188" t="s">
        <v>632</v>
      </c>
      <c r="D2032" s="189" t="s">
        <v>999</v>
      </c>
      <c r="E2032" s="190"/>
      <c r="F2032" s="190">
        <v>23000</v>
      </c>
      <c r="G2032" s="190"/>
      <c r="H2032" s="190"/>
    </row>
    <row r="2033" spans="1:8" ht="19.5" customHeight="1" thickBot="1">
      <c r="A2033" s="405">
        <v>750</v>
      </c>
      <c r="B2033" s="405"/>
      <c r="C2033" s="405"/>
      <c r="D2033" s="405" t="s">
        <v>439</v>
      </c>
      <c r="E2033" s="406"/>
      <c r="F2033" s="406">
        <f>F2034</f>
        <v>180168</v>
      </c>
      <c r="G2033" s="406"/>
      <c r="H2033" s="406"/>
    </row>
    <row r="2034" spans="1:8" s="184" customFormat="1" ht="19.5" customHeight="1">
      <c r="A2034" s="55"/>
      <c r="B2034" s="165">
        <v>75023</v>
      </c>
      <c r="C2034" s="165"/>
      <c r="D2034" s="185" t="s">
        <v>1061</v>
      </c>
      <c r="E2034" s="167"/>
      <c r="F2034" s="167">
        <f>F2035</f>
        <v>180168</v>
      </c>
      <c r="G2034" s="167"/>
      <c r="H2034" s="167"/>
    </row>
    <row r="2035" spans="1:8" ht="19.5" customHeight="1">
      <c r="A2035" s="923"/>
      <c r="B2035" s="923"/>
      <c r="C2035" s="938"/>
      <c r="D2035" s="904" t="s">
        <v>790</v>
      </c>
      <c r="E2035" s="270"/>
      <c r="F2035" s="270">
        <f>F2036</f>
        <v>180168</v>
      </c>
      <c r="G2035" s="270"/>
      <c r="H2035" s="270"/>
    </row>
    <row r="2036" spans="1:8" ht="19.5" customHeight="1">
      <c r="A2036" s="1001"/>
      <c r="B2036" s="1001"/>
      <c r="C2036" s="940" t="s">
        <v>1064</v>
      </c>
      <c r="D2036" s="941" t="s">
        <v>882</v>
      </c>
      <c r="E2036" s="958"/>
      <c r="F2036" s="958">
        <f>6407+4711+120755+48295</f>
        <v>180168</v>
      </c>
      <c r="G2036" s="958"/>
      <c r="H2036" s="958"/>
    </row>
    <row r="2037" spans="1:8" ht="19.5" customHeight="1" thickBot="1">
      <c r="A2037" s="1078"/>
      <c r="B2037" s="1078"/>
      <c r="C2037" s="1078"/>
      <c r="D2037" s="349" t="s">
        <v>646</v>
      </c>
      <c r="E2037" s="267"/>
      <c r="F2037" s="267"/>
      <c r="G2037" s="267"/>
      <c r="H2037" s="267">
        <f>H2038+H2081+H2085+H2089+H2076</f>
        <v>9918393</v>
      </c>
    </row>
    <row r="2038" spans="1:8" s="1" customFormat="1" ht="18" customHeight="1" thickBot="1" thickTop="1">
      <c r="A2038" s="394">
        <v>750</v>
      </c>
      <c r="B2038" s="394"/>
      <c r="C2038" s="394"/>
      <c r="D2038" s="394" t="s">
        <v>439</v>
      </c>
      <c r="E2038" s="377"/>
      <c r="F2038" s="377"/>
      <c r="G2038" s="377"/>
      <c r="H2038" s="377">
        <f>H2039+H2056</f>
        <v>9862200</v>
      </c>
    </row>
    <row r="2039" spans="1:8" s="1" customFormat="1" ht="18" customHeight="1">
      <c r="A2039" s="1144"/>
      <c r="B2039" s="1031">
        <v>75022</v>
      </c>
      <c r="C2039" s="1031"/>
      <c r="D2039" s="1031" t="s">
        <v>440</v>
      </c>
      <c r="E2039" s="1033"/>
      <c r="F2039" s="1033"/>
      <c r="G2039" s="1033"/>
      <c r="H2039" s="1033">
        <f>H2040+H2049</f>
        <v>373000</v>
      </c>
    </row>
    <row r="2040" spans="1:8" ht="18" customHeight="1">
      <c r="A2040" s="86"/>
      <c r="B2040" s="122"/>
      <c r="C2040" s="128"/>
      <c r="D2040" s="16" t="s">
        <v>701</v>
      </c>
      <c r="E2040" s="17"/>
      <c r="F2040" s="17"/>
      <c r="G2040" s="17"/>
      <c r="H2040" s="17">
        <f>SUM(H2041:H2048)</f>
        <v>365000</v>
      </c>
    </row>
    <row r="2041" spans="1:8" ht="18" customHeight="1">
      <c r="A2041" s="86"/>
      <c r="B2041" s="86"/>
      <c r="C2041" s="22">
        <v>3030</v>
      </c>
      <c r="D2041" s="20" t="s">
        <v>747</v>
      </c>
      <c r="E2041" s="88"/>
      <c r="F2041" s="88"/>
      <c r="G2041" s="88"/>
      <c r="H2041" s="88">
        <v>254552</v>
      </c>
    </row>
    <row r="2042" spans="1:8" ht="18" customHeight="1">
      <c r="A2042" s="86"/>
      <c r="B2042" s="86"/>
      <c r="C2042" s="144">
        <v>4210</v>
      </c>
      <c r="D2042" s="144" t="s">
        <v>748</v>
      </c>
      <c r="E2042" s="65"/>
      <c r="F2042" s="65"/>
      <c r="G2042" s="65"/>
      <c r="H2042" s="65">
        <v>3400</v>
      </c>
    </row>
    <row r="2043" spans="1:8" ht="18" customHeight="1">
      <c r="A2043" s="86"/>
      <c r="B2043" s="86"/>
      <c r="C2043" s="144">
        <v>4260</v>
      </c>
      <c r="D2043" s="144" t="s">
        <v>752</v>
      </c>
      <c r="E2043" s="65"/>
      <c r="F2043" s="65"/>
      <c r="G2043" s="65"/>
      <c r="H2043" s="65">
        <v>33891</v>
      </c>
    </row>
    <row r="2044" spans="1:8" ht="18" customHeight="1">
      <c r="A2044" s="86"/>
      <c r="B2044" s="86"/>
      <c r="C2044" s="22">
        <v>4300</v>
      </c>
      <c r="D2044" s="22" t="s">
        <v>815</v>
      </c>
      <c r="E2044" s="6"/>
      <c r="F2044" s="6"/>
      <c r="G2044" s="6"/>
      <c r="H2044" s="6">
        <v>1872</v>
      </c>
    </row>
    <row r="2045" spans="1:8" ht="18" customHeight="1">
      <c r="A2045" s="86"/>
      <c r="B2045" s="86"/>
      <c r="C2045" s="22">
        <v>4360</v>
      </c>
      <c r="D2045" s="20" t="s">
        <v>310</v>
      </c>
      <c r="E2045" s="65"/>
      <c r="F2045" s="65"/>
      <c r="G2045" s="65"/>
      <c r="H2045" s="65">
        <v>2560</v>
      </c>
    </row>
    <row r="2046" spans="1:8" ht="18" customHeight="1">
      <c r="A2046" s="86"/>
      <c r="B2046" s="86"/>
      <c r="C2046" s="22">
        <v>4370</v>
      </c>
      <c r="D2046" s="20" t="s">
        <v>311</v>
      </c>
      <c r="E2046" s="65"/>
      <c r="F2046" s="65"/>
      <c r="G2046" s="65"/>
      <c r="H2046" s="65">
        <v>19025</v>
      </c>
    </row>
    <row r="2047" spans="1:8" ht="15.75" customHeight="1">
      <c r="A2047" s="86"/>
      <c r="B2047" s="86"/>
      <c r="C2047" s="22">
        <v>4400</v>
      </c>
      <c r="D2047" s="20" t="s">
        <v>1081</v>
      </c>
      <c r="E2047" s="65"/>
      <c r="F2047" s="65"/>
      <c r="G2047" s="65"/>
      <c r="H2047" s="65">
        <v>48650</v>
      </c>
    </row>
    <row r="2048" spans="1:8" ht="25.5" customHeight="1">
      <c r="A2048" s="86"/>
      <c r="B2048" s="86"/>
      <c r="C2048" s="22">
        <v>4740</v>
      </c>
      <c r="D2048" s="20" t="s">
        <v>313</v>
      </c>
      <c r="E2048" s="65"/>
      <c r="F2048" s="65"/>
      <c r="G2048" s="65"/>
      <c r="H2048" s="65">
        <v>1050</v>
      </c>
    </row>
    <row r="2049" spans="1:8" ht="15.75" customHeight="1">
      <c r="A2049" s="86"/>
      <c r="B2049" s="86"/>
      <c r="C2049" s="18"/>
      <c r="D2049" s="93" t="s">
        <v>925</v>
      </c>
      <c r="E2049" s="66"/>
      <c r="F2049" s="66"/>
      <c r="G2049" s="66"/>
      <c r="H2049" s="66">
        <f>SUM(H2050:H2055)</f>
        <v>8000</v>
      </c>
    </row>
    <row r="2050" spans="1:8" ht="18" customHeight="1">
      <c r="A2050" s="86"/>
      <c r="B2050" s="86"/>
      <c r="C2050" s="22">
        <v>3030</v>
      </c>
      <c r="D2050" s="20" t="s">
        <v>747</v>
      </c>
      <c r="E2050" s="88"/>
      <c r="F2050" s="88"/>
      <c r="G2050" s="88"/>
      <c r="H2050" s="88">
        <v>2400</v>
      </c>
    </row>
    <row r="2051" spans="1:8" ht="18" customHeight="1">
      <c r="A2051" s="18"/>
      <c r="B2051" s="18"/>
      <c r="C2051" s="22">
        <v>4110</v>
      </c>
      <c r="D2051" s="20" t="s">
        <v>681</v>
      </c>
      <c r="E2051" s="6"/>
      <c r="F2051" s="6"/>
      <c r="G2051" s="6"/>
      <c r="H2051" s="6">
        <v>500</v>
      </c>
    </row>
    <row r="2052" spans="1:8" ht="18" customHeight="1">
      <c r="A2052" s="18"/>
      <c r="B2052" s="18"/>
      <c r="C2052" s="22">
        <v>4120</v>
      </c>
      <c r="D2052" s="20" t="s">
        <v>682</v>
      </c>
      <c r="E2052" s="6"/>
      <c r="F2052" s="6"/>
      <c r="G2052" s="6"/>
      <c r="H2052" s="6">
        <v>100</v>
      </c>
    </row>
    <row r="2053" spans="1:8" ht="18" customHeight="1">
      <c r="A2053" s="18"/>
      <c r="B2053" s="18"/>
      <c r="C2053" s="22">
        <v>4170</v>
      </c>
      <c r="D2053" s="20" t="s">
        <v>740</v>
      </c>
      <c r="E2053" s="6"/>
      <c r="F2053" s="6"/>
      <c r="G2053" s="6"/>
      <c r="H2053" s="6">
        <v>3000</v>
      </c>
    </row>
    <row r="2054" spans="1:8" ht="18" customHeight="1">
      <c r="A2054" s="18"/>
      <c r="B2054" s="18"/>
      <c r="C2054" s="22">
        <v>4210</v>
      </c>
      <c r="D2054" s="20" t="s">
        <v>748</v>
      </c>
      <c r="E2054" s="6"/>
      <c r="F2054" s="6"/>
      <c r="G2054" s="6"/>
      <c r="H2054" s="6">
        <v>1000</v>
      </c>
    </row>
    <row r="2055" spans="1:8" ht="18" customHeight="1">
      <c r="A2055" s="18"/>
      <c r="B2055" s="18"/>
      <c r="C2055" s="22">
        <v>4300</v>
      </c>
      <c r="D2055" s="20" t="s">
        <v>815</v>
      </c>
      <c r="E2055" s="6"/>
      <c r="F2055" s="6"/>
      <c r="G2055" s="6"/>
      <c r="H2055" s="6">
        <v>1000</v>
      </c>
    </row>
    <row r="2056" spans="1:8" ht="16.5" customHeight="1">
      <c r="A2056" s="56"/>
      <c r="B2056" s="182">
        <v>75023</v>
      </c>
      <c r="C2056" s="165"/>
      <c r="D2056" s="165" t="s">
        <v>1061</v>
      </c>
      <c r="E2056" s="167"/>
      <c r="F2056" s="167"/>
      <c r="G2056" s="167"/>
      <c r="H2056" s="167">
        <f>H2057</f>
        <v>9489200</v>
      </c>
    </row>
    <row r="2057" spans="1:8" ht="16.5" customHeight="1">
      <c r="A2057" s="56"/>
      <c r="B2057" s="56"/>
      <c r="C2057" s="56"/>
      <c r="D2057" s="186" t="s">
        <v>703</v>
      </c>
      <c r="E2057" s="169"/>
      <c r="F2057" s="169"/>
      <c r="G2057" s="169"/>
      <c r="H2057" s="169">
        <f>SUM(H2058:H2073)+H2075</f>
        <v>9489200</v>
      </c>
    </row>
    <row r="2058" spans="1:8" ht="16.5" customHeight="1">
      <c r="A2058" s="277"/>
      <c r="B2058" s="277"/>
      <c r="C2058" s="22">
        <v>3020</v>
      </c>
      <c r="D2058" s="22" t="s">
        <v>639</v>
      </c>
      <c r="E2058" s="173"/>
      <c r="F2058" s="173"/>
      <c r="G2058" s="173"/>
      <c r="H2058" s="173">
        <v>50000</v>
      </c>
    </row>
    <row r="2059" spans="1:8" ht="16.5" customHeight="1">
      <c r="A2059" s="277"/>
      <c r="B2059" s="277"/>
      <c r="C2059" s="22">
        <v>4110</v>
      </c>
      <c r="D2059" s="20" t="s">
        <v>681</v>
      </c>
      <c r="E2059" s="232"/>
      <c r="F2059" s="232"/>
      <c r="G2059" s="232"/>
      <c r="H2059" s="232">
        <v>20000</v>
      </c>
    </row>
    <row r="2060" spans="1:8" ht="16.5" customHeight="1">
      <c r="A2060" s="277"/>
      <c r="B2060" s="277"/>
      <c r="C2060" s="22">
        <v>4120</v>
      </c>
      <c r="D2060" s="20" t="s">
        <v>682</v>
      </c>
      <c r="E2060" s="232"/>
      <c r="F2060" s="232"/>
      <c r="G2060" s="232"/>
      <c r="H2060" s="232">
        <v>2700</v>
      </c>
    </row>
    <row r="2061" spans="1:8" ht="16.5" customHeight="1">
      <c r="A2061" s="277"/>
      <c r="B2061" s="277"/>
      <c r="C2061" s="144">
        <v>4170</v>
      </c>
      <c r="D2061" s="144" t="s">
        <v>740</v>
      </c>
      <c r="E2061" s="232"/>
      <c r="F2061" s="232"/>
      <c r="G2061" s="232"/>
      <c r="H2061" s="232">
        <v>220000</v>
      </c>
    </row>
    <row r="2062" spans="1:8" ht="16.5" customHeight="1">
      <c r="A2062" s="291"/>
      <c r="B2062" s="291"/>
      <c r="C2062" s="144">
        <v>4210</v>
      </c>
      <c r="D2062" s="144" t="s">
        <v>748</v>
      </c>
      <c r="E2062" s="232"/>
      <c r="F2062" s="232"/>
      <c r="G2062" s="232"/>
      <c r="H2062" s="232">
        <v>1254500</v>
      </c>
    </row>
    <row r="2063" spans="1:8" ht="16.5" customHeight="1">
      <c r="A2063" s="292"/>
      <c r="B2063" s="292"/>
      <c r="C2063" s="128">
        <v>4260</v>
      </c>
      <c r="D2063" s="144" t="s">
        <v>752</v>
      </c>
      <c r="E2063" s="232"/>
      <c r="F2063" s="232"/>
      <c r="G2063" s="232"/>
      <c r="H2063" s="232">
        <v>1000000</v>
      </c>
    </row>
    <row r="2064" spans="1:8" ht="16.5" customHeight="1">
      <c r="A2064" s="277"/>
      <c r="B2064" s="277"/>
      <c r="C2064" s="144">
        <v>4280</v>
      </c>
      <c r="D2064" s="252" t="s">
        <v>304</v>
      </c>
      <c r="E2064" s="232"/>
      <c r="F2064" s="232"/>
      <c r="G2064" s="232"/>
      <c r="H2064" s="232">
        <v>35000</v>
      </c>
    </row>
    <row r="2065" spans="1:8" ht="16.5" customHeight="1">
      <c r="A2065" s="277"/>
      <c r="B2065" s="277"/>
      <c r="C2065" s="144">
        <v>4300</v>
      </c>
      <c r="D2065" s="252" t="s">
        <v>815</v>
      </c>
      <c r="E2065" s="232"/>
      <c r="F2065" s="232"/>
      <c r="G2065" s="232"/>
      <c r="H2065" s="232">
        <f>6720000-238000-1700000</f>
        <v>4782000</v>
      </c>
    </row>
    <row r="2066" spans="1:8" ht="16.5" customHeight="1">
      <c r="A2066" s="277"/>
      <c r="B2066" s="277"/>
      <c r="C2066" s="22">
        <v>4360</v>
      </c>
      <c r="D2066" s="20" t="s">
        <v>310</v>
      </c>
      <c r="E2066" s="232"/>
      <c r="F2066" s="232"/>
      <c r="G2066" s="232"/>
      <c r="H2066" s="232">
        <v>245000</v>
      </c>
    </row>
    <row r="2067" spans="1:8" ht="16.5" customHeight="1">
      <c r="A2067" s="277"/>
      <c r="B2067" s="277"/>
      <c r="C2067" s="22">
        <v>4380</v>
      </c>
      <c r="D2067" s="20" t="s">
        <v>199</v>
      </c>
      <c r="E2067" s="232"/>
      <c r="F2067" s="232"/>
      <c r="G2067" s="232"/>
      <c r="H2067" s="232">
        <v>20000</v>
      </c>
    </row>
    <row r="2068" spans="1:8" ht="18" customHeight="1">
      <c r="A2068" s="277"/>
      <c r="B2068" s="277"/>
      <c r="C2068" s="144">
        <v>4400</v>
      </c>
      <c r="D2068" s="252" t="s">
        <v>1081</v>
      </c>
      <c r="E2068" s="232"/>
      <c r="F2068" s="232"/>
      <c r="G2068" s="232"/>
      <c r="H2068" s="232">
        <v>60000</v>
      </c>
    </row>
    <row r="2069" spans="1:8" ht="18" customHeight="1">
      <c r="A2069" s="18"/>
      <c r="B2069" s="18"/>
      <c r="C2069" s="22">
        <v>4410</v>
      </c>
      <c r="D2069" s="20" t="s">
        <v>352</v>
      </c>
      <c r="E2069" s="6"/>
      <c r="F2069" s="6"/>
      <c r="G2069" s="6"/>
      <c r="H2069" s="6">
        <f>55000+65000</f>
        <v>120000</v>
      </c>
    </row>
    <row r="2070" spans="1:8" ht="18" customHeight="1">
      <c r="A2070" s="18"/>
      <c r="B2070" s="18"/>
      <c r="C2070" s="22">
        <v>4420</v>
      </c>
      <c r="D2070" s="20" t="s">
        <v>686</v>
      </c>
      <c r="E2070" s="6"/>
      <c r="F2070" s="6"/>
      <c r="G2070" s="6"/>
      <c r="H2070" s="6">
        <v>80000</v>
      </c>
    </row>
    <row r="2071" spans="1:8" ht="18" customHeight="1">
      <c r="A2071" s="277"/>
      <c r="B2071" s="277"/>
      <c r="C2071" s="18">
        <v>4430</v>
      </c>
      <c r="D2071" s="18" t="s">
        <v>750</v>
      </c>
      <c r="E2071" s="361"/>
      <c r="F2071" s="361"/>
      <c r="G2071" s="361"/>
      <c r="H2071" s="361">
        <v>400000</v>
      </c>
    </row>
    <row r="2072" spans="1:8" ht="18" customHeight="1">
      <c r="A2072" s="277"/>
      <c r="B2072" s="277"/>
      <c r="C2072" s="144">
        <v>4700</v>
      </c>
      <c r="D2072" s="252" t="s">
        <v>312</v>
      </c>
      <c r="E2072" s="232"/>
      <c r="F2072" s="232"/>
      <c r="G2072" s="232"/>
      <c r="H2072" s="232">
        <v>200000</v>
      </c>
    </row>
    <row r="2073" spans="1:8" ht="25.5">
      <c r="A2073" s="277"/>
      <c r="B2073" s="277"/>
      <c r="C2073" s="144">
        <v>4740</v>
      </c>
      <c r="D2073" s="252" t="s">
        <v>313</v>
      </c>
      <c r="E2073" s="232"/>
      <c r="F2073" s="232"/>
      <c r="G2073" s="232"/>
      <c r="H2073" s="232">
        <v>500000</v>
      </c>
    </row>
    <row r="2074" spans="1:8" ht="18" customHeight="1">
      <c r="A2074" s="56"/>
      <c r="B2074" s="56"/>
      <c r="C2074" s="170"/>
      <c r="D2074" s="248" t="s">
        <v>280</v>
      </c>
      <c r="E2074" s="250"/>
      <c r="F2074" s="250"/>
      <c r="G2074" s="249"/>
      <c r="H2074" s="249">
        <v>500000</v>
      </c>
    </row>
    <row r="2075" spans="1:8" ht="18" customHeight="1">
      <c r="A2075" s="56"/>
      <c r="B2075" s="158"/>
      <c r="C2075" s="181">
        <v>6060</v>
      </c>
      <c r="D2075" s="181" t="s">
        <v>685</v>
      </c>
      <c r="E2075" s="176"/>
      <c r="F2075" s="176"/>
      <c r="G2075" s="176"/>
      <c r="H2075" s="176">
        <f>H2074</f>
        <v>500000</v>
      </c>
    </row>
    <row r="2076" spans="1:8" s="1" customFormat="1" ht="18" customHeight="1" thickBot="1">
      <c r="A2076" s="394">
        <v>851</v>
      </c>
      <c r="B2076" s="394"/>
      <c r="C2076" s="394"/>
      <c r="D2076" s="394" t="s">
        <v>106</v>
      </c>
      <c r="E2076" s="377"/>
      <c r="F2076" s="377"/>
      <c r="G2076" s="377"/>
      <c r="H2076" s="377">
        <f>H2077</f>
        <v>26000</v>
      </c>
    </row>
    <row r="2077" spans="1:8" ht="18" customHeight="1">
      <c r="A2077" s="56"/>
      <c r="B2077" s="165">
        <v>85154</v>
      </c>
      <c r="C2077" s="165"/>
      <c r="D2077" s="165" t="s">
        <v>124</v>
      </c>
      <c r="E2077" s="167"/>
      <c r="F2077" s="167"/>
      <c r="G2077" s="167"/>
      <c r="H2077" s="167">
        <f>H2078</f>
        <v>26000</v>
      </c>
    </row>
    <row r="2078" spans="1:8" ht="18" customHeight="1">
      <c r="A2078" s="56"/>
      <c r="B2078" s="193"/>
      <c r="C2078" s="193"/>
      <c r="D2078" s="186" t="s">
        <v>519</v>
      </c>
      <c r="E2078" s="212"/>
      <c r="F2078" s="212"/>
      <c r="G2078" s="169"/>
      <c r="H2078" s="169">
        <f>H2079</f>
        <v>26000</v>
      </c>
    </row>
    <row r="2079" spans="1:8" ht="16.5" customHeight="1">
      <c r="A2079" s="56"/>
      <c r="B2079" s="56"/>
      <c r="C2079" s="56"/>
      <c r="D2079" s="1073" t="s">
        <v>1040</v>
      </c>
      <c r="E2079" s="344"/>
      <c r="F2079" s="344"/>
      <c r="G2079" s="345"/>
      <c r="H2079" s="345">
        <f>H2080</f>
        <v>26000</v>
      </c>
    </row>
    <row r="2080" spans="1:8" ht="16.5" customHeight="1">
      <c r="A2080" s="56"/>
      <c r="B2080" s="56"/>
      <c r="C2080" s="181">
        <v>4410</v>
      </c>
      <c r="D2080" s="181" t="s">
        <v>749</v>
      </c>
      <c r="E2080" s="176"/>
      <c r="F2080" s="176"/>
      <c r="G2080" s="176"/>
      <c r="H2080" s="176">
        <v>26000</v>
      </c>
    </row>
    <row r="2081" spans="1:8" s="1" customFormat="1" ht="20.25" customHeight="1" thickBot="1">
      <c r="A2081" s="394">
        <v>852</v>
      </c>
      <c r="B2081" s="394"/>
      <c r="C2081" s="394"/>
      <c r="D2081" s="394" t="s">
        <v>129</v>
      </c>
      <c r="E2081" s="377"/>
      <c r="F2081" s="377"/>
      <c r="G2081" s="377"/>
      <c r="H2081" s="377">
        <f>H2082</f>
        <v>9853</v>
      </c>
    </row>
    <row r="2082" spans="1:8" s="1" customFormat="1" ht="16.5" customHeight="1">
      <c r="A2082" s="2"/>
      <c r="B2082" s="3">
        <v>85295</v>
      </c>
      <c r="C2082" s="3"/>
      <c r="D2082" s="3" t="s">
        <v>100</v>
      </c>
      <c r="E2082" s="4"/>
      <c r="F2082" s="4"/>
      <c r="G2082" s="4"/>
      <c r="H2082" s="4">
        <f>H2083</f>
        <v>9853</v>
      </c>
    </row>
    <row r="2083" spans="1:8" s="1" customFormat="1" ht="16.5" customHeight="1">
      <c r="A2083" s="86"/>
      <c r="B2083" s="86"/>
      <c r="C2083" s="18"/>
      <c r="D2083" s="316" t="s">
        <v>46</v>
      </c>
      <c r="E2083" s="17"/>
      <c r="F2083" s="17"/>
      <c r="G2083" s="17"/>
      <c r="H2083" s="17">
        <f>H2084</f>
        <v>9853</v>
      </c>
    </row>
    <row r="2084" spans="1:8" s="1" customFormat="1" ht="16.5" customHeight="1">
      <c r="A2084" s="107"/>
      <c r="B2084" s="107"/>
      <c r="C2084" s="22">
        <v>3110</v>
      </c>
      <c r="D2084" s="147" t="s">
        <v>301</v>
      </c>
      <c r="E2084" s="6"/>
      <c r="F2084" s="6"/>
      <c r="G2084" s="6"/>
      <c r="H2084" s="6">
        <f>24670-14817</f>
        <v>9853</v>
      </c>
    </row>
    <row r="2085" spans="1:8" s="1" customFormat="1" ht="16.5" customHeight="1" thickBot="1">
      <c r="A2085" s="394">
        <v>853</v>
      </c>
      <c r="B2085" s="394"/>
      <c r="C2085" s="394"/>
      <c r="D2085" s="394" t="s">
        <v>277</v>
      </c>
      <c r="E2085" s="377"/>
      <c r="F2085" s="377"/>
      <c r="G2085" s="377"/>
      <c r="H2085" s="377">
        <f>H2086</f>
        <v>20000</v>
      </c>
    </row>
    <row r="2086" spans="1:8" ht="16.5" customHeight="1">
      <c r="A2086" s="56"/>
      <c r="B2086" s="165">
        <v>85334</v>
      </c>
      <c r="C2086" s="165"/>
      <c r="D2086" s="165" t="s">
        <v>885</v>
      </c>
      <c r="E2086" s="167"/>
      <c r="F2086" s="167"/>
      <c r="G2086" s="167"/>
      <c r="H2086" s="167">
        <f>H2087</f>
        <v>20000</v>
      </c>
    </row>
    <row r="2087" spans="1:8" ht="16.5" customHeight="1">
      <c r="A2087" s="56"/>
      <c r="B2087" s="56"/>
      <c r="D2087" s="1074" t="s">
        <v>927</v>
      </c>
      <c r="E2087" s="169"/>
      <c r="F2087" s="169"/>
      <c r="G2087" s="169"/>
      <c r="H2087" s="169">
        <f>H2088</f>
        <v>20000</v>
      </c>
    </row>
    <row r="2088" spans="1:8" s="174" customFormat="1" ht="16.5" customHeight="1">
      <c r="A2088" s="181"/>
      <c r="B2088" s="181"/>
      <c r="C2088" s="181">
        <v>4300</v>
      </c>
      <c r="D2088" s="189" t="s">
        <v>815</v>
      </c>
      <c r="E2088" s="176"/>
      <c r="F2088" s="176"/>
      <c r="G2088" s="176"/>
      <c r="H2088" s="176">
        <v>20000</v>
      </c>
    </row>
    <row r="2089" spans="1:8" s="1" customFormat="1" ht="16.5" customHeight="1" thickBot="1">
      <c r="A2089" s="394">
        <v>900</v>
      </c>
      <c r="B2089" s="394"/>
      <c r="C2089" s="394"/>
      <c r="D2089" s="394" t="s">
        <v>1048</v>
      </c>
      <c r="E2089" s="377"/>
      <c r="F2089" s="377"/>
      <c r="G2089" s="377"/>
      <c r="H2089" s="377">
        <f>H2090</f>
        <v>340</v>
      </c>
    </row>
    <row r="2090" spans="1:8" s="1" customFormat="1" ht="16.5" customHeight="1">
      <c r="A2090" s="311"/>
      <c r="B2090" s="3">
        <v>90002</v>
      </c>
      <c r="C2090" s="3"/>
      <c r="D2090" s="3" t="s">
        <v>176</v>
      </c>
      <c r="E2090" s="4"/>
      <c r="F2090" s="4"/>
      <c r="G2090" s="4"/>
      <c r="H2090" s="4">
        <f>H2091</f>
        <v>340</v>
      </c>
    </row>
    <row r="2091" spans="1:8" s="8" customFormat="1" ht="16.5" customHeight="1">
      <c r="A2091" s="277"/>
      <c r="B2091" s="86"/>
      <c r="C2091" s="86"/>
      <c r="D2091" s="94" t="s">
        <v>884</v>
      </c>
      <c r="E2091" s="17"/>
      <c r="F2091" s="17"/>
      <c r="G2091" s="17"/>
      <c r="H2091" s="17">
        <f>H2092</f>
        <v>340</v>
      </c>
    </row>
    <row r="2092" spans="1:8" s="8" customFormat="1" ht="16.5" customHeight="1">
      <c r="A2092" s="291"/>
      <c r="B2092" s="107"/>
      <c r="C2092" s="22">
        <v>4520</v>
      </c>
      <c r="D2092" s="20" t="s">
        <v>302</v>
      </c>
      <c r="E2092" s="6"/>
      <c r="F2092" s="6"/>
      <c r="G2092" s="6"/>
      <c r="H2092" s="6">
        <v>340</v>
      </c>
    </row>
    <row r="2093" spans="1:8" ht="29.25" thickBot="1">
      <c r="A2093" s="193"/>
      <c r="B2093" s="1078"/>
      <c r="C2093" s="193"/>
      <c r="D2093" s="266" t="s">
        <v>1021</v>
      </c>
      <c r="E2093" s="267"/>
      <c r="F2093" s="267"/>
      <c r="G2093" s="267"/>
      <c r="H2093" s="267">
        <f>H2094</f>
        <v>26821</v>
      </c>
    </row>
    <row r="2094" spans="1:8" ht="18" customHeight="1" thickBot="1" thickTop="1">
      <c r="A2094" s="405">
        <v>853</v>
      </c>
      <c r="B2094" s="405"/>
      <c r="C2094" s="405"/>
      <c r="D2094" s="405" t="s">
        <v>277</v>
      </c>
      <c r="E2094" s="406"/>
      <c r="F2094" s="406"/>
      <c r="G2094" s="406"/>
      <c r="H2094" s="406">
        <f>H2095</f>
        <v>26821</v>
      </c>
    </row>
    <row r="2095" spans="1:8" ht="18" customHeight="1">
      <c r="A2095" s="56"/>
      <c r="B2095" s="165">
        <v>85334</v>
      </c>
      <c r="C2095" s="165"/>
      <c r="D2095" s="165" t="s">
        <v>885</v>
      </c>
      <c r="E2095" s="167"/>
      <c r="F2095" s="167"/>
      <c r="G2095" s="167"/>
      <c r="H2095" s="167">
        <f>H2096</f>
        <v>26821</v>
      </c>
    </row>
    <row r="2096" spans="1:8" ht="18" customHeight="1">
      <c r="A2096" s="86"/>
      <c r="B2096" s="122"/>
      <c r="C2096" s="128"/>
      <c r="D2096" s="16" t="s">
        <v>927</v>
      </c>
      <c r="E2096" s="243"/>
      <c r="F2096" s="243"/>
      <c r="G2096" s="243"/>
      <c r="H2096" s="243">
        <f>H2098+H2097</f>
        <v>26821</v>
      </c>
    </row>
    <row r="2097" spans="1:8" ht="18" customHeight="1">
      <c r="A2097" s="86"/>
      <c r="B2097" s="86"/>
      <c r="C2097" s="22">
        <v>3030</v>
      </c>
      <c r="D2097" s="22" t="s">
        <v>747</v>
      </c>
      <c r="E2097" s="88"/>
      <c r="F2097" s="88"/>
      <c r="G2097" s="88"/>
      <c r="H2097" s="88">
        <v>2321</v>
      </c>
    </row>
    <row r="2098" spans="1:8" ht="18" customHeight="1">
      <c r="A2098" s="86"/>
      <c r="B2098" s="86"/>
      <c r="C2098" s="22">
        <v>4300</v>
      </c>
      <c r="D2098" s="22" t="s">
        <v>815</v>
      </c>
      <c r="E2098" s="88"/>
      <c r="F2098" s="88"/>
      <c r="G2098" s="88"/>
      <c r="H2098" s="88">
        <f>19000+5500</f>
        <v>24500</v>
      </c>
    </row>
    <row r="2099" spans="1:8" ht="21.75" customHeight="1">
      <c r="A2099" s="56"/>
      <c r="B2099" s="56"/>
      <c r="C2099" s="193"/>
      <c r="D2099" s="1096" t="s">
        <v>202</v>
      </c>
      <c r="E2099" s="1097"/>
      <c r="F2099" s="1097"/>
      <c r="G2099" s="1097"/>
      <c r="H2099" s="1097">
        <f>H2100</f>
        <v>45069149</v>
      </c>
    </row>
    <row r="2100" spans="1:8" ht="19.5" customHeight="1" thickBot="1">
      <c r="A2100" s="158"/>
      <c r="B2100" s="158"/>
      <c r="C2100" s="158"/>
      <c r="D2100" s="159" t="s">
        <v>646</v>
      </c>
      <c r="E2100" s="160"/>
      <c r="F2100" s="160"/>
      <c r="G2100" s="160"/>
      <c r="H2100" s="160">
        <f>H2101+H2113+H2122+H2171+H2177+H2192+H2203+H2233+H2228</f>
        <v>45069149</v>
      </c>
    </row>
    <row r="2101" spans="1:8" s="1" customFormat="1" ht="19.5" customHeight="1" thickBot="1" thickTop="1">
      <c r="A2101" s="394">
        <v>750</v>
      </c>
      <c r="B2101" s="394"/>
      <c r="C2101" s="394"/>
      <c r="D2101" s="394" t="s">
        <v>439</v>
      </c>
      <c r="E2101" s="377"/>
      <c r="F2101" s="377"/>
      <c r="G2101" s="377"/>
      <c r="H2101" s="377">
        <f>H2102+H2106</f>
        <v>7355000</v>
      </c>
    </row>
    <row r="2102" spans="1:8" s="1" customFormat="1" ht="19.5" customHeight="1">
      <c r="A2102" s="86"/>
      <c r="B2102" s="3">
        <v>75022</v>
      </c>
      <c r="C2102" s="3"/>
      <c r="D2102" s="3" t="s">
        <v>440</v>
      </c>
      <c r="E2102" s="4"/>
      <c r="F2102" s="4"/>
      <c r="G2102" s="4"/>
      <c r="H2102" s="4">
        <f>H2103</f>
        <v>17000</v>
      </c>
    </row>
    <row r="2103" spans="1:8" ht="19.5" customHeight="1">
      <c r="A2103" s="86"/>
      <c r="B2103" s="86"/>
      <c r="C2103" s="18"/>
      <c r="D2103" s="604" t="s">
        <v>701</v>
      </c>
      <c r="E2103" s="280"/>
      <c r="F2103" s="280"/>
      <c r="G2103" s="280"/>
      <c r="H2103" s="280">
        <f>H2104</f>
        <v>17000</v>
      </c>
    </row>
    <row r="2104" spans="1:8" ht="18.75" customHeight="1">
      <c r="A2104" s="86"/>
      <c r="B2104" s="86"/>
      <c r="C2104" s="18"/>
      <c r="D2104" s="253" t="s">
        <v>702</v>
      </c>
      <c r="E2104" s="10"/>
      <c r="F2104" s="10"/>
      <c r="G2104" s="10"/>
      <c r="H2104" s="10">
        <f>H2105</f>
        <v>17000</v>
      </c>
    </row>
    <row r="2105" spans="1:8" ht="18.75" customHeight="1">
      <c r="A2105" s="86"/>
      <c r="B2105" s="86"/>
      <c r="C2105" s="22">
        <v>4270</v>
      </c>
      <c r="D2105" s="227" t="s">
        <v>98</v>
      </c>
      <c r="E2105" s="228"/>
      <c r="F2105" s="228"/>
      <c r="G2105" s="228"/>
      <c r="H2105" s="228">
        <v>17000</v>
      </c>
    </row>
    <row r="2106" spans="1:8" ht="18.75" customHeight="1">
      <c r="A2106" s="56"/>
      <c r="B2106" s="182">
        <v>75023</v>
      </c>
      <c r="C2106" s="165"/>
      <c r="D2106" s="165" t="s">
        <v>1061</v>
      </c>
      <c r="E2106" s="167"/>
      <c r="F2106" s="167"/>
      <c r="G2106" s="167"/>
      <c r="H2106" s="167">
        <f>H2107</f>
        <v>7338000</v>
      </c>
    </row>
    <row r="2107" spans="1:8" ht="18.75" customHeight="1">
      <c r="A2107" s="56"/>
      <c r="B2107" s="56"/>
      <c r="C2107" s="56"/>
      <c r="D2107" s="603" t="s">
        <v>703</v>
      </c>
      <c r="E2107" s="270"/>
      <c r="F2107" s="270"/>
      <c r="G2107" s="270"/>
      <c r="H2107" s="270">
        <f>SUM(H2109:H2110)-H2110+H2112+H2108</f>
        <v>7338000</v>
      </c>
    </row>
    <row r="2108" spans="1:8" ht="18.75" customHeight="1">
      <c r="A2108" s="277"/>
      <c r="B2108" s="277"/>
      <c r="C2108" s="22">
        <v>4300</v>
      </c>
      <c r="D2108" s="147" t="s">
        <v>815</v>
      </c>
      <c r="E2108" s="173"/>
      <c r="F2108" s="173"/>
      <c r="G2108" s="173"/>
      <c r="H2108" s="173">
        <v>238000</v>
      </c>
    </row>
    <row r="2109" spans="1:8" ht="18.75" customHeight="1">
      <c r="A2109" s="277"/>
      <c r="B2109" s="277"/>
      <c r="C2109" s="18"/>
      <c r="D2109" s="605" t="s">
        <v>704</v>
      </c>
      <c r="E2109" s="249"/>
      <c r="F2109" s="249"/>
      <c r="G2109" s="249"/>
      <c r="H2109" s="249">
        <v>400000</v>
      </c>
    </row>
    <row r="2110" spans="1:8" ht="18.75" customHeight="1">
      <c r="A2110" s="277"/>
      <c r="B2110" s="277"/>
      <c r="C2110" s="22">
        <v>4270</v>
      </c>
      <c r="D2110" s="20" t="s">
        <v>98</v>
      </c>
      <c r="E2110" s="234"/>
      <c r="F2110" s="234"/>
      <c r="G2110" s="234"/>
      <c r="H2110" s="234">
        <f>H2109</f>
        <v>400000</v>
      </c>
    </row>
    <row r="2111" spans="1:8" ht="18.75" customHeight="1">
      <c r="A2111" s="56"/>
      <c r="B2111" s="56"/>
      <c r="C2111" s="170"/>
      <c r="D2111" s="248" t="s">
        <v>395</v>
      </c>
      <c r="E2111" s="249"/>
      <c r="F2111" s="249"/>
      <c r="G2111" s="249"/>
      <c r="H2111" s="249">
        <v>6700000</v>
      </c>
    </row>
    <row r="2112" spans="1:8" ht="18.75" customHeight="1">
      <c r="A2112" s="56"/>
      <c r="B2112" s="56"/>
      <c r="C2112" s="181">
        <v>6050</v>
      </c>
      <c r="D2112" s="181" t="s">
        <v>746</v>
      </c>
      <c r="E2112" s="176"/>
      <c r="F2112" s="176"/>
      <c r="G2112" s="176"/>
      <c r="H2112" s="176">
        <f>SUM(H2111:H2111)</f>
        <v>6700000</v>
      </c>
    </row>
    <row r="2113" spans="1:8" ht="19.5" customHeight="1" thickBot="1">
      <c r="A2113" s="396">
        <v>754</v>
      </c>
      <c r="B2113" s="394"/>
      <c r="C2113" s="402"/>
      <c r="D2113" s="376" t="s">
        <v>441</v>
      </c>
      <c r="E2113" s="377"/>
      <c r="F2113" s="377"/>
      <c r="G2113" s="377"/>
      <c r="H2113" s="377">
        <f>H2114+H2118</f>
        <v>58000</v>
      </c>
    </row>
    <row r="2114" spans="1:8" ht="18" customHeight="1">
      <c r="A2114" s="5"/>
      <c r="B2114" s="3">
        <v>75412</v>
      </c>
      <c r="C2114" s="45"/>
      <c r="D2114" s="67" t="s">
        <v>443</v>
      </c>
      <c r="E2114" s="4"/>
      <c r="F2114" s="4"/>
      <c r="G2114" s="4"/>
      <c r="H2114" s="4">
        <f>H2115</f>
        <v>38000</v>
      </c>
    </row>
    <row r="2115" spans="1:8" ht="18" customHeight="1">
      <c r="A2115" s="86"/>
      <c r="B2115" s="122"/>
      <c r="C2115" s="128"/>
      <c r="D2115" s="186" t="s">
        <v>669</v>
      </c>
      <c r="E2115" s="236"/>
      <c r="F2115" s="236"/>
      <c r="G2115" s="17"/>
      <c r="H2115" s="17">
        <f>H2117</f>
        <v>38000</v>
      </c>
    </row>
    <row r="2116" spans="1:8" ht="18" customHeight="1">
      <c r="A2116" s="56"/>
      <c r="B2116" s="56"/>
      <c r="C2116" s="170"/>
      <c r="D2116" s="328" t="s">
        <v>670</v>
      </c>
      <c r="E2116" s="329"/>
      <c r="F2116" s="329"/>
      <c r="G2116" s="249"/>
      <c r="H2116" s="249">
        <v>38000</v>
      </c>
    </row>
    <row r="2117" spans="1:8" ht="18" customHeight="1">
      <c r="A2117" s="56"/>
      <c r="B2117" s="56"/>
      <c r="C2117" s="181">
        <v>4270</v>
      </c>
      <c r="D2117" s="189" t="s">
        <v>98</v>
      </c>
      <c r="E2117" s="330"/>
      <c r="F2117" s="330"/>
      <c r="G2117" s="234"/>
      <c r="H2117" s="234">
        <f>H2116</f>
        <v>38000</v>
      </c>
    </row>
    <row r="2118" spans="1:8" ht="18" customHeight="1">
      <c r="A2118" s="2"/>
      <c r="B2118" s="13">
        <v>75495</v>
      </c>
      <c r="C2118" s="45"/>
      <c r="D2118" s="67" t="s">
        <v>100</v>
      </c>
      <c r="E2118" s="4"/>
      <c r="F2118" s="4"/>
      <c r="G2118" s="4"/>
      <c r="H2118" s="4">
        <f>H2119</f>
        <v>20000</v>
      </c>
    </row>
    <row r="2119" spans="1:8" ht="18" customHeight="1">
      <c r="A2119" s="86"/>
      <c r="B2119" s="122"/>
      <c r="C2119" s="128"/>
      <c r="D2119" s="186" t="s">
        <v>673</v>
      </c>
      <c r="E2119" s="236"/>
      <c r="F2119" s="236"/>
      <c r="G2119" s="17"/>
      <c r="H2119" s="17">
        <f>H2120</f>
        <v>20000</v>
      </c>
    </row>
    <row r="2120" spans="1:8" ht="18" customHeight="1">
      <c r="A2120" s="56"/>
      <c r="B2120" s="56"/>
      <c r="C2120" s="170"/>
      <c r="D2120" s="328" t="s">
        <v>845</v>
      </c>
      <c r="E2120" s="329"/>
      <c r="F2120" s="329"/>
      <c r="G2120" s="249"/>
      <c r="H2120" s="249">
        <v>20000</v>
      </c>
    </row>
    <row r="2121" spans="1:8" ht="18" customHeight="1">
      <c r="A2121" s="158"/>
      <c r="B2121" s="158"/>
      <c r="C2121" s="181">
        <v>4270</v>
      </c>
      <c r="D2121" s="189" t="s">
        <v>753</v>
      </c>
      <c r="E2121" s="330"/>
      <c r="F2121" s="330"/>
      <c r="G2121" s="234"/>
      <c r="H2121" s="234">
        <f>H2120</f>
        <v>20000</v>
      </c>
    </row>
    <row r="2122" spans="1:8" s="1" customFormat="1" ht="19.5" customHeight="1" thickBot="1">
      <c r="A2122" s="394">
        <v>801</v>
      </c>
      <c r="B2122" s="394"/>
      <c r="C2122" s="394"/>
      <c r="D2122" s="394" t="s">
        <v>448</v>
      </c>
      <c r="E2122" s="377"/>
      <c r="F2122" s="377"/>
      <c r="G2122" s="377"/>
      <c r="H2122" s="377">
        <f>H2123+H2133+H2139+H2143+H2150+H2156+H2165</f>
        <v>28736398</v>
      </c>
    </row>
    <row r="2123" spans="1:8" s="1" customFormat="1" ht="19.5" customHeight="1">
      <c r="A2123" s="2"/>
      <c r="B2123" s="3">
        <v>80101</v>
      </c>
      <c r="C2123" s="3"/>
      <c r="D2123" s="3" t="s">
        <v>449</v>
      </c>
      <c r="E2123" s="4"/>
      <c r="F2123" s="4"/>
      <c r="G2123" s="4"/>
      <c r="H2123" s="4">
        <f>H2124</f>
        <v>16126572</v>
      </c>
    </row>
    <row r="2124" spans="1:8" ht="19.5" customHeight="1">
      <c r="A2124" s="56"/>
      <c r="B2124" s="193"/>
      <c r="C2124" s="56"/>
      <c r="D2124" s="186" t="s">
        <v>319</v>
      </c>
      <c r="E2124" s="327"/>
      <c r="F2124" s="327"/>
      <c r="G2124" s="169"/>
      <c r="H2124" s="169">
        <f>H2126+H2130+H2132</f>
        <v>16126572</v>
      </c>
    </row>
    <row r="2125" spans="1:8" ht="19.5" customHeight="1">
      <c r="A2125" s="56"/>
      <c r="B2125" s="56"/>
      <c r="C2125" s="170"/>
      <c r="D2125" s="450" t="s">
        <v>151</v>
      </c>
      <c r="E2125" s="451"/>
      <c r="F2125" s="451"/>
      <c r="G2125" s="369"/>
      <c r="H2125" s="369">
        <f>180066-17000</f>
        <v>163066</v>
      </c>
    </row>
    <row r="2126" spans="1:8" ht="19.5" customHeight="1">
      <c r="A2126" s="56"/>
      <c r="B2126" s="56"/>
      <c r="C2126" s="181">
        <v>4270</v>
      </c>
      <c r="D2126" s="306" t="s">
        <v>98</v>
      </c>
      <c r="E2126" s="330"/>
      <c r="F2126" s="330"/>
      <c r="G2126" s="234"/>
      <c r="H2126" s="234">
        <f>H2125</f>
        <v>163066</v>
      </c>
    </row>
    <row r="2127" spans="1:8" ht="19.5" customHeight="1">
      <c r="A2127" s="56"/>
      <c r="B2127" s="56"/>
      <c r="C2127" s="56"/>
      <c r="D2127" s="368" t="s">
        <v>368</v>
      </c>
      <c r="E2127" s="369"/>
      <c r="F2127" s="369"/>
      <c r="G2127" s="369"/>
      <c r="H2127" s="369">
        <f>6482626+1500000</f>
        <v>7982626</v>
      </c>
    </row>
    <row r="2128" spans="1:8" ht="19.5" customHeight="1">
      <c r="A2128" s="56"/>
      <c r="B2128" s="56"/>
      <c r="C2128" s="56"/>
      <c r="D2128" s="340" t="s">
        <v>559</v>
      </c>
      <c r="E2128" s="296"/>
      <c r="F2128" s="296"/>
      <c r="G2128" s="296"/>
      <c r="H2128" s="296">
        <v>2250000</v>
      </c>
    </row>
    <row r="2129" spans="1:8" ht="19.5" customHeight="1">
      <c r="A2129" s="56"/>
      <c r="B2129" s="56"/>
      <c r="C2129" s="56"/>
      <c r="D2129" s="340" t="s">
        <v>560</v>
      </c>
      <c r="E2129" s="296"/>
      <c r="F2129" s="296"/>
      <c r="G2129" s="296"/>
      <c r="H2129" s="296">
        <v>4617000</v>
      </c>
    </row>
    <row r="2130" spans="1:8" ht="19.5" customHeight="1">
      <c r="A2130" s="56"/>
      <c r="B2130" s="56"/>
      <c r="C2130" s="181">
        <v>6050</v>
      </c>
      <c r="D2130" s="181" t="s">
        <v>746</v>
      </c>
      <c r="E2130" s="176"/>
      <c r="F2130" s="176"/>
      <c r="G2130" s="176"/>
      <c r="H2130" s="176">
        <f>SUM(H2127:H2129)</f>
        <v>14849626</v>
      </c>
    </row>
    <row r="2131" spans="1:8" ht="19.5" customHeight="1">
      <c r="A2131" s="56"/>
      <c r="B2131" s="56"/>
      <c r="C2131" s="56"/>
      <c r="D2131" s="341" t="s">
        <v>368</v>
      </c>
      <c r="E2131" s="250"/>
      <c r="F2131" s="250"/>
      <c r="G2131" s="250"/>
      <c r="H2131" s="250">
        <v>1113880</v>
      </c>
    </row>
    <row r="2132" spans="1:8" ht="19.5" customHeight="1">
      <c r="A2132" s="56"/>
      <c r="B2132" s="158"/>
      <c r="C2132" s="181">
        <v>6055</v>
      </c>
      <c r="D2132" s="181" t="s">
        <v>746</v>
      </c>
      <c r="E2132" s="176"/>
      <c r="F2132" s="176"/>
      <c r="G2132" s="176"/>
      <c r="H2132" s="176">
        <f>H2131</f>
        <v>1113880</v>
      </c>
    </row>
    <row r="2133" spans="1:8" s="1" customFormat="1" ht="19.5" customHeight="1">
      <c r="A2133" s="2"/>
      <c r="B2133" s="3">
        <v>80104</v>
      </c>
      <c r="C2133" s="3"/>
      <c r="D2133" s="3" t="s">
        <v>1038</v>
      </c>
      <c r="E2133" s="4"/>
      <c r="F2133" s="4"/>
      <c r="G2133" s="4"/>
      <c r="H2133" s="4">
        <f>H2134</f>
        <v>300000</v>
      </c>
    </row>
    <row r="2134" spans="1:8" ht="19.5" customHeight="1">
      <c r="A2134" s="56"/>
      <c r="B2134" s="193"/>
      <c r="C2134" s="56"/>
      <c r="D2134" s="186" t="s">
        <v>45</v>
      </c>
      <c r="E2134" s="327"/>
      <c r="F2134" s="327"/>
      <c r="G2134" s="169"/>
      <c r="H2134" s="169">
        <f>H2136+H2138</f>
        <v>300000</v>
      </c>
    </row>
    <row r="2135" spans="1:8" ht="19.5" customHeight="1">
      <c r="A2135" s="56"/>
      <c r="B2135" s="56"/>
      <c r="C2135" s="170"/>
      <c r="D2135" s="305" t="s">
        <v>1019</v>
      </c>
      <c r="E2135" s="329"/>
      <c r="F2135" s="329"/>
      <c r="G2135" s="249"/>
      <c r="H2135" s="249">
        <v>100000</v>
      </c>
    </row>
    <row r="2136" spans="1:8" ht="19.5" customHeight="1">
      <c r="A2136" s="56"/>
      <c r="B2136" s="56"/>
      <c r="C2136" s="181">
        <v>4270</v>
      </c>
      <c r="D2136" s="189" t="s">
        <v>98</v>
      </c>
      <c r="E2136" s="326"/>
      <c r="F2136" s="326"/>
      <c r="G2136" s="176"/>
      <c r="H2136" s="176">
        <f>H2135</f>
        <v>100000</v>
      </c>
    </row>
    <row r="2137" spans="1:8" ht="19.5" customHeight="1">
      <c r="A2137" s="56"/>
      <c r="B2137" s="56"/>
      <c r="C2137" s="56"/>
      <c r="D2137" s="340" t="s">
        <v>886</v>
      </c>
      <c r="E2137" s="250"/>
      <c r="F2137" s="250"/>
      <c r="G2137" s="250"/>
      <c r="H2137" s="250">
        <v>200000</v>
      </c>
    </row>
    <row r="2138" spans="1:8" ht="19.5" customHeight="1">
      <c r="A2138" s="56"/>
      <c r="B2138" s="158"/>
      <c r="C2138" s="181">
        <v>6050</v>
      </c>
      <c r="D2138" s="181" t="s">
        <v>746</v>
      </c>
      <c r="E2138" s="176"/>
      <c r="F2138" s="176"/>
      <c r="G2138" s="176"/>
      <c r="H2138" s="176">
        <f>SUM(H2137:H2137)</f>
        <v>200000</v>
      </c>
    </row>
    <row r="2139" spans="1:8" s="1" customFormat="1" ht="19.5" customHeight="1">
      <c r="A2139" s="2"/>
      <c r="B2139" s="3">
        <v>80105</v>
      </c>
      <c r="C2139" s="3"/>
      <c r="D2139" s="3" t="s">
        <v>248</v>
      </c>
      <c r="E2139" s="4"/>
      <c r="F2139" s="4"/>
      <c r="G2139" s="4"/>
      <c r="H2139" s="4">
        <f>H2140</f>
        <v>50000</v>
      </c>
    </row>
    <row r="2140" spans="1:8" s="1" customFormat="1" ht="19.5" customHeight="1">
      <c r="A2140" s="86"/>
      <c r="B2140" s="122"/>
      <c r="C2140" s="86"/>
      <c r="D2140" s="16" t="s">
        <v>584</v>
      </c>
      <c r="E2140" s="236"/>
      <c r="F2140" s="236"/>
      <c r="G2140" s="17"/>
      <c r="H2140" s="17">
        <f>H2142</f>
        <v>50000</v>
      </c>
    </row>
    <row r="2141" spans="1:8" s="1" customFormat="1" ht="19.5" customHeight="1">
      <c r="A2141" s="86"/>
      <c r="B2141" s="86"/>
      <c r="C2141" s="18"/>
      <c r="D2141" s="265" t="s">
        <v>586</v>
      </c>
      <c r="E2141" s="338"/>
      <c r="F2141" s="338"/>
      <c r="G2141" s="10"/>
      <c r="H2141" s="10">
        <v>50000</v>
      </c>
    </row>
    <row r="2142" spans="1:8" s="1" customFormat="1" ht="19.5" customHeight="1">
      <c r="A2142" s="86"/>
      <c r="B2142" s="107"/>
      <c r="C2142" s="22">
        <v>4270</v>
      </c>
      <c r="D2142" s="20" t="s">
        <v>98</v>
      </c>
      <c r="E2142" s="239"/>
      <c r="F2142" s="239"/>
      <c r="G2142" s="228"/>
      <c r="H2142" s="228">
        <f>H2141</f>
        <v>50000</v>
      </c>
    </row>
    <row r="2143" spans="1:8" s="1" customFormat="1" ht="19.5" customHeight="1">
      <c r="A2143" s="2"/>
      <c r="B2143" s="3">
        <v>80110</v>
      </c>
      <c r="C2143" s="3"/>
      <c r="D2143" s="3" t="s">
        <v>450</v>
      </c>
      <c r="E2143" s="4"/>
      <c r="F2143" s="4"/>
      <c r="G2143" s="4"/>
      <c r="H2143" s="4">
        <f>H2144</f>
        <v>3257360</v>
      </c>
    </row>
    <row r="2144" spans="1:8" s="1" customFormat="1" ht="19.5" customHeight="1">
      <c r="A2144" s="86"/>
      <c r="B2144" s="122"/>
      <c r="C2144" s="86"/>
      <c r="D2144" s="16" t="s">
        <v>585</v>
      </c>
      <c r="E2144" s="236"/>
      <c r="F2144" s="236"/>
      <c r="G2144" s="17"/>
      <c r="H2144" s="17">
        <f>H2146+H2149</f>
        <v>3257360</v>
      </c>
    </row>
    <row r="2145" spans="1:8" s="1" customFormat="1" ht="19.5" customHeight="1">
      <c r="A2145" s="86"/>
      <c r="B2145" s="86"/>
      <c r="C2145" s="86"/>
      <c r="D2145" s="265" t="s">
        <v>151</v>
      </c>
      <c r="E2145" s="338"/>
      <c r="F2145" s="338"/>
      <c r="G2145" s="10"/>
      <c r="H2145" s="10">
        <v>366360</v>
      </c>
    </row>
    <row r="2146" spans="1:8" s="1" customFormat="1" ht="19.5" customHeight="1">
      <c r="A2146" s="86"/>
      <c r="B2146" s="86"/>
      <c r="C2146" s="22">
        <v>4270</v>
      </c>
      <c r="D2146" s="20" t="s">
        <v>753</v>
      </c>
      <c r="E2146" s="239"/>
      <c r="F2146" s="239"/>
      <c r="G2146" s="228"/>
      <c r="H2146" s="228">
        <f>H2145</f>
        <v>366360</v>
      </c>
    </row>
    <row r="2147" spans="1:8" s="1" customFormat="1" ht="19.5" customHeight="1">
      <c r="A2147" s="86"/>
      <c r="B2147" s="86"/>
      <c r="C2147" s="86"/>
      <c r="D2147" s="331" t="s">
        <v>368</v>
      </c>
      <c r="E2147" s="10"/>
      <c r="F2147" s="10"/>
      <c r="G2147" s="10"/>
      <c r="H2147" s="10">
        <v>1400000</v>
      </c>
    </row>
    <row r="2148" spans="1:8" s="1" customFormat="1" ht="19.5" customHeight="1">
      <c r="A2148" s="86"/>
      <c r="B2148" s="86"/>
      <c r="C2148" s="86"/>
      <c r="D2148" s="331" t="s">
        <v>273</v>
      </c>
      <c r="E2148" s="11"/>
      <c r="F2148" s="11"/>
      <c r="G2148" s="11"/>
      <c r="H2148" s="11">
        <f>380000+1111000</f>
        <v>1491000</v>
      </c>
    </row>
    <row r="2149" spans="1:8" s="1" customFormat="1" ht="19.5" customHeight="1">
      <c r="A2149" s="107"/>
      <c r="B2149" s="107"/>
      <c r="C2149" s="22">
        <v>6050</v>
      </c>
      <c r="D2149" s="22" t="s">
        <v>746</v>
      </c>
      <c r="E2149" s="6"/>
      <c r="F2149" s="6"/>
      <c r="G2149" s="6"/>
      <c r="H2149" s="6">
        <f>SUM(H2147:H2148)</f>
        <v>2891000</v>
      </c>
    </row>
    <row r="2150" spans="1:8" s="1" customFormat="1" ht="19.5" customHeight="1">
      <c r="A2150" s="5"/>
      <c r="B2150" s="13">
        <v>80120</v>
      </c>
      <c r="C2150" s="13"/>
      <c r="D2150" s="13" t="s">
        <v>814</v>
      </c>
      <c r="E2150" s="15"/>
      <c r="F2150" s="15"/>
      <c r="G2150" s="15"/>
      <c r="H2150" s="15">
        <f>H2151</f>
        <v>889272</v>
      </c>
    </row>
    <row r="2151" spans="1:8" s="1" customFormat="1" ht="18" customHeight="1">
      <c r="A2151" s="86"/>
      <c r="B2151" s="122"/>
      <c r="C2151" s="86"/>
      <c r="D2151" s="16" t="s">
        <v>587</v>
      </c>
      <c r="E2151" s="236"/>
      <c r="F2151" s="236"/>
      <c r="G2151" s="17"/>
      <c r="H2151" s="17">
        <f>H2153+H2155</f>
        <v>889272</v>
      </c>
    </row>
    <row r="2152" spans="1:8" s="1" customFormat="1" ht="18" customHeight="1">
      <c r="A2152" s="86"/>
      <c r="B2152" s="86"/>
      <c r="C2152" s="86"/>
      <c r="D2152" s="265" t="s">
        <v>151</v>
      </c>
      <c r="E2152" s="338"/>
      <c r="F2152" s="338"/>
      <c r="G2152" s="10"/>
      <c r="H2152" s="10">
        <f>598000-108728</f>
        <v>489272</v>
      </c>
    </row>
    <row r="2153" spans="1:8" s="1" customFormat="1" ht="18" customHeight="1">
      <c r="A2153" s="86"/>
      <c r="B2153" s="86"/>
      <c r="C2153" s="22">
        <v>4270</v>
      </c>
      <c r="D2153" s="20" t="s">
        <v>753</v>
      </c>
      <c r="E2153" s="239"/>
      <c r="F2153" s="239"/>
      <c r="G2153" s="228"/>
      <c r="H2153" s="228">
        <f>H2152</f>
        <v>489272</v>
      </c>
    </row>
    <row r="2154" spans="1:8" s="1" customFormat="1" ht="18" customHeight="1">
      <c r="A2154" s="86"/>
      <c r="B2154" s="86"/>
      <c r="C2154" s="86"/>
      <c r="D2154" s="331" t="s">
        <v>368</v>
      </c>
      <c r="E2154" s="10"/>
      <c r="F2154" s="10"/>
      <c r="G2154" s="10"/>
      <c r="H2154" s="10">
        <v>400000</v>
      </c>
    </row>
    <row r="2155" spans="1:8" s="1" customFormat="1" ht="18" customHeight="1">
      <c r="A2155" s="86"/>
      <c r="B2155" s="107"/>
      <c r="C2155" s="22">
        <v>6050</v>
      </c>
      <c r="D2155" s="22" t="s">
        <v>746</v>
      </c>
      <c r="E2155" s="6"/>
      <c r="F2155" s="6"/>
      <c r="G2155" s="6"/>
      <c r="H2155" s="6">
        <f>SUM(H2154:H2154)</f>
        <v>400000</v>
      </c>
    </row>
    <row r="2156" spans="1:8" s="1" customFormat="1" ht="18" customHeight="1">
      <c r="A2156" s="2"/>
      <c r="B2156" s="3">
        <v>80130</v>
      </c>
      <c r="C2156" s="3"/>
      <c r="D2156" s="3" t="s">
        <v>494</v>
      </c>
      <c r="E2156" s="4"/>
      <c r="F2156" s="4"/>
      <c r="G2156" s="4"/>
      <c r="H2156" s="4">
        <f>H2157</f>
        <v>7579194</v>
      </c>
    </row>
    <row r="2157" spans="1:8" s="1" customFormat="1" ht="18" customHeight="1">
      <c r="A2157" s="86"/>
      <c r="B2157" s="122"/>
      <c r="C2157" s="86"/>
      <c r="D2157" s="348" t="s">
        <v>325</v>
      </c>
      <c r="E2157" s="1098"/>
      <c r="F2157" s="1098"/>
      <c r="G2157" s="243"/>
      <c r="H2157" s="243">
        <f>H2159+H2162+H2164</f>
        <v>7579194</v>
      </c>
    </row>
    <row r="2158" spans="1:8" s="1" customFormat="1" ht="18" customHeight="1">
      <c r="A2158" s="86"/>
      <c r="B2158" s="86"/>
      <c r="C2158" s="86"/>
      <c r="D2158" s="605" t="s">
        <v>151</v>
      </c>
      <c r="E2158" s="338"/>
      <c r="F2158" s="338"/>
      <c r="G2158" s="10"/>
      <c r="H2158" s="10">
        <f>303992-203992</f>
        <v>100000</v>
      </c>
    </row>
    <row r="2159" spans="1:8" s="1" customFormat="1" ht="18" customHeight="1">
      <c r="A2159" s="86"/>
      <c r="B2159" s="86"/>
      <c r="C2159" s="22">
        <v>4270</v>
      </c>
      <c r="D2159" s="238" t="s">
        <v>98</v>
      </c>
      <c r="E2159" s="239"/>
      <c r="F2159" s="239"/>
      <c r="G2159" s="228"/>
      <c r="H2159" s="228">
        <f>H2158</f>
        <v>100000</v>
      </c>
    </row>
    <row r="2160" spans="1:8" s="1" customFormat="1" ht="18" customHeight="1">
      <c r="A2160" s="86"/>
      <c r="B2160" s="86"/>
      <c r="C2160" s="86"/>
      <c r="D2160" s="331" t="s">
        <v>368</v>
      </c>
      <c r="E2160" s="295"/>
      <c r="F2160" s="295"/>
      <c r="G2160" s="295"/>
      <c r="H2160" s="295">
        <v>5576194</v>
      </c>
    </row>
    <row r="2161" spans="1:8" s="1" customFormat="1" ht="18" customHeight="1">
      <c r="A2161" s="86"/>
      <c r="B2161" s="86"/>
      <c r="C2161" s="86"/>
      <c r="D2161" s="331" t="s">
        <v>807</v>
      </c>
      <c r="E2161" s="11"/>
      <c r="F2161" s="11"/>
      <c r="G2161" s="11"/>
      <c r="H2161" s="11">
        <v>203000</v>
      </c>
    </row>
    <row r="2162" spans="1:8" s="1" customFormat="1" ht="18" customHeight="1">
      <c r="A2162" s="86"/>
      <c r="B2162" s="86"/>
      <c r="C2162" s="22">
        <v>6050</v>
      </c>
      <c r="D2162" s="22" t="s">
        <v>746</v>
      </c>
      <c r="E2162" s="6"/>
      <c r="F2162" s="6"/>
      <c r="G2162" s="6"/>
      <c r="H2162" s="6">
        <f>H2160+H2161</f>
        <v>5779194</v>
      </c>
    </row>
    <row r="2163" spans="1:8" s="1" customFormat="1" ht="18" customHeight="1">
      <c r="A2163" s="86"/>
      <c r="B2163" s="86"/>
      <c r="C2163" s="86"/>
      <c r="D2163" s="331" t="s">
        <v>368</v>
      </c>
      <c r="E2163" s="10"/>
      <c r="F2163" s="10"/>
      <c r="G2163" s="10"/>
      <c r="H2163" s="10">
        <v>1700000</v>
      </c>
    </row>
    <row r="2164" spans="1:8" s="1" customFormat="1" ht="18" customHeight="1">
      <c r="A2164" s="86"/>
      <c r="B2164" s="107"/>
      <c r="C2164" s="22">
        <v>6055</v>
      </c>
      <c r="D2164" s="22" t="s">
        <v>746</v>
      </c>
      <c r="E2164" s="6"/>
      <c r="F2164" s="6"/>
      <c r="G2164" s="6"/>
      <c r="H2164" s="6">
        <f>H2163</f>
        <v>1700000</v>
      </c>
    </row>
    <row r="2165" spans="1:8" s="1" customFormat="1" ht="25.5">
      <c r="A2165" s="2"/>
      <c r="B2165" s="3">
        <v>80140</v>
      </c>
      <c r="C2165" s="3"/>
      <c r="D2165" s="67" t="s">
        <v>43</v>
      </c>
      <c r="E2165" s="4"/>
      <c r="F2165" s="4"/>
      <c r="G2165" s="4"/>
      <c r="H2165" s="4">
        <f>H2166</f>
        <v>534000</v>
      </c>
    </row>
    <row r="2166" spans="1:8" s="1" customFormat="1" ht="18.75" customHeight="1">
      <c r="A2166" s="86"/>
      <c r="B2166" s="122"/>
      <c r="C2166" s="86"/>
      <c r="D2166" s="16" t="s">
        <v>42</v>
      </c>
      <c r="E2166" s="236"/>
      <c r="F2166" s="236"/>
      <c r="G2166" s="17"/>
      <c r="H2166" s="17">
        <f>H2168+H2170</f>
        <v>534000</v>
      </c>
    </row>
    <row r="2167" spans="1:8" s="1" customFormat="1" ht="18" customHeight="1">
      <c r="A2167" s="86"/>
      <c r="B2167" s="86"/>
      <c r="C2167" s="86"/>
      <c r="D2167" s="265" t="s">
        <v>44</v>
      </c>
      <c r="E2167" s="338"/>
      <c r="F2167" s="338"/>
      <c r="G2167" s="10"/>
      <c r="H2167" s="10">
        <v>34000</v>
      </c>
    </row>
    <row r="2168" spans="1:8" s="1" customFormat="1" ht="18" customHeight="1">
      <c r="A2168" s="86"/>
      <c r="B2168" s="86"/>
      <c r="C2168" s="22">
        <v>4270</v>
      </c>
      <c r="D2168" s="20" t="s">
        <v>98</v>
      </c>
      <c r="E2168" s="239"/>
      <c r="F2168" s="239"/>
      <c r="G2168" s="228"/>
      <c r="H2168" s="228">
        <f>H2167</f>
        <v>34000</v>
      </c>
    </row>
    <row r="2169" spans="1:8" s="1" customFormat="1" ht="18" customHeight="1">
      <c r="A2169" s="86"/>
      <c r="B2169" s="86"/>
      <c r="C2169" s="86"/>
      <c r="D2169" s="331" t="s">
        <v>368</v>
      </c>
      <c r="E2169" s="10"/>
      <c r="F2169" s="10"/>
      <c r="G2169" s="10"/>
      <c r="H2169" s="10">
        <v>500000</v>
      </c>
    </row>
    <row r="2170" spans="1:8" s="1" customFormat="1" ht="18" customHeight="1">
      <c r="A2170" s="107"/>
      <c r="B2170" s="107"/>
      <c r="C2170" s="22">
        <v>6050</v>
      </c>
      <c r="D2170" s="22" t="s">
        <v>746</v>
      </c>
      <c r="E2170" s="6"/>
      <c r="F2170" s="6"/>
      <c r="G2170" s="6"/>
      <c r="H2170" s="6">
        <f>H2169</f>
        <v>500000</v>
      </c>
    </row>
    <row r="2171" spans="1:8" s="1" customFormat="1" ht="19.5" customHeight="1" thickBot="1">
      <c r="A2171" s="394">
        <v>851</v>
      </c>
      <c r="B2171" s="394"/>
      <c r="C2171" s="394"/>
      <c r="D2171" s="394" t="s">
        <v>106</v>
      </c>
      <c r="E2171" s="377"/>
      <c r="F2171" s="377"/>
      <c r="G2171" s="377"/>
      <c r="H2171" s="377">
        <f>H2172</f>
        <v>1000000</v>
      </c>
    </row>
    <row r="2172" spans="1:8" ht="17.25" customHeight="1">
      <c r="A2172" s="56"/>
      <c r="B2172" s="165">
        <v>85154</v>
      </c>
      <c r="C2172" s="165"/>
      <c r="D2172" s="165" t="s">
        <v>124</v>
      </c>
      <c r="E2172" s="167"/>
      <c r="F2172" s="167"/>
      <c r="G2172" s="167"/>
      <c r="H2172" s="167">
        <f>H2173</f>
        <v>1000000</v>
      </c>
    </row>
    <row r="2173" spans="1:8" ht="16.5" customHeight="1">
      <c r="A2173" s="56"/>
      <c r="B2173" s="193"/>
      <c r="C2173" s="193"/>
      <c r="D2173" s="186" t="s">
        <v>519</v>
      </c>
      <c r="E2173" s="212"/>
      <c r="F2173" s="212"/>
      <c r="G2173" s="169"/>
      <c r="H2173" s="169">
        <f>H2174</f>
        <v>1000000</v>
      </c>
    </row>
    <row r="2174" spans="1:8" ht="25.5" customHeight="1">
      <c r="A2174" s="56"/>
      <c r="B2174" s="56"/>
      <c r="C2174" s="56"/>
      <c r="D2174" s="1071" t="s">
        <v>217</v>
      </c>
      <c r="E2174" s="1072"/>
      <c r="F2174" s="1072"/>
      <c r="G2174" s="1072"/>
      <c r="H2174" s="1072">
        <f>SUM(H2175:H2175)</f>
        <v>1000000</v>
      </c>
    </row>
    <row r="2175" spans="1:8" ht="15.75" customHeight="1">
      <c r="A2175" s="56"/>
      <c r="B2175" s="56"/>
      <c r="C2175" s="170"/>
      <c r="D2175" s="341" t="s">
        <v>560</v>
      </c>
      <c r="E2175" s="250"/>
      <c r="F2175" s="250"/>
      <c r="G2175" s="250"/>
      <c r="H2175" s="250">
        <v>1000000</v>
      </c>
    </row>
    <row r="2176" spans="1:8" ht="18" customHeight="1">
      <c r="A2176" s="56"/>
      <c r="B2176" s="56"/>
      <c r="C2176" s="181">
        <v>6050</v>
      </c>
      <c r="D2176" s="189" t="s">
        <v>746</v>
      </c>
      <c r="E2176" s="176"/>
      <c r="F2176" s="176"/>
      <c r="G2176" s="176"/>
      <c r="H2176" s="176">
        <f>H2175</f>
        <v>1000000</v>
      </c>
    </row>
    <row r="2177" spans="1:8" s="1" customFormat="1" ht="18.75" customHeight="1" thickBot="1">
      <c r="A2177" s="394">
        <v>852</v>
      </c>
      <c r="B2177" s="394"/>
      <c r="C2177" s="394"/>
      <c r="D2177" s="394" t="s">
        <v>129</v>
      </c>
      <c r="E2177" s="377"/>
      <c r="F2177" s="377"/>
      <c r="G2177" s="377"/>
      <c r="H2177" s="377">
        <f>H2178+H2182+H2188</f>
        <v>4203500</v>
      </c>
    </row>
    <row r="2178" spans="1:8" s="1" customFormat="1" ht="18.75" customHeight="1">
      <c r="A2178" s="2"/>
      <c r="B2178" s="3">
        <v>85201</v>
      </c>
      <c r="C2178" s="3"/>
      <c r="D2178" s="3" t="s">
        <v>55</v>
      </c>
      <c r="E2178" s="4"/>
      <c r="F2178" s="4"/>
      <c r="G2178" s="4"/>
      <c r="H2178" s="4">
        <f>H2179</f>
        <v>600000</v>
      </c>
    </row>
    <row r="2179" spans="1:8" s="1" customFormat="1" ht="18" customHeight="1">
      <c r="A2179" s="107"/>
      <c r="B2179" s="107"/>
      <c r="C2179" s="107"/>
      <c r="D2179" s="1065" t="s">
        <v>516</v>
      </c>
      <c r="E2179" s="1046"/>
      <c r="F2179" s="61"/>
      <c r="G2179" s="61"/>
      <c r="H2179" s="61">
        <f>H2181</f>
        <v>600000</v>
      </c>
    </row>
    <row r="2180" spans="1:8" s="1" customFormat="1" ht="18" customHeight="1">
      <c r="A2180" s="122"/>
      <c r="B2180" s="122"/>
      <c r="C2180" s="122"/>
      <c r="D2180" s="317" t="s">
        <v>926</v>
      </c>
      <c r="E2180" s="178"/>
      <c r="F2180" s="178"/>
      <c r="G2180" s="178"/>
      <c r="H2180" s="178">
        <v>600000</v>
      </c>
    </row>
    <row r="2181" spans="1:8" s="1" customFormat="1" ht="18" customHeight="1">
      <c r="A2181" s="86"/>
      <c r="B2181" s="107"/>
      <c r="C2181" s="22">
        <v>6050</v>
      </c>
      <c r="D2181" s="22" t="s">
        <v>746</v>
      </c>
      <c r="E2181" s="6"/>
      <c r="F2181" s="6"/>
      <c r="G2181" s="6"/>
      <c r="H2181" s="6">
        <f>H2180</f>
        <v>600000</v>
      </c>
    </row>
    <row r="2182" spans="1:8" s="1" customFormat="1" ht="16.5" customHeight="1">
      <c r="A2182" s="2"/>
      <c r="B2182" s="3">
        <v>85202</v>
      </c>
      <c r="C2182" s="3"/>
      <c r="D2182" s="3" t="s">
        <v>125</v>
      </c>
      <c r="E2182" s="4"/>
      <c r="F2182" s="4"/>
      <c r="G2182" s="4"/>
      <c r="H2182" s="4">
        <f>H2183</f>
        <v>2003500</v>
      </c>
    </row>
    <row r="2183" spans="1:8" s="1" customFormat="1" ht="18" customHeight="1">
      <c r="A2183" s="86"/>
      <c r="B2183" s="86"/>
      <c r="C2183" s="86"/>
      <c r="D2183" s="16" t="s">
        <v>1116</v>
      </c>
      <c r="E2183" s="17"/>
      <c r="F2183" s="66"/>
      <c r="G2183" s="66"/>
      <c r="H2183" s="66">
        <f>H2187</f>
        <v>2003500</v>
      </c>
    </row>
    <row r="2184" spans="1:8" s="1" customFormat="1" ht="15.75" customHeight="1">
      <c r="A2184" s="86"/>
      <c r="B2184" s="86"/>
      <c r="C2184" s="18"/>
      <c r="D2184" s="452" t="s">
        <v>1062</v>
      </c>
      <c r="E2184" s="295"/>
      <c r="F2184" s="295"/>
      <c r="G2184" s="295"/>
      <c r="H2184" s="295">
        <f>296000+250000</f>
        <v>546000</v>
      </c>
    </row>
    <row r="2185" spans="1:8" s="1" customFormat="1" ht="25.5">
      <c r="A2185" s="86"/>
      <c r="B2185" s="86"/>
      <c r="C2185" s="18"/>
      <c r="D2185" s="422" t="s">
        <v>887</v>
      </c>
      <c r="E2185" s="11"/>
      <c r="F2185" s="11"/>
      <c r="G2185" s="11"/>
      <c r="H2185" s="11">
        <v>1000000</v>
      </c>
    </row>
    <row r="2186" spans="1:8" s="1" customFormat="1" ht="18" customHeight="1">
      <c r="A2186" s="86"/>
      <c r="B2186" s="86"/>
      <c r="C2186" s="18"/>
      <c r="D2186" s="331" t="s">
        <v>369</v>
      </c>
      <c r="E2186" s="11"/>
      <c r="F2186" s="11"/>
      <c r="G2186" s="11"/>
      <c r="H2186" s="11">
        <f>542500-85000</f>
        <v>457500</v>
      </c>
    </row>
    <row r="2187" spans="1:8" s="1" customFormat="1" ht="18" customHeight="1">
      <c r="A2187" s="86"/>
      <c r="B2187" s="107"/>
      <c r="C2187" s="22">
        <v>6050</v>
      </c>
      <c r="D2187" s="22" t="s">
        <v>746</v>
      </c>
      <c r="E2187" s="6"/>
      <c r="F2187" s="6"/>
      <c r="G2187" s="6"/>
      <c r="H2187" s="6">
        <f>SUM(H2184:H2186)</f>
        <v>2003500</v>
      </c>
    </row>
    <row r="2188" spans="1:8" s="1" customFormat="1" ht="18.75" customHeight="1">
      <c r="A2188" s="2"/>
      <c r="B2188" s="13">
        <v>85219</v>
      </c>
      <c r="C2188" s="13"/>
      <c r="D2188" s="13" t="s">
        <v>1020</v>
      </c>
      <c r="E2188" s="15"/>
      <c r="F2188" s="15"/>
      <c r="G2188" s="15"/>
      <c r="H2188" s="15">
        <f>H2189</f>
        <v>1600000</v>
      </c>
    </row>
    <row r="2189" spans="1:8" s="1" customFormat="1" ht="18" customHeight="1">
      <c r="A2189" s="86"/>
      <c r="B2189" s="86"/>
      <c r="C2189" s="86"/>
      <c r="D2189" s="16" t="s">
        <v>1117</v>
      </c>
      <c r="E2189" s="17"/>
      <c r="F2189" s="66"/>
      <c r="G2189" s="66"/>
      <c r="H2189" s="66">
        <f>H2191</f>
        <v>1600000</v>
      </c>
    </row>
    <row r="2190" spans="1:8" s="1" customFormat="1" ht="18" customHeight="1">
      <c r="A2190" s="86"/>
      <c r="B2190" s="86"/>
      <c r="C2190" s="86"/>
      <c r="D2190" s="244" t="s">
        <v>1118</v>
      </c>
      <c r="E2190" s="10"/>
      <c r="F2190" s="10"/>
      <c r="G2190" s="10"/>
      <c r="H2190" s="10">
        <v>1600000</v>
      </c>
    </row>
    <row r="2191" spans="1:8" s="1" customFormat="1" ht="18" customHeight="1">
      <c r="A2191" s="86"/>
      <c r="B2191" s="107"/>
      <c r="C2191" s="22">
        <v>6050</v>
      </c>
      <c r="D2191" s="22" t="s">
        <v>746</v>
      </c>
      <c r="E2191" s="6"/>
      <c r="F2191" s="6"/>
      <c r="G2191" s="6"/>
      <c r="H2191" s="6">
        <f>H2190</f>
        <v>1600000</v>
      </c>
    </row>
    <row r="2192" spans="1:8" s="1" customFormat="1" ht="19.5" customHeight="1" thickBot="1">
      <c r="A2192" s="394">
        <v>853</v>
      </c>
      <c r="B2192" s="394"/>
      <c r="C2192" s="394"/>
      <c r="D2192" s="394" t="s">
        <v>277</v>
      </c>
      <c r="E2192" s="377"/>
      <c r="F2192" s="377"/>
      <c r="G2192" s="377"/>
      <c r="H2192" s="377">
        <f>H2193+H2199</f>
        <v>1220442</v>
      </c>
    </row>
    <row r="2193" spans="1:8" ht="19.5" customHeight="1">
      <c r="A2193" s="2"/>
      <c r="B2193" s="3">
        <v>85305</v>
      </c>
      <c r="C2193" s="3"/>
      <c r="D2193" s="3" t="s">
        <v>127</v>
      </c>
      <c r="E2193" s="4"/>
      <c r="F2193" s="4"/>
      <c r="G2193" s="4"/>
      <c r="H2193" s="4">
        <f>H2194</f>
        <v>790442</v>
      </c>
    </row>
    <row r="2194" spans="1:8" ht="18.75" customHeight="1">
      <c r="A2194" s="86"/>
      <c r="B2194" s="86"/>
      <c r="C2194" s="86"/>
      <c r="D2194" s="16" t="s">
        <v>517</v>
      </c>
      <c r="E2194" s="17"/>
      <c r="F2194" s="66"/>
      <c r="G2194" s="66"/>
      <c r="H2194" s="66">
        <f>H2196+H2198</f>
        <v>790442</v>
      </c>
    </row>
    <row r="2195" spans="1:8" ht="18.75" customHeight="1">
      <c r="A2195" s="86"/>
      <c r="B2195" s="86"/>
      <c r="C2195" s="86"/>
      <c r="D2195" s="244" t="s">
        <v>518</v>
      </c>
      <c r="E2195" s="10"/>
      <c r="F2195" s="10"/>
      <c r="G2195" s="10"/>
      <c r="H2195" s="10">
        <v>69422</v>
      </c>
    </row>
    <row r="2196" spans="1:8" ht="18.75" customHeight="1">
      <c r="A2196" s="86"/>
      <c r="B2196" s="86"/>
      <c r="C2196" s="22">
        <v>4270</v>
      </c>
      <c r="D2196" s="22" t="s">
        <v>98</v>
      </c>
      <c r="E2196" s="6"/>
      <c r="F2196" s="6"/>
      <c r="G2196" s="6"/>
      <c r="H2196" s="6">
        <f>H2195</f>
        <v>69422</v>
      </c>
    </row>
    <row r="2197" spans="1:8" s="1" customFormat="1" ht="18.75" customHeight="1">
      <c r="A2197" s="86"/>
      <c r="B2197" s="86"/>
      <c r="C2197" s="18"/>
      <c r="D2197" s="380" t="s">
        <v>250</v>
      </c>
      <c r="E2197" s="10"/>
      <c r="F2197" s="10"/>
      <c r="G2197" s="10"/>
      <c r="H2197" s="10">
        <v>721020</v>
      </c>
    </row>
    <row r="2198" spans="1:8" s="8" customFormat="1" ht="18.75" customHeight="1">
      <c r="A2198" s="86"/>
      <c r="B2198" s="107"/>
      <c r="C2198" s="22">
        <v>6050</v>
      </c>
      <c r="D2198" s="22" t="s">
        <v>746</v>
      </c>
      <c r="E2198" s="6"/>
      <c r="F2198" s="6"/>
      <c r="G2198" s="6"/>
      <c r="H2198" s="6">
        <f>H2197</f>
        <v>721020</v>
      </c>
    </row>
    <row r="2199" spans="1:8" s="1" customFormat="1" ht="19.5" customHeight="1">
      <c r="A2199" s="2"/>
      <c r="B2199" s="3">
        <v>85333</v>
      </c>
      <c r="C2199" s="3"/>
      <c r="D2199" s="3" t="s">
        <v>617</v>
      </c>
      <c r="E2199" s="4"/>
      <c r="F2199" s="4"/>
      <c r="G2199" s="4"/>
      <c r="H2199" s="4">
        <f>H2200</f>
        <v>430000</v>
      </c>
    </row>
    <row r="2200" spans="1:8" s="1" customFormat="1" ht="18.75" customHeight="1">
      <c r="A2200" s="86"/>
      <c r="B2200" s="86"/>
      <c r="C2200" s="86"/>
      <c r="D2200" s="16" t="s">
        <v>315</v>
      </c>
      <c r="E2200" s="17"/>
      <c r="F2200" s="17"/>
      <c r="G2200" s="17"/>
      <c r="H2200" s="17">
        <f>H2202</f>
        <v>430000</v>
      </c>
    </row>
    <row r="2201" spans="1:8" s="1" customFormat="1" ht="18.75" customHeight="1">
      <c r="A2201" s="86"/>
      <c r="B2201" s="86"/>
      <c r="C2201" s="18"/>
      <c r="D2201" s="331" t="s">
        <v>926</v>
      </c>
      <c r="E2201" s="231"/>
      <c r="F2201" s="231"/>
      <c r="G2201" s="231"/>
      <c r="H2201" s="231">
        <v>430000</v>
      </c>
    </row>
    <row r="2202" spans="1:8" s="1" customFormat="1" ht="18.75" customHeight="1">
      <c r="A2202" s="86"/>
      <c r="B2202" s="107"/>
      <c r="C2202" s="22">
        <v>6050</v>
      </c>
      <c r="D2202" s="22" t="s">
        <v>746</v>
      </c>
      <c r="E2202" s="6"/>
      <c r="F2202" s="6"/>
      <c r="G2202" s="6"/>
      <c r="H2202" s="6">
        <f>H2201</f>
        <v>430000</v>
      </c>
    </row>
    <row r="2203" spans="1:8" s="1" customFormat="1" ht="19.5" customHeight="1" thickBot="1">
      <c r="A2203" s="394">
        <v>854</v>
      </c>
      <c r="B2203" s="394"/>
      <c r="C2203" s="394"/>
      <c r="D2203" s="394" t="s">
        <v>618</v>
      </c>
      <c r="E2203" s="377"/>
      <c r="F2203" s="377"/>
      <c r="G2203" s="377"/>
      <c r="H2203" s="377">
        <f>H2204+H2212+H2216+H2220+H2224</f>
        <v>2000809</v>
      </c>
    </row>
    <row r="2204" spans="1:8" ht="19.5" customHeight="1">
      <c r="A2204" s="56"/>
      <c r="B2204" s="165">
        <v>85403</v>
      </c>
      <c r="C2204" s="165"/>
      <c r="D2204" s="165" t="s">
        <v>677</v>
      </c>
      <c r="E2204" s="167"/>
      <c r="F2204" s="167"/>
      <c r="G2204" s="167"/>
      <c r="H2204" s="167">
        <f>H2205+H2209</f>
        <v>1750000</v>
      </c>
    </row>
    <row r="2205" spans="1:8" ht="18.75" customHeight="1">
      <c r="A2205" s="86"/>
      <c r="B2205" s="86"/>
      <c r="C2205" s="86"/>
      <c r="D2205" s="348" t="s">
        <v>567</v>
      </c>
      <c r="E2205" s="243"/>
      <c r="F2205" s="280"/>
      <c r="G2205" s="280"/>
      <c r="H2205" s="280">
        <f>H2208</f>
        <v>600000</v>
      </c>
    </row>
    <row r="2206" spans="1:8" ht="18.75" customHeight="1">
      <c r="A2206" s="86"/>
      <c r="B2206" s="86"/>
      <c r="C2206" s="18"/>
      <c r="D2206" s="421" t="s">
        <v>568</v>
      </c>
      <c r="E2206" s="300"/>
      <c r="F2206" s="300"/>
      <c r="G2206" s="10"/>
      <c r="H2206" s="10">
        <v>500000</v>
      </c>
    </row>
    <row r="2207" spans="1:8" ht="18.75" customHeight="1">
      <c r="A2207" s="86"/>
      <c r="B2207" s="86"/>
      <c r="C2207" s="18"/>
      <c r="D2207" s="331" t="s">
        <v>886</v>
      </c>
      <c r="E2207" s="11"/>
      <c r="F2207" s="11"/>
      <c r="G2207" s="279"/>
      <c r="H2207" s="279">
        <v>100000</v>
      </c>
    </row>
    <row r="2208" spans="1:8" ht="18.75" customHeight="1">
      <c r="A2208" s="107"/>
      <c r="B2208" s="107"/>
      <c r="C2208" s="22">
        <v>6050</v>
      </c>
      <c r="D2208" s="22" t="s">
        <v>746</v>
      </c>
      <c r="E2208" s="6"/>
      <c r="F2208" s="6"/>
      <c r="G2208" s="228"/>
      <c r="H2208" s="228">
        <f>SUM(H2206:H2207)</f>
        <v>600000</v>
      </c>
    </row>
    <row r="2209" spans="1:8" ht="25.5">
      <c r="A2209" s="122"/>
      <c r="B2209" s="122"/>
      <c r="C2209" s="128"/>
      <c r="D2209" s="16" t="s">
        <v>569</v>
      </c>
      <c r="E2209" s="17"/>
      <c r="F2209" s="17"/>
      <c r="G2209" s="17"/>
      <c r="H2209" s="17">
        <f>H2211</f>
        <v>1150000</v>
      </c>
    </row>
    <row r="2210" spans="1:8" ht="25.5">
      <c r="A2210" s="86"/>
      <c r="B2210" s="86"/>
      <c r="C2210" s="18"/>
      <c r="D2210" s="423" t="s">
        <v>990</v>
      </c>
      <c r="E2210" s="10"/>
      <c r="F2210" s="10"/>
      <c r="G2210" s="10"/>
      <c r="H2210" s="10">
        <v>1150000</v>
      </c>
    </row>
    <row r="2211" spans="1:8" ht="19.5" customHeight="1">
      <c r="A2211" s="86"/>
      <c r="B2211" s="107"/>
      <c r="C2211" s="22">
        <v>6050</v>
      </c>
      <c r="D2211" s="22" t="s">
        <v>746</v>
      </c>
      <c r="E2211" s="6"/>
      <c r="F2211" s="6"/>
      <c r="G2211" s="6"/>
      <c r="H2211" s="6">
        <f>H2210</f>
        <v>1150000</v>
      </c>
    </row>
    <row r="2212" spans="1:8" ht="18.75" customHeight="1">
      <c r="A2212" s="56"/>
      <c r="B2212" s="165">
        <v>85407</v>
      </c>
      <c r="C2212" s="165"/>
      <c r="D2212" s="165" t="s">
        <v>982</v>
      </c>
      <c r="E2212" s="167"/>
      <c r="F2212" s="167"/>
      <c r="G2212" s="167"/>
      <c r="H2212" s="167">
        <f>H2213</f>
        <v>113000</v>
      </c>
    </row>
    <row r="2213" spans="1:8" ht="18.75" customHeight="1">
      <c r="A2213" s="56"/>
      <c r="B2213" s="56"/>
      <c r="C2213" s="56"/>
      <c r="D2213" s="186" t="s">
        <v>570</v>
      </c>
      <c r="E2213" s="169"/>
      <c r="F2213" s="1075"/>
      <c r="G2213" s="1075"/>
      <c r="H2213" s="1075">
        <f>H2215</f>
        <v>113000</v>
      </c>
    </row>
    <row r="2214" spans="1:8" ht="18.75" customHeight="1">
      <c r="A2214" s="56"/>
      <c r="B2214" s="56"/>
      <c r="C2214" s="56"/>
      <c r="D2214" s="460" t="s">
        <v>44</v>
      </c>
      <c r="E2214" s="369"/>
      <c r="F2214" s="369"/>
      <c r="G2214" s="369"/>
      <c r="H2214" s="369">
        <v>113000</v>
      </c>
    </row>
    <row r="2215" spans="1:8" ht="18.75" customHeight="1">
      <c r="A2215" s="56"/>
      <c r="B2215" s="158"/>
      <c r="C2215" s="181">
        <v>4270</v>
      </c>
      <c r="D2215" s="269" t="s">
        <v>98</v>
      </c>
      <c r="E2215" s="234"/>
      <c r="F2215" s="234"/>
      <c r="G2215" s="234"/>
      <c r="H2215" s="234">
        <f>H2214</f>
        <v>113000</v>
      </c>
    </row>
    <row r="2216" spans="1:8" ht="18.75" customHeight="1">
      <c r="A2216" s="56"/>
      <c r="B2216" s="182">
        <v>85410</v>
      </c>
      <c r="C2216" s="182"/>
      <c r="D2216" s="182" t="s">
        <v>983</v>
      </c>
      <c r="E2216" s="183"/>
      <c r="F2216" s="183"/>
      <c r="G2216" s="183"/>
      <c r="H2216" s="183">
        <f>H2217</f>
        <v>107809</v>
      </c>
    </row>
    <row r="2217" spans="1:8" ht="18.75" customHeight="1">
      <c r="A2217" s="56"/>
      <c r="B2217" s="56"/>
      <c r="C2217" s="193"/>
      <c r="D2217" s="186" t="s">
        <v>571</v>
      </c>
      <c r="E2217" s="169"/>
      <c r="F2217" s="169"/>
      <c r="G2217" s="169"/>
      <c r="H2217" s="169">
        <f>H2219</f>
        <v>107809</v>
      </c>
    </row>
    <row r="2218" spans="1:8" ht="18.75" customHeight="1">
      <c r="A2218" s="56"/>
      <c r="B2218" s="56"/>
      <c r="C2218" s="56"/>
      <c r="D2218" s="460" t="s">
        <v>44</v>
      </c>
      <c r="E2218" s="369"/>
      <c r="F2218" s="369"/>
      <c r="G2218" s="369"/>
      <c r="H2218" s="369">
        <v>107809</v>
      </c>
    </row>
    <row r="2219" spans="1:8" ht="18.75" customHeight="1">
      <c r="A2219" s="56"/>
      <c r="B2219" s="158"/>
      <c r="C2219" s="181">
        <v>4270</v>
      </c>
      <c r="D2219" s="269" t="s">
        <v>98</v>
      </c>
      <c r="E2219" s="234"/>
      <c r="F2219" s="234"/>
      <c r="G2219" s="234"/>
      <c r="H2219" s="234">
        <f>H2218</f>
        <v>107809</v>
      </c>
    </row>
    <row r="2220" spans="1:8" ht="18.75" customHeight="1">
      <c r="A2220" s="56"/>
      <c r="B2220" s="165">
        <v>85417</v>
      </c>
      <c r="C2220" s="165"/>
      <c r="D2220" s="165" t="s">
        <v>888</v>
      </c>
      <c r="E2220" s="167"/>
      <c r="F2220" s="167"/>
      <c r="G2220" s="167"/>
      <c r="H2220" s="167">
        <f>H2221</f>
        <v>10000</v>
      </c>
    </row>
    <row r="2221" spans="1:8" ht="18.75" customHeight="1">
      <c r="A2221" s="56"/>
      <c r="B2221" s="56"/>
      <c r="C2221" s="193"/>
      <c r="D2221" s="186" t="s">
        <v>572</v>
      </c>
      <c r="E2221" s="169"/>
      <c r="F2221" s="169"/>
      <c r="G2221" s="169"/>
      <c r="H2221" s="169">
        <f>H2223</f>
        <v>10000</v>
      </c>
    </row>
    <row r="2222" spans="1:8" ht="18.75" customHeight="1">
      <c r="A2222" s="56"/>
      <c r="B2222" s="56"/>
      <c r="C2222" s="56"/>
      <c r="D2222" s="299" t="s">
        <v>316</v>
      </c>
      <c r="E2222" s="249"/>
      <c r="F2222" s="249"/>
      <c r="G2222" s="249"/>
      <c r="H2222" s="249">
        <v>10000</v>
      </c>
    </row>
    <row r="2223" spans="1:8" ht="18.75" customHeight="1">
      <c r="A2223" s="56"/>
      <c r="B2223" s="158"/>
      <c r="C2223" s="181">
        <v>4270</v>
      </c>
      <c r="D2223" s="181" t="s">
        <v>98</v>
      </c>
      <c r="E2223" s="176"/>
      <c r="F2223" s="176"/>
      <c r="G2223" s="176"/>
      <c r="H2223" s="176">
        <f>H2222</f>
        <v>10000</v>
      </c>
    </row>
    <row r="2224" spans="1:8" ht="18.75" customHeight="1">
      <c r="A2224" s="56"/>
      <c r="B2224" s="165">
        <v>85421</v>
      </c>
      <c r="C2224" s="165"/>
      <c r="D2224" s="165" t="s">
        <v>889</v>
      </c>
      <c r="E2224" s="167"/>
      <c r="F2224" s="167"/>
      <c r="G2224" s="167"/>
      <c r="H2224" s="167">
        <f>H2225</f>
        <v>20000</v>
      </c>
    </row>
    <row r="2225" spans="1:8" ht="18.75" customHeight="1">
      <c r="A2225" s="56"/>
      <c r="B2225" s="56"/>
      <c r="C2225" s="193"/>
      <c r="D2225" s="186" t="s">
        <v>573</v>
      </c>
      <c r="E2225" s="169"/>
      <c r="F2225" s="169"/>
      <c r="G2225" s="169"/>
      <c r="H2225" s="169">
        <f>H2227</f>
        <v>20000</v>
      </c>
    </row>
    <row r="2226" spans="1:8" ht="18.75" customHeight="1">
      <c r="A2226" s="56"/>
      <c r="B2226" s="56"/>
      <c r="C2226" s="56"/>
      <c r="D2226" s="299" t="s">
        <v>316</v>
      </c>
      <c r="E2226" s="249"/>
      <c r="F2226" s="249"/>
      <c r="G2226" s="249"/>
      <c r="H2226" s="249">
        <v>20000</v>
      </c>
    </row>
    <row r="2227" spans="1:8" ht="18.75" customHeight="1">
      <c r="A2227" s="56"/>
      <c r="B2227" s="158"/>
      <c r="C2227" s="181">
        <v>4270</v>
      </c>
      <c r="D2227" s="181" t="s">
        <v>98</v>
      </c>
      <c r="E2227" s="176"/>
      <c r="F2227" s="176"/>
      <c r="G2227" s="176"/>
      <c r="H2227" s="176">
        <f>H2226</f>
        <v>20000</v>
      </c>
    </row>
    <row r="2228" spans="1:8" s="8" customFormat="1" ht="18.75" customHeight="1" thickBot="1">
      <c r="A2228" s="394">
        <v>921</v>
      </c>
      <c r="B2228" s="394"/>
      <c r="C2228" s="394"/>
      <c r="D2228" s="394" t="s">
        <v>401</v>
      </c>
      <c r="E2228" s="377"/>
      <c r="F2228" s="377"/>
      <c r="G2228" s="377"/>
      <c r="H2228" s="377">
        <f>H2229</f>
        <v>350000</v>
      </c>
    </row>
    <row r="2229" spans="1:8" s="8" customFormat="1" ht="19.5" customHeight="1">
      <c r="A2229" s="18"/>
      <c r="B2229" s="3">
        <v>92120</v>
      </c>
      <c r="C2229" s="3"/>
      <c r="D2229" s="3" t="s">
        <v>97</v>
      </c>
      <c r="E2229" s="4"/>
      <c r="F2229" s="4"/>
      <c r="G2229" s="4"/>
      <c r="H2229" s="4">
        <f>H2230</f>
        <v>350000</v>
      </c>
    </row>
    <row r="2230" spans="1:8" s="8" customFormat="1" ht="19.5" customHeight="1">
      <c r="A2230" s="86"/>
      <c r="B2230" s="86"/>
      <c r="C2230" s="18"/>
      <c r="D2230" s="316" t="s">
        <v>47</v>
      </c>
      <c r="E2230" s="152"/>
      <c r="F2230" s="152"/>
      <c r="G2230" s="152"/>
      <c r="H2230" s="152">
        <f>H2232</f>
        <v>350000</v>
      </c>
    </row>
    <row r="2231" spans="1:8" s="8" customFormat="1" ht="19.5" customHeight="1">
      <c r="A2231" s="86"/>
      <c r="B2231" s="86"/>
      <c r="C2231" s="18"/>
      <c r="D2231" s="242" t="s">
        <v>246</v>
      </c>
      <c r="E2231" s="337"/>
      <c r="F2231" s="337"/>
      <c r="G2231" s="296"/>
      <c r="H2231" s="296">
        <v>350000</v>
      </c>
    </row>
    <row r="2232" spans="1:8" s="8" customFormat="1" ht="19.5" customHeight="1">
      <c r="A2232" s="86"/>
      <c r="B2232" s="86"/>
      <c r="C2232" s="18">
        <v>4270</v>
      </c>
      <c r="D2232" s="221" t="s">
        <v>753</v>
      </c>
      <c r="E2232" s="279"/>
      <c r="F2232" s="279"/>
      <c r="G2232" s="279"/>
      <c r="H2232" s="279">
        <f>H2231</f>
        <v>350000</v>
      </c>
    </row>
    <row r="2233" spans="1:8" s="8" customFormat="1" ht="19.5" customHeight="1" thickBot="1">
      <c r="A2233" s="394">
        <v>926</v>
      </c>
      <c r="B2233" s="394"/>
      <c r="C2233" s="394"/>
      <c r="D2233" s="394" t="s">
        <v>1045</v>
      </c>
      <c r="E2233" s="377"/>
      <c r="F2233" s="377"/>
      <c r="G2233" s="377"/>
      <c r="H2233" s="377">
        <f>H2234</f>
        <v>145000</v>
      </c>
    </row>
    <row r="2234" spans="1:8" s="8" customFormat="1" ht="19.5" customHeight="1">
      <c r="A2234" s="18"/>
      <c r="B2234" s="3">
        <v>92601</v>
      </c>
      <c r="C2234" s="3"/>
      <c r="D2234" s="3" t="s">
        <v>1046</v>
      </c>
      <c r="E2234" s="4"/>
      <c r="F2234" s="4"/>
      <c r="G2234" s="4"/>
      <c r="H2234" s="4">
        <f>H2236</f>
        <v>145000</v>
      </c>
    </row>
    <row r="2235" spans="1:8" s="8" customFormat="1" ht="19.5" customHeight="1">
      <c r="A2235" s="86"/>
      <c r="B2235" s="86"/>
      <c r="C2235" s="18"/>
      <c r="D2235" s="316" t="s">
        <v>890</v>
      </c>
      <c r="E2235" s="152"/>
      <c r="F2235" s="152"/>
      <c r="G2235" s="152"/>
      <c r="H2235" s="152">
        <f>H2236</f>
        <v>145000</v>
      </c>
    </row>
    <row r="2236" spans="1:8" s="8" customFormat="1" ht="19.5" customHeight="1">
      <c r="A2236" s="107"/>
      <c r="B2236" s="107"/>
      <c r="C2236" s="22">
        <v>4270</v>
      </c>
      <c r="D2236" s="20" t="s">
        <v>753</v>
      </c>
      <c r="E2236" s="6"/>
      <c r="F2236" s="6"/>
      <c r="G2236" s="6"/>
      <c r="H2236" s="6">
        <v>145000</v>
      </c>
    </row>
    <row r="2237" spans="1:8" ht="20.25" customHeight="1">
      <c r="A2237" s="193"/>
      <c r="B2237" s="193"/>
      <c r="C2237" s="193"/>
      <c r="D2237" s="1096" t="s">
        <v>203</v>
      </c>
      <c r="E2237" s="1097">
        <f>E2238+E2250</f>
        <v>29800</v>
      </c>
      <c r="F2237" s="1097"/>
      <c r="G2237" s="1097">
        <f>G2259+G2720+G2715</f>
        <v>62405942</v>
      </c>
      <c r="H2237" s="1097"/>
    </row>
    <row r="2238" spans="1:8" ht="19.5" customHeight="1" thickBot="1">
      <c r="A2238" s="158"/>
      <c r="B2238" s="158"/>
      <c r="C2238" s="158"/>
      <c r="D2238" s="159" t="s">
        <v>461</v>
      </c>
      <c r="E2238" s="160">
        <f>E2239+E2246</f>
        <v>4600</v>
      </c>
      <c r="F2238" s="160"/>
      <c r="G2238" s="160"/>
      <c r="H2238" s="160"/>
    </row>
    <row r="2239" spans="1:8" ht="19.5" customHeight="1" thickBot="1" thickTop="1">
      <c r="A2239" s="405">
        <v>700</v>
      </c>
      <c r="B2239" s="405"/>
      <c r="C2239" s="405"/>
      <c r="D2239" s="405" t="s">
        <v>433</v>
      </c>
      <c r="E2239" s="406">
        <f>E2240+E2243</f>
        <v>3600</v>
      </c>
      <c r="F2239" s="406"/>
      <c r="G2239" s="406"/>
      <c r="H2239" s="406"/>
    </row>
    <row r="2240" spans="1:8" s="184" customFormat="1" ht="19.5" customHeight="1">
      <c r="A2240" s="55"/>
      <c r="B2240" s="165">
        <v>70001</v>
      </c>
      <c r="C2240" s="165"/>
      <c r="D2240" s="165" t="s">
        <v>434</v>
      </c>
      <c r="E2240" s="167">
        <f>E2241</f>
        <v>2100</v>
      </c>
      <c r="F2240" s="167"/>
      <c r="G2240" s="167"/>
      <c r="H2240" s="167"/>
    </row>
    <row r="2241" spans="1:8" s="174" customFormat="1" ht="25.5">
      <c r="A2241" s="170"/>
      <c r="B2241" s="170"/>
      <c r="C2241" s="211"/>
      <c r="D2241" s="205" t="s">
        <v>168</v>
      </c>
      <c r="E2241" s="169">
        <f>E2242</f>
        <v>2100</v>
      </c>
      <c r="F2241" s="169"/>
      <c r="G2241" s="169"/>
      <c r="H2241" s="169"/>
    </row>
    <row r="2242" spans="1:8" s="174" customFormat="1" ht="19.5" customHeight="1">
      <c r="A2242" s="181"/>
      <c r="B2242" s="188"/>
      <c r="C2242" s="188" t="s">
        <v>1080</v>
      </c>
      <c r="D2242" s="189" t="s">
        <v>282</v>
      </c>
      <c r="E2242" s="176">
        <v>2100</v>
      </c>
      <c r="F2242" s="176"/>
      <c r="G2242" s="176"/>
      <c r="H2242" s="176"/>
    </row>
    <row r="2243" spans="1:8" s="174" customFormat="1" ht="19.5" customHeight="1">
      <c r="A2243" s="254"/>
      <c r="B2243" s="182">
        <v>70005</v>
      </c>
      <c r="C2243" s="182"/>
      <c r="D2243" s="182" t="s">
        <v>435</v>
      </c>
      <c r="E2243" s="183">
        <f>E2244</f>
        <v>1500</v>
      </c>
      <c r="F2243" s="183"/>
      <c r="G2243" s="183"/>
      <c r="H2243" s="183"/>
    </row>
    <row r="2244" spans="1:8" s="174" customFormat="1" ht="18" customHeight="1">
      <c r="A2244" s="170"/>
      <c r="B2244" s="170"/>
      <c r="C2244" s="170"/>
      <c r="D2244" s="186" t="s">
        <v>543</v>
      </c>
      <c r="E2244" s="169">
        <f>E2245</f>
        <v>1500</v>
      </c>
      <c r="F2244" s="169"/>
      <c r="G2244" s="212"/>
      <c r="H2244" s="212"/>
    </row>
    <row r="2245" spans="1:8" s="174" customFormat="1" ht="19.5" customHeight="1">
      <c r="A2245" s="181"/>
      <c r="B2245" s="188"/>
      <c r="C2245" s="188" t="s">
        <v>1064</v>
      </c>
      <c r="D2245" s="189" t="s">
        <v>882</v>
      </c>
      <c r="E2245" s="176">
        <v>1500</v>
      </c>
      <c r="F2245" s="176"/>
      <c r="G2245" s="176"/>
      <c r="H2245" s="176"/>
    </row>
    <row r="2246" spans="1:8" ht="19.5" customHeight="1" thickBot="1">
      <c r="A2246" s="405">
        <v>852</v>
      </c>
      <c r="B2246" s="405"/>
      <c r="C2246" s="405"/>
      <c r="D2246" s="426" t="s">
        <v>129</v>
      </c>
      <c r="E2246" s="406">
        <f>E2247</f>
        <v>1000</v>
      </c>
      <c r="F2246" s="406"/>
      <c r="G2246" s="406"/>
      <c r="H2246" s="406"/>
    </row>
    <row r="2247" spans="1:8" ht="19.5" customHeight="1">
      <c r="A2247" s="55"/>
      <c r="B2247" s="165">
        <v>85215</v>
      </c>
      <c r="C2247" s="165"/>
      <c r="D2247" s="213" t="s">
        <v>615</v>
      </c>
      <c r="E2247" s="214">
        <f>E2248</f>
        <v>1000</v>
      </c>
      <c r="F2247" s="214"/>
      <c r="G2247" s="214"/>
      <c r="H2247" s="214"/>
    </row>
    <row r="2248" spans="1:8" ht="19.5" customHeight="1">
      <c r="A2248" s="56"/>
      <c r="B2248" s="1076"/>
      <c r="C2248" s="1077"/>
      <c r="D2248" s="195" t="s">
        <v>283</v>
      </c>
      <c r="E2248" s="169">
        <f>E2249</f>
        <v>1000</v>
      </c>
      <c r="F2248" s="169"/>
      <c r="G2248" s="169"/>
      <c r="H2248" s="169"/>
    </row>
    <row r="2249" spans="1:8" ht="19.5" customHeight="1">
      <c r="A2249" s="170"/>
      <c r="B2249" s="170"/>
      <c r="C2249" s="76" t="s">
        <v>1064</v>
      </c>
      <c r="D2249" s="77" t="s">
        <v>882</v>
      </c>
      <c r="E2249" s="190">
        <v>1000</v>
      </c>
      <c r="F2249" s="190"/>
      <c r="G2249" s="190"/>
      <c r="H2249" s="190"/>
    </row>
    <row r="2250" spans="1:8" s="8" customFormat="1" ht="21" customHeight="1" thickBot="1">
      <c r="A2250" s="18"/>
      <c r="B2250" s="92"/>
      <c r="C2250" s="92"/>
      <c r="D2250" s="84" t="s">
        <v>101</v>
      </c>
      <c r="E2250" s="85">
        <f>E2251+E2255</f>
        <v>25200</v>
      </c>
      <c r="F2250" s="85"/>
      <c r="G2250" s="85"/>
      <c r="H2250" s="85"/>
    </row>
    <row r="2251" spans="1:8" s="8" customFormat="1" ht="19.5" customHeight="1" thickBot="1" thickTop="1">
      <c r="A2251" s="394">
        <v>630</v>
      </c>
      <c r="B2251" s="428"/>
      <c r="C2251" s="428"/>
      <c r="D2251" s="395" t="s">
        <v>430</v>
      </c>
      <c r="E2251" s="377">
        <f>E2252</f>
        <v>200</v>
      </c>
      <c r="F2251" s="377"/>
      <c r="G2251" s="377"/>
      <c r="H2251" s="377"/>
    </row>
    <row r="2252" spans="1:8" s="8" customFormat="1" ht="19.5" customHeight="1">
      <c r="A2252" s="18"/>
      <c r="B2252" s="63">
        <v>63001</v>
      </c>
      <c r="C2252" s="19"/>
      <c r="D2252" s="37" t="s">
        <v>431</v>
      </c>
      <c r="E2252" s="4">
        <f>E2253</f>
        <v>200</v>
      </c>
      <c r="F2252" s="4"/>
      <c r="G2252" s="4"/>
      <c r="H2252" s="4"/>
    </row>
    <row r="2253" spans="1:8" s="8" customFormat="1" ht="25.5">
      <c r="A2253" s="18"/>
      <c r="B2253" s="92"/>
      <c r="C2253" s="92"/>
      <c r="D2253" s="74" t="s">
        <v>168</v>
      </c>
      <c r="E2253" s="17">
        <f>E2254</f>
        <v>200</v>
      </c>
      <c r="F2253" s="17"/>
      <c r="G2253" s="17"/>
      <c r="H2253" s="17"/>
    </row>
    <row r="2254" spans="1:8" s="8" customFormat="1" ht="19.5" customHeight="1">
      <c r="A2254" s="22"/>
      <c r="B2254" s="19"/>
      <c r="C2254" s="19" t="s">
        <v>1080</v>
      </c>
      <c r="D2254" s="20" t="s">
        <v>282</v>
      </c>
      <c r="E2254" s="6">
        <v>200</v>
      </c>
      <c r="F2254" s="6"/>
      <c r="G2254" s="6"/>
      <c r="H2254" s="6"/>
    </row>
    <row r="2255" spans="1:8" s="8" customFormat="1" ht="26.25" thickBot="1">
      <c r="A2255" s="287">
        <v>756</v>
      </c>
      <c r="B2255" s="395"/>
      <c r="C2255" s="395"/>
      <c r="D2255" s="429" t="s">
        <v>380</v>
      </c>
      <c r="E2255" s="388">
        <f>E2256</f>
        <v>25000</v>
      </c>
      <c r="F2255" s="388"/>
      <c r="G2255" s="388"/>
      <c r="H2255" s="388"/>
    </row>
    <row r="2256" spans="1:8" s="8" customFormat="1" ht="25.5">
      <c r="A2256" s="215"/>
      <c r="B2256" s="67">
        <v>75618</v>
      </c>
      <c r="C2256" s="67"/>
      <c r="D2256" s="216" t="s">
        <v>989</v>
      </c>
      <c r="E2256" s="34">
        <f>E2257</f>
        <v>25000</v>
      </c>
      <c r="F2256" s="34"/>
      <c r="G2256" s="34"/>
      <c r="H2256" s="34"/>
    </row>
    <row r="2257" spans="1:8" s="8" customFormat="1" ht="19.5" customHeight="1">
      <c r="A2257" s="217"/>
      <c r="B2257" s="218"/>
      <c r="C2257" s="219"/>
      <c r="D2257" s="74" t="s">
        <v>579</v>
      </c>
      <c r="E2257" s="96">
        <f>E2258</f>
        <v>25000</v>
      </c>
      <c r="F2257" s="96"/>
      <c r="G2257" s="96"/>
      <c r="H2257" s="96"/>
    </row>
    <row r="2258" spans="1:8" s="8" customFormat="1" ht="19.5" customHeight="1">
      <c r="A2258" s="220"/>
      <c r="B2258" s="221"/>
      <c r="C2258" s="92" t="s">
        <v>728</v>
      </c>
      <c r="D2258" s="354" t="s">
        <v>512</v>
      </c>
      <c r="E2258" s="353">
        <v>25000</v>
      </c>
      <c r="F2258" s="353"/>
      <c r="G2258" s="353"/>
      <c r="H2258" s="353"/>
    </row>
    <row r="2259" spans="1:8" ht="21" customHeight="1" thickBot="1">
      <c r="A2259" s="158"/>
      <c r="B2259" s="158"/>
      <c r="C2259" s="1078"/>
      <c r="D2259" s="349" t="s">
        <v>646</v>
      </c>
      <c r="E2259" s="267"/>
      <c r="F2259" s="267"/>
      <c r="G2259" s="267">
        <f>G2260+G2270+G2289+G2293+G2430+G2451+G2491+G2610+G2441</f>
        <v>61843942</v>
      </c>
      <c r="H2259" s="267"/>
    </row>
    <row r="2260" spans="1:8" ht="18.75" customHeight="1" thickBot="1" thickTop="1">
      <c r="A2260" s="375">
        <v>630</v>
      </c>
      <c r="B2260" s="375"/>
      <c r="C2260" s="375"/>
      <c r="D2260" s="375" t="s">
        <v>430</v>
      </c>
      <c r="E2260" s="378"/>
      <c r="F2260" s="378"/>
      <c r="G2260" s="378">
        <f>G2261+G2264</f>
        <v>244000</v>
      </c>
      <c r="H2260" s="378"/>
    </row>
    <row r="2261" spans="1:8" ht="18.75" customHeight="1">
      <c r="A2261" s="86"/>
      <c r="B2261" s="3">
        <v>63001</v>
      </c>
      <c r="C2261" s="3"/>
      <c r="D2261" s="3" t="s">
        <v>431</v>
      </c>
      <c r="E2261" s="4"/>
      <c r="F2261" s="4"/>
      <c r="G2261" s="4">
        <f>G2262</f>
        <v>194000</v>
      </c>
      <c r="H2261" s="4"/>
    </row>
    <row r="2262" spans="1:8" ht="18.75" customHeight="1">
      <c r="A2262" s="86"/>
      <c r="B2262" s="86"/>
      <c r="C2262" s="86"/>
      <c r="D2262" s="87" t="s">
        <v>756</v>
      </c>
      <c r="E2262" s="236"/>
      <c r="F2262" s="236"/>
      <c r="G2262" s="17">
        <f>G2263</f>
        <v>194000</v>
      </c>
      <c r="H2262" s="17"/>
    </row>
    <row r="2263" spans="1:8" ht="18.75" customHeight="1">
      <c r="A2263" s="107"/>
      <c r="B2263" s="107"/>
      <c r="C2263" s="237">
        <v>2650</v>
      </c>
      <c r="D2263" s="238" t="s">
        <v>393</v>
      </c>
      <c r="E2263" s="239"/>
      <c r="F2263" s="239"/>
      <c r="G2263" s="228">
        <v>194000</v>
      </c>
      <c r="H2263" s="228"/>
    </row>
    <row r="2264" spans="1:8" ht="18.75" customHeight="1">
      <c r="A2264" s="193"/>
      <c r="B2264" s="13">
        <v>63003</v>
      </c>
      <c r="C2264" s="13"/>
      <c r="D2264" s="13" t="s">
        <v>432</v>
      </c>
      <c r="E2264" s="15"/>
      <c r="F2264" s="15"/>
      <c r="G2264" s="15">
        <f>G2265</f>
        <v>50000</v>
      </c>
      <c r="H2264" s="15"/>
    </row>
    <row r="2265" spans="1:8" ht="18.75" customHeight="1">
      <c r="A2265" s="56"/>
      <c r="B2265" s="86"/>
      <c r="C2265" s="86"/>
      <c r="D2265" s="16" t="s">
        <v>189</v>
      </c>
      <c r="E2265" s="17"/>
      <c r="F2265" s="17"/>
      <c r="G2265" s="17">
        <f>SUM(G2268:G2269)</f>
        <v>50000</v>
      </c>
      <c r="H2265" s="17"/>
    </row>
    <row r="2266" spans="1:8" ht="18.75" customHeight="1">
      <c r="A2266" s="56"/>
      <c r="B2266" s="86"/>
      <c r="C2266" s="86"/>
      <c r="D2266" s="248" t="s">
        <v>556</v>
      </c>
      <c r="E2266" s="249"/>
      <c r="F2266" s="249"/>
      <c r="G2266" s="249">
        <v>21000</v>
      </c>
      <c r="H2266" s="249"/>
    </row>
    <row r="2267" spans="1:8" ht="27.75" customHeight="1">
      <c r="A2267" s="56"/>
      <c r="B2267" s="86"/>
      <c r="C2267" s="86"/>
      <c r="D2267" s="332" t="s">
        <v>809</v>
      </c>
      <c r="E2267" s="296"/>
      <c r="F2267" s="296"/>
      <c r="G2267" s="296">
        <v>7000</v>
      </c>
      <c r="H2267" s="296"/>
    </row>
    <row r="2268" spans="1:8" ht="30" customHeight="1">
      <c r="A2268" s="56"/>
      <c r="B2268" s="56"/>
      <c r="C2268" s="201">
        <v>2820</v>
      </c>
      <c r="D2268" s="189" t="s">
        <v>303</v>
      </c>
      <c r="E2268" s="176"/>
      <c r="F2268" s="176"/>
      <c r="G2268" s="176">
        <f>G2266+G2267</f>
        <v>28000</v>
      </c>
      <c r="H2268" s="176"/>
    </row>
    <row r="2269" spans="1:8" ht="18.75" customHeight="1">
      <c r="A2269" s="158"/>
      <c r="B2269" s="158"/>
      <c r="C2269" s="181">
        <v>4300</v>
      </c>
      <c r="D2269" s="181" t="s">
        <v>815</v>
      </c>
      <c r="E2269" s="176"/>
      <c r="F2269" s="176"/>
      <c r="G2269" s="176">
        <v>22000</v>
      </c>
      <c r="H2269" s="176"/>
    </row>
    <row r="2270" spans="1:8" s="1" customFormat="1" ht="18.75" customHeight="1" thickBot="1">
      <c r="A2270" s="394">
        <v>700</v>
      </c>
      <c r="B2270" s="394"/>
      <c r="C2270" s="394"/>
      <c r="D2270" s="394" t="s">
        <v>433</v>
      </c>
      <c r="E2270" s="377"/>
      <c r="F2270" s="377"/>
      <c r="G2270" s="377">
        <f>G2271+G2281</f>
        <v>10186000</v>
      </c>
      <c r="H2270" s="377"/>
    </row>
    <row r="2271" spans="1:8" ht="18.75" customHeight="1">
      <c r="A2271" s="86"/>
      <c r="B2271" s="3">
        <v>70001</v>
      </c>
      <c r="C2271" s="3"/>
      <c r="D2271" s="3" t="s">
        <v>434</v>
      </c>
      <c r="E2271" s="4"/>
      <c r="F2271" s="4"/>
      <c r="G2271" s="4">
        <f>G2272</f>
        <v>10000000</v>
      </c>
      <c r="H2271" s="4"/>
    </row>
    <row r="2272" spans="1:8" ht="18.75" customHeight="1">
      <c r="A2272" s="86"/>
      <c r="B2272" s="122"/>
      <c r="C2272" s="128"/>
      <c r="D2272" s="348" t="s">
        <v>453</v>
      </c>
      <c r="E2272" s="17"/>
      <c r="F2272" s="17"/>
      <c r="G2272" s="17">
        <f>G2278+G2280</f>
        <v>10000000</v>
      </c>
      <c r="H2272" s="17"/>
    </row>
    <row r="2273" spans="1:8" ht="25.5">
      <c r="A2273" s="86"/>
      <c r="B2273" s="86"/>
      <c r="C2273" s="18"/>
      <c r="D2273" s="240" t="s">
        <v>676</v>
      </c>
      <c r="E2273" s="10"/>
      <c r="F2273" s="10"/>
      <c r="G2273" s="249">
        <v>200000</v>
      </c>
      <c r="H2273" s="249"/>
    </row>
    <row r="2274" spans="1:8" ht="18" customHeight="1">
      <c r="A2274" s="86"/>
      <c r="B2274" s="86"/>
      <c r="C2274" s="18"/>
      <c r="D2274" s="241" t="s">
        <v>963</v>
      </c>
      <c r="E2274" s="11"/>
      <c r="F2274" s="11"/>
      <c r="G2274" s="296">
        <f>2200000+1500000</f>
        <v>3700000</v>
      </c>
      <c r="H2274" s="296"/>
    </row>
    <row r="2275" spans="1:8" ht="18" customHeight="1">
      <c r="A2275" s="86"/>
      <c r="B2275" s="86"/>
      <c r="C2275" s="18"/>
      <c r="D2275" s="242" t="s">
        <v>837</v>
      </c>
      <c r="E2275" s="11"/>
      <c r="F2275" s="11"/>
      <c r="G2275" s="296">
        <f>2090000+850000</f>
        <v>2940000</v>
      </c>
      <c r="H2275" s="296"/>
    </row>
    <row r="2276" spans="1:8" ht="18" customHeight="1">
      <c r="A2276" s="86"/>
      <c r="B2276" s="86"/>
      <c r="C2276" s="18"/>
      <c r="D2276" s="242" t="s">
        <v>838</v>
      </c>
      <c r="E2276" s="11"/>
      <c r="F2276" s="11"/>
      <c r="G2276" s="296">
        <f>160000+160000</f>
        <v>320000</v>
      </c>
      <c r="H2276" s="296"/>
    </row>
    <row r="2277" spans="1:8" ht="18" customHeight="1">
      <c r="A2277" s="86"/>
      <c r="B2277" s="86"/>
      <c r="C2277" s="18"/>
      <c r="D2277" s="242" t="s">
        <v>839</v>
      </c>
      <c r="E2277" s="11"/>
      <c r="F2277" s="11"/>
      <c r="G2277" s="296">
        <f>850000+490000</f>
        <v>1340000</v>
      </c>
      <c r="H2277" s="296"/>
    </row>
    <row r="2278" spans="1:8" ht="18" customHeight="1">
      <c r="A2278" s="86"/>
      <c r="B2278" s="86"/>
      <c r="C2278" s="22">
        <v>2650</v>
      </c>
      <c r="D2278" s="20" t="s">
        <v>393</v>
      </c>
      <c r="E2278" s="228"/>
      <c r="F2278" s="6"/>
      <c r="G2278" s="176">
        <f>SUM(G2273:G2277)</f>
        <v>8500000</v>
      </c>
      <c r="H2278" s="176"/>
    </row>
    <row r="2279" spans="1:8" ht="18" customHeight="1">
      <c r="A2279" s="86"/>
      <c r="B2279" s="86"/>
      <c r="C2279" s="430"/>
      <c r="D2279" s="380" t="s">
        <v>696</v>
      </c>
      <c r="E2279" s="180"/>
      <c r="F2279" s="180"/>
      <c r="G2279" s="180">
        <v>1500000</v>
      </c>
      <c r="H2279" s="180"/>
    </row>
    <row r="2280" spans="1:8" ht="25.5">
      <c r="A2280" s="86"/>
      <c r="B2280" s="107"/>
      <c r="C2280" s="237">
        <v>6210</v>
      </c>
      <c r="D2280" s="20" t="s">
        <v>697</v>
      </c>
      <c r="E2280" s="176"/>
      <c r="F2280" s="176"/>
      <c r="G2280" s="176">
        <f>G2279</f>
        <v>1500000</v>
      </c>
      <c r="H2280" s="176"/>
    </row>
    <row r="2281" spans="1:8" ht="18" customHeight="1">
      <c r="A2281" s="86"/>
      <c r="B2281" s="25">
        <v>70004</v>
      </c>
      <c r="C2281" s="146"/>
      <c r="D2281" s="67" t="s">
        <v>190</v>
      </c>
      <c r="E2281" s="4"/>
      <c r="F2281" s="4"/>
      <c r="G2281" s="4">
        <f>G2282+G2284+G2286</f>
        <v>186000</v>
      </c>
      <c r="H2281" s="4"/>
    </row>
    <row r="2282" spans="1:8" ht="18" customHeight="1">
      <c r="A2282" s="86"/>
      <c r="B2282" s="86"/>
      <c r="C2282" s="86"/>
      <c r="D2282" s="87" t="s">
        <v>274</v>
      </c>
      <c r="E2282" s="17"/>
      <c r="F2282" s="17"/>
      <c r="G2282" s="17">
        <f>G2283</f>
        <v>100000</v>
      </c>
      <c r="H2282" s="17"/>
    </row>
    <row r="2283" spans="1:8" ht="18" customHeight="1">
      <c r="A2283" s="86"/>
      <c r="B2283" s="86"/>
      <c r="C2283" s="22">
        <v>4300</v>
      </c>
      <c r="D2283" s="22" t="s">
        <v>815</v>
      </c>
      <c r="E2283" s="6"/>
      <c r="F2283" s="6"/>
      <c r="G2283" s="6">
        <v>100000</v>
      </c>
      <c r="H2283" s="6"/>
    </row>
    <row r="2284" spans="1:8" ht="25.5">
      <c r="A2284" s="86"/>
      <c r="B2284" s="86"/>
      <c r="C2284" s="86"/>
      <c r="D2284" s="16" t="s">
        <v>408</v>
      </c>
      <c r="E2284" s="17"/>
      <c r="F2284" s="17"/>
      <c r="G2284" s="17">
        <f>G2285</f>
        <v>26000</v>
      </c>
      <c r="H2284" s="17"/>
    </row>
    <row r="2285" spans="1:8" ht="18.75" customHeight="1">
      <c r="A2285" s="86"/>
      <c r="B2285" s="86"/>
      <c r="C2285" s="22">
        <v>4300</v>
      </c>
      <c r="D2285" s="22" t="s">
        <v>815</v>
      </c>
      <c r="E2285" s="6"/>
      <c r="F2285" s="6"/>
      <c r="G2285" s="6">
        <v>26000</v>
      </c>
      <c r="H2285" s="6"/>
    </row>
    <row r="2286" spans="1:8" s="1" customFormat="1" ht="18.75" customHeight="1">
      <c r="A2286" s="86"/>
      <c r="B2286" s="86"/>
      <c r="C2286" s="86"/>
      <c r="D2286" s="87" t="s">
        <v>394</v>
      </c>
      <c r="E2286" s="236"/>
      <c r="F2286" s="236"/>
      <c r="G2286" s="17">
        <f>SUM(G2287:G2288)</f>
        <v>60000</v>
      </c>
      <c r="H2286" s="17"/>
    </row>
    <row r="2287" spans="1:8" s="1" customFormat="1" ht="18.75" customHeight="1">
      <c r="A2287" s="86"/>
      <c r="B2287" s="86"/>
      <c r="C2287" s="22">
        <v>4590</v>
      </c>
      <c r="D2287" s="22" t="s">
        <v>1003</v>
      </c>
      <c r="E2287" s="342"/>
      <c r="F2287" s="342"/>
      <c r="G2287" s="88">
        <v>35000</v>
      </c>
      <c r="H2287" s="88"/>
    </row>
    <row r="2288" spans="1:8" s="1" customFormat="1" ht="25.5">
      <c r="A2288" s="107"/>
      <c r="B2288" s="107"/>
      <c r="C2288" s="144">
        <v>4600</v>
      </c>
      <c r="D2288" s="252" t="s">
        <v>928</v>
      </c>
      <c r="E2288" s="343"/>
      <c r="F2288" s="343"/>
      <c r="G2288" s="6">
        <v>25000</v>
      </c>
      <c r="H2288" s="6"/>
    </row>
    <row r="2289" spans="1:8" ht="18" customHeight="1" thickBot="1">
      <c r="A2289" s="920">
        <v>750</v>
      </c>
      <c r="B2289" s="920"/>
      <c r="C2289" s="920"/>
      <c r="D2289" s="959" t="s">
        <v>439</v>
      </c>
      <c r="E2289" s="959"/>
      <c r="F2289" s="959"/>
      <c r="G2289" s="954">
        <f>G2290</f>
        <v>42000</v>
      </c>
      <c r="H2289" s="954"/>
    </row>
    <row r="2290" spans="1:8" ht="18" customHeight="1">
      <c r="A2290" s="1137"/>
      <c r="B2290" s="1138">
        <v>75075</v>
      </c>
      <c r="C2290" s="1138"/>
      <c r="D2290" s="1139" t="s">
        <v>993</v>
      </c>
      <c r="E2290" s="1139"/>
      <c r="F2290" s="1139"/>
      <c r="G2290" s="1140">
        <f>G2291</f>
        <v>42000</v>
      </c>
      <c r="H2290" s="1140"/>
    </row>
    <row r="2291" spans="1:8" ht="18" customHeight="1">
      <c r="A2291" s="1141"/>
      <c r="B2291" s="1141"/>
      <c r="C2291" s="1141"/>
      <c r="D2291" s="186" t="s">
        <v>994</v>
      </c>
      <c r="E2291" s="186"/>
      <c r="F2291" s="186"/>
      <c r="G2291" s="608">
        <f>G2292</f>
        <v>42000</v>
      </c>
      <c r="H2291" s="608"/>
    </row>
    <row r="2292" spans="1:8" ht="18" customHeight="1">
      <c r="A2292" s="929"/>
      <c r="B2292" s="181"/>
      <c r="C2292" s="990">
        <v>4300</v>
      </c>
      <c r="D2292" s="984" t="s">
        <v>815</v>
      </c>
      <c r="E2292" s="984"/>
      <c r="F2292" s="984"/>
      <c r="G2292" s="958">
        <v>42000</v>
      </c>
      <c r="H2292" s="958"/>
    </row>
    <row r="2293" spans="1:8" s="1" customFormat="1" ht="18" customHeight="1" thickBot="1">
      <c r="A2293" s="394">
        <v>851</v>
      </c>
      <c r="B2293" s="394"/>
      <c r="C2293" s="394"/>
      <c r="D2293" s="394" t="s">
        <v>106</v>
      </c>
      <c r="E2293" s="377"/>
      <c r="F2293" s="377"/>
      <c r="G2293" s="377">
        <f>G2294+G2300+G2303+G2331+G2425</f>
        <v>3718886</v>
      </c>
      <c r="H2293" s="377"/>
    </row>
    <row r="2294" spans="1:8" s="1" customFormat="1" ht="18" customHeight="1">
      <c r="A2294" s="2"/>
      <c r="B2294" s="3">
        <v>85121</v>
      </c>
      <c r="C2294" s="45"/>
      <c r="D2294" s="67" t="s">
        <v>105</v>
      </c>
      <c r="E2294" s="4"/>
      <c r="F2294" s="4"/>
      <c r="G2294" s="4">
        <f>G2295+G2298</f>
        <v>660000</v>
      </c>
      <c r="H2294" s="4"/>
    </row>
    <row r="2295" spans="1:8" s="1" customFormat="1" ht="18" customHeight="1">
      <c r="A2295" s="86"/>
      <c r="B2295" s="86"/>
      <c r="C2295" s="18"/>
      <c r="D2295" s="316" t="s">
        <v>771</v>
      </c>
      <c r="E2295" s="66"/>
      <c r="F2295" s="66"/>
      <c r="G2295" s="66">
        <f>G2296+G2297</f>
        <v>50000</v>
      </c>
      <c r="H2295" s="66"/>
    </row>
    <row r="2296" spans="1:8" s="1" customFormat="1" ht="18" customHeight="1">
      <c r="A2296" s="18"/>
      <c r="B2296" s="18"/>
      <c r="C2296" s="22">
        <v>3020</v>
      </c>
      <c r="D2296" s="20" t="s">
        <v>639</v>
      </c>
      <c r="E2296" s="228"/>
      <c r="F2296" s="228"/>
      <c r="G2296" s="228">
        <v>44585</v>
      </c>
      <c r="H2296" s="228"/>
    </row>
    <row r="2297" spans="1:8" s="1" customFormat="1" ht="25.5">
      <c r="A2297" s="18"/>
      <c r="B2297" s="18"/>
      <c r="C2297" s="144">
        <v>4600</v>
      </c>
      <c r="D2297" s="252" t="s">
        <v>928</v>
      </c>
      <c r="E2297" s="65"/>
      <c r="F2297" s="65"/>
      <c r="G2297" s="65">
        <v>5415</v>
      </c>
      <c r="H2297" s="65"/>
    </row>
    <row r="2298" spans="1:8" s="1" customFormat="1" ht="18" customHeight="1">
      <c r="A2298" s="86"/>
      <c r="B2298" s="86"/>
      <c r="C2298" s="18"/>
      <c r="D2298" s="316" t="s">
        <v>62</v>
      </c>
      <c r="E2298" s="66"/>
      <c r="F2298" s="66"/>
      <c r="G2298" s="66">
        <f>G2299</f>
        <v>610000</v>
      </c>
      <c r="H2298" s="66"/>
    </row>
    <row r="2299" spans="1:8" s="1" customFormat="1" ht="18" customHeight="1">
      <c r="A2299" s="18"/>
      <c r="B2299" s="22"/>
      <c r="C2299" s="22">
        <v>4280</v>
      </c>
      <c r="D2299" s="20" t="s">
        <v>304</v>
      </c>
      <c r="E2299" s="228"/>
      <c r="F2299" s="228"/>
      <c r="G2299" s="228">
        <v>610000</v>
      </c>
      <c r="H2299" s="228"/>
    </row>
    <row r="2300" spans="1:8" s="1" customFormat="1" ht="18" customHeight="1">
      <c r="A2300" s="2"/>
      <c r="B2300" s="3">
        <v>85131</v>
      </c>
      <c r="C2300" s="45"/>
      <c r="D2300" s="67" t="s">
        <v>422</v>
      </c>
      <c r="E2300" s="4"/>
      <c r="F2300" s="4"/>
      <c r="G2300" s="4">
        <f>G2301</f>
        <v>800000</v>
      </c>
      <c r="H2300" s="4"/>
    </row>
    <row r="2301" spans="1:8" s="1" customFormat="1" ht="18" customHeight="1">
      <c r="A2301" s="86"/>
      <c r="B2301" s="122"/>
      <c r="C2301" s="128"/>
      <c r="D2301" s="348" t="s">
        <v>723</v>
      </c>
      <c r="E2301" s="66"/>
      <c r="F2301" s="66"/>
      <c r="G2301" s="66">
        <f>G2302</f>
        <v>800000</v>
      </c>
      <c r="H2301" s="66"/>
    </row>
    <row r="2302" spans="1:8" s="1" customFormat="1" ht="18" customHeight="1">
      <c r="A2302" s="86"/>
      <c r="B2302" s="107"/>
      <c r="C2302" s="22">
        <v>4280</v>
      </c>
      <c r="D2302" s="147" t="s">
        <v>304</v>
      </c>
      <c r="E2302" s="228"/>
      <c r="F2302" s="228"/>
      <c r="G2302" s="228">
        <v>800000</v>
      </c>
      <c r="H2302" s="228"/>
    </row>
    <row r="2303" spans="1:8" s="1" customFormat="1" ht="18" customHeight="1">
      <c r="A2303" s="86"/>
      <c r="B2303" s="13">
        <v>85153</v>
      </c>
      <c r="C2303" s="13"/>
      <c r="D2303" s="13" t="s">
        <v>694</v>
      </c>
      <c r="E2303" s="15"/>
      <c r="F2303" s="15"/>
      <c r="G2303" s="15">
        <f>G2304</f>
        <v>195000</v>
      </c>
      <c r="H2303" s="15"/>
    </row>
    <row r="2304" spans="1:8" s="1" customFormat="1" ht="18" customHeight="1">
      <c r="A2304" s="277"/>
      <c r="B2304" s="292"/>
      <c r="C2304" s="122"/>
      <c r="D2304" s="16" t="s">
        <v>467</v>
      </c>
      <c r="E2304" s="17"/>
      <c r="F2304" s="17"/>
      <c r="G2304" s="17">
        <f>G2305+G2312+G2322+G2326</f>
        <v>195000</v>
      </c>
      <c r="H2304" s="17"/>
    </row>
    <row r="2305" spans="1:8" s="1" customFormat="1" ht="25.5">
      <c r="A2305" s="277"/>
      <c r="B2305" s="277"/>
      <c r="C2305" s="86"/>
      <c r="D2305" s="288" t="s">
        <v>468</v>
      </c>
      <c r="E2305" s="289"/>
      <c r="F2305" s="289"/>
      <c r="G2305" s="289">
        <f>G2307+G2309+G2310+G2311</f>
        <v>90000</v>
      </c>
      <c r="H2305" s="289"/>
    </row>
    <row r="2306" spans="1:8" s="1" customFormat="1" ht="19.5" customHeight="1">
      <c r="A2306" s="277"/>
      <c r="B2306" s="277"/>
      <c r="C2306" s="86"/>
      <c r="D2306" s="372" t="s">
        <v>537</v>
      </c>
      <c r="E2306" s="373"/>
      <c r="F2306" s="373"/>
      <c r="G2306" s="373">
        <v>30000</v>
      </c>
      <c r="H2306" s="373"/>
    </row>
    <row r="2307" spans="1:8" s="8" customFormat="1" ht="25.5" customHeight="1">
      <c r="A2307" s="277"/>
      <c r="B2307" s="277"/>
      <c r="C2307" s="22">
        <v>2820</v>
      </c>
      <c r="D2307" s="20" t="s">
        <v>303</v>
      </c>
      <c r="E2307" s="6"/>
      <c r="F2307" s="6"/>
      <c r="G2307" s="6">
        <f>G2306</f>
        <v>30000</v>
      </c>
      <c r="H2307" s="6"/>
    </row>
    <row r="2308" spans="1:8" s="8" customFormat="1" ht="18.75" customHeight="1">
      <c r="A2308" s="18"/>
      <c r="B2308" s="18"/>
      <c r="C2308" s="18"/>
      <c r="D2308" s="290" t="s">
        <v>735</v>
      </c>
      <c r="E2308" s="231"/>
      <c r="F2308" s="231"/>
      <c r="G2308" s="231">
        <v>8000</v>
      </c>
      <c r="H2308" s="231"/>
    </row>
    <row r="2309" spans="1:8" s="1" customFormat="1" ht="25.5">
      <c r="A2309" s="277"/>
      <c r="B2309" s="277"/>
      <c r="C2309" s="237">
        <v>2830</v>
      </c>
      <c r="D2309" s="20" t="s">
        <v>278</v>
      </c>
      <c r="E2309" s="6"/>
      <c r="F2309" s="6"/>
      <c r="G2309" s="6">
        <f>G2308</f>
        <v>8000</v>
      </c>
      <c r="H2309" s="6"/>
    </row>
    <row r="2310" spans="1:8" s="8" customFormat="1" ht="18" customHeight="1">
      <c r="A2310" s="18"/>
      <c r="B2310" s="18"/>
      <c r="C2310" s="22">
        <v>4280</v>
      </c>
      <c r="D2310" s="20" t="s">
        <v>304</v>
      </c>
      <c r="E2310" s="6"/>
      <c r="F2310" s="6"/>
      <c r="G2310" s="6">
        <v>36000</v>
      </c>
      <c r="H2310" s="6"/>
    </row>
    <row r="2311" spans="1:8" s="8" customFormat="1" ht="18" customHeight="1">
      <c r="A2311" s="277"/>
      <c r="B2311" s="277"/>
      <c r="C2311" s="22">
        <v>4300</v>
      </c>
      <c r="D2311" s="22" t="s">
        <v>815</v>
      </c>
      <c r="E2311" s="6"/>
      <c r="F2311" s="6"/>
      <c r="G2311" s="6">
        <v>16000</v>
      </c>
      <c r="H2311" s="6"/>
    </row>
    <row r="2312" spans="1:8" s="8" customFormat="1" ht="25.5">
      <c r="A2312" s="277"/>
      <c r="B2312" s="277"/>
      <c r="C2312" s="86"/>
      <c r="D2312" s="273" t="s">
        <v>895</v>
      </c>
      <c r="E2312" s="274"/>
      <c r="F2312" s="274"/>
      <c r="G2312" s="274">
        <f>G2314+G2317+G2318+G2319+G2320+G2321</f>
        <v>74900</v>
      </c>
      <c r="H2312" s="274"/>
    </row>
    <row r="2313" spans="1:8" s="8" customFormat="1" ht="25.5">
      <c r="A2313" s="18"/>
      <c r="B2313" s="18"/>
      <c r="C2313" s="18"/>
      <c r="D2313" s="290" t="s">
        <v>50</v>
      </c>
      <c r="E2313" s="231"/>
      <c r="F2313" s="231"/>
      <c r="G2313" s="231">
        <v>25000</v>
      </c>
      <c r="H2313" s="231"/>
    </row>
    <row r="2314" spans="1:8" s="8" customFormat="1" ht="25.5" customHeight="1">
      <c r="A2314" s="277"/>
      <c r="B2314" s="277"/>
      <c r="C2314" s="18">
        <v>2810</v>
      </c>
      <c r="D2314" s="221" t="s">
        <v>279</v>
      </c>
      <c r="E2314" s="279"/>
      <c r="F2314" s="279"/>
      <c r="G2314" s="279">
        <f>G2313</f>
        <v>25000</v>
      </c>
      <c r="H2314" s="279"/>
    </row>
    <row r="2315" spans="1:8" s="8" customFormat="1" ht="18" customHeight="1">
      <c r="A2315" s="18"/>
      <c r="B2315" s="18"/>
      <c r="C2315" s="128"/>
      <c r="D2315" s="293" t="s">
        <v>469</v>
      </c>
      <c r="E2315" s="178"/>
      <c r="F2315" s="178"/>
      <c r="G2315" s="178">
        <v>30000</v>
      </c>
      <c r="H2315" s="178"/>
    </row>
    <row r="2316" spans="1:8" s="1" customFormat="1" ht="18" customHeight="1">
      <c r="A2316" s="277"/>
      <c r="B2316" s="277"/>
      <c r="C2316" s="86"/>
      <c r="D2316" s="290" t="s">
        <v>580</v>
      </c>
      <c r="E2316" s="231"/>
      <c r="F2316" s="231"/>
      <c r="G2316" s="231">
        <v>10000</v>
      </c>
      <c r="H2316" s="231"/>
    </row>
    <row r="2317" spans="1:8" s="1" customFormat="1" ht="26.25" customHeight="1">
      <c r="A2317" s="291"/>
      <c r="B2317" s="291"/>
      <c r="C2317" s="22">
        <v>2820</v>
      </c>
      <c r="D2317" s="238" t="s">
        <v>303</v>
      </c>
      <c r="E2317" s="228"/>
      <c r="F2317" s="228"/>
      <c r="G2317" s="228">
        <f>SUM(G2315:G2316)</f>
        <v>40000</v>
      </c>
      <c r="H2317" s="228"/>
    </row>
    <row r="2318" spans="1:8" s="1" customFormat="1" ht="19.5" customHeight="1">
      <c r="A2318" s="292"/>
      <c r="B2318" s="292"/>
      <c r="C2318" s="144">
        <v>4110</v>
      </c>
      <c r="D2318" s="252" t="s">
        <v>681</v>
      </c>
      <c r="E2318" s="65"/>
      <c r="F2318" s="65"/>
      <c r="G2318" s="65">
        <v>150</v>
      </c>
      <c r="H2318" s="65"/>
    </row>
    <row r="2319" spans="1:8" s="1" customFormat="1" ht="19.5" customHeight="1">
      <c r="A2319" s="277"/>
      <c r="B2319" s="277"/>
      <c r="C2319" s="22">
        <v>4120</v>
      </c>
      <c r="D2319" s="20" t="s">
        <v>682</v>
      </c>
      <c r="E2319" s="6"/>
      <c r="F2319" s="6"/>
      <c r="G2319" s="6">
        <v>50</v>
      </c>
      <c r="H2319" s="6"/>
    </row>
    <row r="2320" spans="1:8" s="1" customFormat="1" ht="19.5" customHeight="1">
      <c r="A2320" s="277"/>
      <c r="B2320" s="277"/>
      <c r="C2320" s="237">
        <v>4170</v>
      </c>
      <c r="D2320" s="20" t="s">
        <v>740</v>
      </c>
      <c r="E2320" s="6"/>
      <c r="F2320" s="6"/>
      <c r="G2320" s="6">
        <f>5000-100</f>
        <v>4900</v>
      </c>
      <c r="H2320" s="6"/>
    </row>
    <row r="2321" spans="1:8" s="8" customFormat="1" ht="19.5" customHeight="1">
      <c r="A2321" s="277"/>
      <c r="B2321" s="277"/>
      <c r="C2321" s="144">
        <v>4300</v>
      </c>
      <c r="D2321" s="252" t="s">
        <v>815</v>
      </c>
      <c r="E2321" s="65"/>
      <c r="F2321" s="65"/>
      <c r="G2321" s="65">
        <v>4800</v>
      </c>
      <c r="H2321" s="65"/>
    </row>
    <row r="2322" spans="1:8" s="8" customFormat="1" ht="38.25">
      <c r="A2322" s="277"/>
      <c r="B2322" s="277"/>
      <c r="C2322" s="128"/>
      <c r="D2322" s="273" t="s">
        <v>896</v>
      </c>
      <c r="E2322" s="274"/>
      <c r="F2322" s="274"/>
      <c r="G2322" s="274">
        <f>G2324+G2325</f>
        <v>12100</v>
      </c>
      <c r="H2322" s="274"/>
    </row>
    <row r="2323" spans="1:8" s="8" customFormat="1" ht="20.25" customHeight="1">
      <c r="A2323" s="277"/>
      <c r="B2323" s="277"/>
      <c r="C2323" s="18"/>
      <c r="D2323" s="290" t="s">
        <v>580</v>
      </c>
      <c r="E2323" s="357"/>
      <c r="F2323" s="357"/>
      <c r="G2323" s="358">
        <v>12000</v>
      </c>
      <c r="H2323" s="358"/>
    </row>
    <row r="2324" spans="1:8" s="8" customFormat="1" ht="25.5">
      <c r="A2324" s="277"/>
      <c r="B2324" s="277"/>
      <c r="C2324" s="22">
        <v>2820</v>
      </c>
      <c r="D2324" s="20" t="s">
        <v>303</v>
      </c>
      <c r="E2324" s="6"/>
      <c r="F2324" s="6"/>
      <c r="G2324" s="6">
        <f>G2323</f>
        <v>12000</v>
      </c>
      <c r="H2324" s="6"/>
    </row>
    <row r="2325" spans="1:8" s="1" customFormat="1" ht="18" customHeight="1">
      <c r="A2325" s="277"/>
      <c r="B2325" s="277"/>
      <c r="C2325" s="237">
        <v>4170</v>
      </c>
      <c r="D2325" s="20" t="s">
        <v>740</v>
      </c>
      <c r="E2325" s="6"/>
      <c r="F2325" s="6"/>
      <c r="G2325" s="6">
        <v>100</v>
      </c>
      <c r="H2325" s="6"/>
    </row>
    <row r="2326" spans="1:8" s="8" customFormat="1" ht="18" customHeight="1">
      <c r="A2326" s="277"/>
      <c r="B2326" s="277"/>
      <c r="C2326" s="128"/>
      <c r="D2326" s="273" t="s">
        <v>1040</v>
      </c>
      <c r="E2326" s="274"/>
      <c r="F2326" s="274"/>
      <c r="G2326" s="274">
        <f>SUM(G2327:G2330)</f>
        <v>18000</v>
      </c>
      <c r="H2326" s="274"/>
    </row>
    <row r="2327" spans="1:8" s="8" customFormat="1" ht="18" customHeight="1">
      <c r="A2327" s="277"/>
      <c r="B2327" s="277"/>
      <c r="C2327" s="22">
        <v>4210</v>
      </c>
      <c r="D2327" s="20" t="s">
        <v>748</v>
      </c>
      <c r="E2327" s="6"/>
      <c r="F2327" s="6"/>
      <c r="G2327" s="6">
        <v>12000</v>
      </c>
      <c r="H2327" s="6"/>
    </row>
    <row r="2328" spans="1:8" s="8" customFormat="1" ht="18" customHeight="1">
      <c r="A2328" s="277"/>
      <c r="B2328" s="277"/>
      <c r="C2328" s="22">
        <v>4300</v>
      </c>
      <c r="D2328" s="20" t="s">
        <v>815</v>
      </c>
      <c r="E2328" s="6"/>
      <c r="F2328" s="6"/>
      <c r="G2328" s="6">
        <v>4000</v>
      </c>
      <c r="H2328" s="6"/>
    </row>
    <row r="2329" spans="1:8" s="8" customFormat="1" ht="18" customHeight="1">
      <c r="A2329" s="277"/>
      <c r="B2329" s="277"/>
      <c r="C2329" s="22">
        <v>4410</v>
      </c>
      <c r="D2329" s="20" t="s">
        <v>749</v>
      </c>
      <c r="E2329" s="6"/>
      <c r="F2329" s="6"/>
      <c r="G2329" s="6">
        <v>1000</v>
      </c>
      <c r="H2329" s="6"/>
    </row>
    <row r="2330" spans="1:8" s="8" customFormat="1" ht="18" customHeight="1">
      <c r="A2330" s="277"/>
      <c r="B2330" s="291"/>
      <c r="C2330" s="22">
        <v>4700</v>
      </c>
      <c r="D2330" s="20" t="s">
        <v>312</v>
      </c>
      <c r="E2330" s="6"/>
      <c r="F2330" s="6"/>
      <c r="G2330" s="6">
        <v>1000</v>
      </c>
      <c r="H2330" s="6"/>
    </row>
    <row r="2331" spans="1:8" s="1" customFormat="1" ht="18" customHeight="1">
      <c r="A2331" s="86"/>
      <c r="B2331" s="3">
        <v>85154</v>
      </c>
      <c r="C2331" s="3"/>
      <c r="D2331" s="3" t="s">
        <v>124</v>
      </c>
      <c r="E2331" s="4"/>
      <c r="F2331" s="4"/>
      <c r="G2331" s="4">
        <f>G2332</f>
        <v>1933886</v>
      </c>
      <c r="H2331" s="4"/>
    </row>
    <row r="2332" spans="1:8" s="1" customFormat="1" ht="18" customHeight="1">
      <c r="A2332" s="86"/>
      <c r="B2332" s="122"/>
      <c r="C2332" s="122"/>
      <c r="D2332" s="16" t="s">
        <v>470</v>
      </c>
      <c r="E2332" s="17"/>
      <c r="F2332" s="17"/>
      <c r="G2332" s="17">
        <f>G2333+G2343+G2358+G2404+G2415</f>
        <v>1933886</v>
      </c>
      <c r="H2332" s="17"/>
    </row>
    <row r="2333" spans="1:8" s="1" customFormat="1" ht="26.25" customHeight="1">
      <c r="A2333" s="86"/>
      <c r="B2333" s="86"/>
      <c r="C2333" s="86"/>
      <c r="D2333" s="288" t="s">
        <v>67</v>
      </c>
      <c r="E2333" s="289"/>
      <c r="F2333" s="289"/>
      <c r="G2333" s="289">
        <f>G2340+G2341+G2342+G2335</f>
        <v>216400</v>
      </c>
      <c r="H2333" s="289"/>
    </row>
    <row r="2334" spans="1:8" s="1" customFormat="1" ht="26.25" customHeight="1">
      <c r="A2334" s="86"/>
      <c r="B2334" s="86"/>
      <c r="C2334" s="86"/>
      <c r="D2334" s="372" t="s">
        <v>791</v>
      </c>
      <c r="E2334" s="373"/>
      <c r="F2334" s="373"/>
      <c r="G2334" s="373">
        <f>G2335</f>
        <v>15000</v>
      </c>
      <c r="H2334" s="373"/>
    </row>
    <row r="2335" spans="1:8" s="8" customFormat="1" ht="29.25" customHeight="1">
      <c r="A2335" s="18"/>
      <c r="B2335" s="18"/>
      <c r="C2335" s="22">
        <v>2560</v>
      </c>
      <c r="D2335" s="238" t="s">
        <v>792</v>
      </c>
      <c r="E2335" s="900"/>
      <c r="F2335" s="900"/>
      <c r="G2335" s="234">
        <v>15000</v>
      </c>
      <c r="H2335" s="228"/>
    </row>
    <row r="2336" spans="1:8" s="1" customFormat="1" ht="26.25" customHeight="1">
      <c r="A2336" s="86"/>
      <c r="B2336" s="86"/>
      <c r="C2336" s="86"/>
      <c r="D2336" s="453" t="s">
        <v>538</v>
      </c>
      <c r="E2336" s="454"/>
      <c r="F2336" s="454"/>
      <c r="G2336" s="454">
        <v>68000</v>
      </c>
      <c r="H2336" s="454"/>
    </row>
    <row r="2337" spans="1:8" s="324" customFormat="1" ht="25.5">
      <c r="A2337" s="86"/>
      <c r="B2337" s="86"/>
      <c r="C2337" s="86"/>
      <c r="D2337" s="294" t="s">
        <v>63</v>
      </c>
      <c r="E2337" s="11"/>
      <c r="F2337" s="11"/>
      <c r="G2337" s="11">
        <v>16000</v>
      </c>
      <c r="H2337" s="11"/>
    </row>
    <row r="2338" spans="1:8" s="1" customFormat="1" ht="26.25" customHeight="1">
      <c r="A2338" s="86"/>
      <c r="B2338" s="86"/>
      <c r="C2338" s="86"/>
      <c r="D2338" s="294" t="s">
        <v>471</v>
      </c>
      <c r="E2338" s="11"/>
      <c r="F2338" s="11"/>
      <c r="G2338" s="11">
        <v>10000</v>
      </c>
      <c r="H2338" s="11"/>
    </row>
    <row r="2339" spans="1:8" s="1" customFormat="1" ht="26.25" customHeight="1">
      <c r="A2339" s="86"/>
      <c r="B2339" s="86"/>
      <c r="C2339" s="86"/>
      <c r="D2339" s="294" t="s">
        <v>539</v>
      </c>
      <c r="E2339" s="11"/>
      <c r="F2339" s="11"/>
      <c r="G2339" s="11">
        <v>2000</v>
      </c>
      <c r="H2339" s="11"/>
    </row>
    <row r="2340" spans="1:8" s="8" customFormat="1" ht="25.5" customHeight="1">
      <c r="A2340" s="86"/>
      <c r="B2340" s="86"/>
      <c r="C2340" s="22">
        <v>2820</v>
      </c>
      <c r="D2340" s="20" t="s">
        <v>303</v>
      </c>
      <c r="E2340" s="6"/>
      <c r="F2340" s="6"/>
      <c r="G2340" s="6">
        <f>G2339+G2338+G2337+G2336</f>
        <v>96000</v>
      </c>
      <c r="H2340" s="6"/>
    </row>
    <row r="2341" spans="1:8" s="8" customFormat="1" ht="19.5" customHeight="1">
      <c r="A2341" s="86"/>
      <c r="B2341" s="86"/>
      <c r="C2341" s="144">
        <v>4280</v>
      </c>
      <c r="D2341" s="252" t="s">
        <v>304</v>
      </c>
      <c r="E2341" s="65"/>
      <c r="F2341" s="65"/>
      <c r="G2341" s="65">
        <v>70000</v>
      </c>
      <c r="H2341" s="65"/>
    </row>
    <row r="2342" spans="1:8" s="8" customFormat="1" ht="19.5" customHeight="1">
      <c r="A2342" s="107"/>
      <c r="B2342" s="107"/>
      <c r="C2342" s="22">
        <v>4300</v>
      </c>
      <c r="D2342" s="20" t="s">
        <v>815</v>
      </c>
      <c r="E2342" s="6"/>
      <c r="F2342" s="6"/>
      <c r="G2342" s="6">
        <v>35400</v>
      </c>
      <c r="H2342" s="6"/>
    </row>
    <row r="2343" spans="1:8" s="8" customFormat="1" ht="25.5">
      <c r="A2343" s="122"/>
      <c r="B2343" s="122"/>
      <c r="C2343" s="122"/>
      <c r="D2343" s="273" t="s">
        <v>897</v>
      </c>
      <c r="E2343" s="274"/>
      <c r="F2343" s="274"/>
      <c r="G2343" s="274">
        <f>G2346+G2352+G2356+G2357</f>
        <v>322200</v>
      </c>
      <c r="H2343" s="274"/>
    </row>
    <row r="2344" spans="1:8" s="8" customFormat="1" ht="18" customHeight="1">
      <c r="A2344" s="86"/>
      <c r="B2344" s="86"/>
      <c r="C2344" s="86"/>
      <c r="D2344" s="221" t="s">
        <v>497</v>
      </c>
      <c r="E2344" s="279"/>
      <c r="F2344" s="279"/>
      <c r="G2344" s="279">
        <v>60000</v>
      </c>
      <c r="H2344" s="279"/>
    </row>
    <row r="2345" spans="1:8" s="8" customFormat="1" ht="25.5">
      <c r="A2345" s="86"/>
      <c r="B2345" s="86"/>
      <c r="C2345" s="86"/>
      <c r="D2345" s="294" t="s">
        <v>581</v>
      </c>
      <c r="E2345" s="11"/>
      <c r="F2345" s="11"/>
      <c r="G2345" s="11">
        <v>32000</v>
      </c>
      <c r="H2345" s="11"/>
    </row>
    <row r="2346" spans="1:8" s="8" customFormat="1" ht="27" customHeight="1">
      <c r="A2346" s="86"/>
      <c r="B2346" s="86"/>
      <c r="C2346" s="22">
        <v>2810</v>
      </c>
      <c r="D2346" s="20" t="s">
        <v>279</v>
      </c>
      <c r="E2346" s="6"/>
      <c r="F2346" s="6"/>
      <c r="G2346" s="6">
        <f>SUM(G2344:G2345)</f>
        <v>92000</v>
      </c>
      <c r="H2346" s="6"/>
    </row>
    <row r="2347" spans="1:8" s="8" customFormat="1" ht="25.5">
      <c r="A2347" s="86"/>
      <c r="B2347" s="86"/>
      <c r="C2347" s="18"/>
      <c r="D2347" s="293" t="s">
        <v>471</v>
      </c>
      <c r="E2347" s="178"/>
      <c r="F2347" s="178"/>
      <c r="G2347" s="178">
        <v>45000</v>
      </c>
      <c r="H2347" s="178"/>
    </row>
    <row r="2348" spans="1:8" s="8" customFormat="1" ht="38.25">
      <c r="A2348" s="86"/>
      <c r="B2348" s="86"/>
      <c r="C2348" s="18"/>
      <c r="D2348" s="221" t="s">
        <v>69</v>
      </c>
      <c r="E2348" s="231"/>
      <c r="F2348" s="231"/>
      <c r="G2348" s="231">
        <v>36000</v>
      </c>
      <c r="H2348" s="231"/>
    </row>
    <row r="2349" spans="1:8" s="8" customFormat="1" ht="25.5">
      <c r="A2349" s="86"/>
      <c r="B2349" s="86"/>
      <c r="C2349" s="18"/>
      <c r="D2349" s="294" t="s">
        <v>538</v>
      </c>
      <c r="E2349" s="231"/>
      <c r="F2349" s="231"/>
      <c r="G2349" s="231">
        <v>20000</v>
      </c>
      <c r="H2349" s="231"/>
    </row>
    <row r="2350" spans="1:8" s="8" customFormat="1" ht="25.5">
      <c r="A2350" s="86"/>
      <c r="B2350" s="86"/>
      <c r="C2350" s="18"/>
      <c r="D2350" s="290" t="s">
        <v>70</v>
      </c>
      <c r="E2350" s="231"/>
      <c r="F2350" s="231"/>
      <c r="G2350" s="231">
        <v>42000</v>
      </c>
      <c r="H2350" s="231"/>
    </row>
    <row r="2351" spans="1:8" s="8" customFormat="1" ht="25.5">
      <c r="A2351" s="86"/>
      <c r="B2351" s="86"/>
      <c r="C2351" s="18"/>
      <c r="D2351" s="290" t="s">
        <v>1033</v>
      </c>
      <c r="E2351" s="231"/>
      <c r="F2351" s="231"/>
      <c r="G2351" s="231">
        <v>6000</v>
      </c>
      <c r="H2351" s="231"/>
    </row>
    <row r="2352" spans="1:8" s="8" customFormat="1" ht="25.5" customHeight="1">
      <c r="A2352" s="86"/>
      <c r="B2352" s="86"/>
      <c r="C2352" s="22">
        <v>2820</v>
      </c>
      <c r="D2352" s="238" t="s">
        <v>303</v>
      </c>
      <c r="E2352" s="228"/>
      <c r="F2352" s="228"/>
      <c r="G2352" s="228">
        <f>SUM(G2347:G2351)</f>
        <v>149000</v>
      </c>
      <c r="H2352" s="228"/>
    </row>
    <row r="2353" spans="1:8" s="8" customFormat="1" ht="18" customHeight="1">
      <c r="A2353" s="86"/>
      <c r="B2353" s="86"/>
      <c r="C2353" s="18"/>
      <c r="D2353" s="294" t="s">
        <v>498</v>
      </c>
      <c r="E2353" s="11"/>
      <c r="F2353" s="11"/>
      <c r="G2353" s="11">
        <v>35000</v>
      </c>
      <c r="H2353" s="11"/>
    </row>
    <row r="2354" spans="1:8" s="8" customFormat="1" ht="25.5">
      <c r="A2354" s="86"/>
      <c r="B2354" s="86"/>
      <c r="C2354" s="18"/>
      <c r="D2354" s="290" t="s">
        <v>588</v>
      </c>
      <c r="E2354" s="231"/>
      <c r="F2354" s="231"/>
      <c r="G2354" s="231">
        <f>19000-6000</f>
        <v>13000</v>
      </c>
      <c r="H2354" s="231"/>
    </row>
    <row r="2355" spans="1:8" s="8" customFormat="1" ht="38.25">
      <c r="A2355" s="86"/>
      <c r="B2355" s="86"/>
      <c r="C2355" s="18"/>
      <c r="D2355" s="294" t="s">
        <v>898</v>
      </c>
      <c r="E2355" s="231"/>
      <c r="F2355" s="231"/>
      <c r="G2355" s="231">
        <v>14000</v>
      </c>
      <c r="H2355" s="231"/>
    </row>
    <row r="2356" spans="1:8" s="8" customFormat="1" ht="25.5">
      <c r="A2356" s="86"/>
      <c r="B2356" s="86"/>
      <c r="C2356" s="22">
        <v>2830</v>
      </c>
      <c r="D2356" s="20" t="s">
        <v>278</v>
      </c>
      <c r="E2356" s="6"/>
      <c r="F2356" s="6"/>
      <c r="G2356" s="6">
        <f>SUM(G2353:G2355)</f>
        <v>62000</v>
      </c>
      <c r="H2356" s="6"/>
    </row>
    <row r="2357" spans="1:8" s="1" customFormat="1" ht="19.5" customHeight="1">
      <c r="A2357" s="86"/>
      <c r="B2357" s="86"/>
      <c r="C2357" s="18">
        <v>4300</v>
      </c>
      <c r="D2357" s="221" t="s">
        <v>815</v>
      </c>
      <c r="E2357" s="279"/>
      <c r="F2357" s="279"/>
      <c r="G2357" s="279">
        <v>19200</v>
      </c>
      <c r="H2357" s="279"/>
    </row>
    <row r="2358" spans="1:8" s="1" customFormat="1" ht="63.75">
      <c r="A2358" s="86"/>
      <c r="B2358" s="86"/>
      <c r="C2358" s="122"/>
      <c r="D2358" s="273" t="s">
        <v>899</v>
      </c>
      <c r="E2358" s="274"/>
      <c r="F2358" s="274"/>
      <c r="G2358" s="274">
        <f>G2363+G2382+G2397+G2398+G2399+G2400+G2401+G2402+G2403</f>
        <v>952286</v>
      </c>
      <c r="H2358" s="274"/>
    </row>
    <row r="2359" spans="1:8" s="1" customFormat="1" ht="17.25" customHeight="1">
      <c r="A2359" s="86"/>
      <c r="B2359" s="86"/>
      <c r="C2359" s="86"/>
      <c r="D2359" s="290" t="s">
        <v>497</v>
      </c>
      <c r="E2359" s="231"/>
      <c r="F2359" s="231"/>
      <c r="G2359" s="231">
        <v>30600</v>
      </c>
      <c r="H2359" s="231"/>
    </row>
    <row r="2360" spans="1:8" s="1" customFormat="1" ht="25.5">
      <c r="A2360" s="86"/>
      <c r="B2360" s="86"/>
      <c r="C2360" s="86"/>
      <c r="D2360" s="294" t="s">
        <v>259</v>
      </c>
      <c r="E2360" s="11"/>
      <c r="F2360" s="11"/>
      <c r="G2360" s="11">
        <v>14175</v>
      </c>
      <c r="H2360" s="11"/>
    </row>
    <row r="2361" spans="1:8" s="1" customFormat="1" ht="18" customHeight="1">
      <c r="A2361" s="86"/>
      <c r="B2361" s="86"/>
      <c r="C2361" s="86"/>
      <c r="D2361" s="294" t="s">
        <v>472</v>
      </c>
      <c r="E2361" s="230"/>
      <c r="F2361" s="230"/>
      <c r="G2361" s="230">
        <v>34050</v>
      </c>
      <c r="H2361" s="230"/>
    </row>
    <row r="2362" spans="1:8" ht="18" customHeight="1">
      <c r="A2362" s="56"/>
      <c r="B2362" s="56"/>
      <c r="C2362" s="56"/>
      <c r="D2362" s="208" t="s">
        <v>808</v>
      </c>
      <c r="E2362" s="991"/>
      <c r="F2362" s="991"/>
      <c r="G2362" s="296">
        <v>3000</v>
      </c>
      <c r="H2362" s="296"/>
    </row>
    <row r="2363" spans="1:8" s="8" customFormat="1" ht="26.25" customHeight="1">
      <c r="A2363" s="107"/>
      <c r="B2363" s="107"/>
      <c r="C2363" s="22">
        <v>2810</v>
      </c>
      <c r="D2363" s="20" t="s">
        <v>279</v>
      </c>
      <c r="E2363" s="6"/>
      <c r="F2363" s="6"/>
      <c r="G2363" s="6">
        <f>SUM(G2359:G2362)</f>
        <v>81825</v>
      </c>
      <c r="H2363" s="6"/>
    </row>
    <row r="2364" spans="1:8" s="8" customFormat="1" ht="21" customHeight="1">
      <c r="A2364" s="86"/>
      <c r="B2364" s="86"/>
      <c r="C2364" s="18"/>
      <c r="D2364" s="221" t="s">
        <v>733</v>
      </c>
      <c r="E2364" s="279"/>
      <c r="F2364" s="279"/>
      <c r="G2364" s="279">
        <v>30000</v>
      </c>
      <c r="H2364" s="279"/>
    </row>
    <row r="2365" spans="1:8" s="8" customFormat="1" ht="25.5">
      <c r="A2365" s="86"/>
      <c r="B2365" s="86"/>
      <c r="C2365" s="18"/>
      <c r="D2365" s="294" t="s">
        <v>900</v>
      </c>
      <c r="E2365" s="11"/>
      <c r="F2365" s="11"/>
      <c r="G2365" s="11">
        <v>12000</v>
      </c>
      <c r="H2365" s="11"/>
    </row>
    <row r="2366" spans="1:8" s="8" customFormat="1" ht="25.5">
      <c r="A2366" s="86"/>
      <c r="B2366" s="86"/>
      <c r="C2366" s="18"/>
      <c r="D2366" s="221" t="s">
        <v>901</v>
      </c>
      <c r="E2366" s="279"/>
      <c r="F2366" s="279"/>
      <c r="G2366" s="279">
        <v>56000</v>
      </c>
      <c r="H2366" s="279"/>
    </row>
    <row r="2367" spans="1:8" s="8" customFormat="1" ht="21" customHeight="1">
      <c r="A2367" s="86"/>
      <c r="B2367" s="86"/>
      <c r="C2367" s="18"/>
      <c r="D2367" s="294" t="s">
        <v>902</v>
      </c>
      <c r="E2367" s="11"/>
      <c r="F2367" s="11"/>
      <c r="G2367" s="11">
        <f>12000+12000</f>
        <v>24000</v>
      </c>
      <c r="H2367" s="11"/>
    </row>
    <row r="2368" spans="1:8" s="8" customFormat="1" ht="25.5">
      <c r="A2368" s="86"/>
      <c r="B2368" s="86"/>
      <c r="C2368" s="18"/>
      <c r="D2368" s="290" t="s">
        <v>600</v>
      </c>
      <c r="E2368" s="231"/>
      <c r="F2368" s="231"/>
      <c r="G2368" s="231">
        <v>24000</v>
      </c>
      <c r="H2368" s="231"/>
    </row>
    <row r="2369" spans="1:8" s="8" customFormat="1" ht="21" customHeight="1">
      <c r="A2369" s="86"/>
      <c r="B2369" s="86"/>
      <c r="C2369" s="18"/>
      <c r="D2369" s="290" t="s">
        <v>601</v>
      </c>
      <c r="E2369" s="231"/>
      <c r="F2369" s="231"/>
      <c r="G2369" s="231">
        <v>12000</v>
      </c>
      <c r="H2369" s="231"/>
    </row>
    <row r="2370" spans="1:8" s="8" customFormat="1" ht="25.5">
      <c r="A2370" s="86"/>
      <c r="B2370" s="86"/>
      <c r="C2370" s="18"/>
      <c r="D2370" s="221" t="s">
        <v>602</v>
      </c>
      <c r="E2370" s="279"/>
      <c r="F2370" s="279"/>
      <c r="G2370" s="279">
        <f>16000+5000</f>
        <v>21000</v>
      </c>
      <c r="H2370" s="279"/>
    </row>
    <row r="2371" spans="1:8" s="8" customFormat="1" ht="25.5">
      <c r="A2371" s="86"/>
      <c r="B2371" s="86"/>
      <c r="C2371" s="18"/>
      <c r="D2371" s="318" t="s">
        <v>499</v>
      </c>
      <c r="E2371" s="230"/>
      <c r="F2371" s="230"/>
      <c r="G2371" s="230">
        <v>52600</v>
      </c>
      <c r="H2371" s="230"/>
    </row>
    <row r="2372" spans="1:8" s="8" customFormat="1" ht="19.5" customHeight="1">
      <c r="A2372" s="86"/>
      <c r="B2372" s="86"/>
      <c r="C2372" s="18"/>
      <c r="D2372" s="294" t="s">
        <v>469</v>
      </c>
      <c r="E2372" s="11"/>
      <c r="F2372" s="11"/>
      <c r="G2372" s="11">
        <v>18000</v>
      </c>
      <c r="H2372" s="11"/>
    </row>
    <row r="2373" spans="1:8" s="8" customFormat="1" ht="19.5" customHeight="1">
      <c r="A2373" s="86"/>
      <c r="B2373" s="86"/>
      <c r="C2373" s="18"/>
      <c r="D2373" s="221" t="s">
        <v>582</v>
      </c>
      <c r="E2373" s="279"/>
      <c r="F2373" s="279"/>
      <c r="G2373" s="279">
        <v>22000</v>
      </c>
      <c r="H2373" s="279"/>
    </row>
    <row r="2374" spans="1:8" s="8" customFormat="1" ht="19.5" customHeight="1">
      <c r="A2374" s="86"/>
      <c r="B2374" s="86"/>
      <c r="C2374" s="18"/>
      <c r="D2374" s="294" t="s">
        <v>583</v>
      </c>
      <c r="E2374" s="11"/>
      <c r="F2374" s="11"/>
      <c r="G2374" s="11">
        <v>20000</v>
      </c>
      <c r="H2374" s="11"/>
    </row>
    <row r="2375" spans="1:8" s="8" customFormat="1" ht="19.5" customHeight="1">
      <c r="A2375" s="86"/>
      <c r="B2375" s="86"/>
      <c r="C2375" s="18"/>
      <c r="D2375" s="221" t="s">
        <v>934</v>
      </c>
      <c r="E2375" s="279"/>
      <c r="F2375" s="279"/>
      <c r="G2375" s="279">
        <v>26000</v>
      </c>
      <c r="H2375" s="279"/>
    </row>
    <row r="2376" spans="1:8" s="8" customFormat="1" ht="19.5" customHeight="1">
      <c r="A2376" s="86"/>
      <c r="B2376" s="86"/>
      <c r="C2376" s="18"/>
      <c r="D2376" s="294" t="s">
        <v>537</v>
      </c>
      <c r="E2376" s="11"/>
      <c r="F2376" s="11"/>
      <c r="G2376" s="11">
        <v>18000</v>
      </c>
      <c r="H2376" s="11"/>
    </row>
    <row r="2377" spans="1:8" s="8" customFormat="1" ht="25.5">
      <c r="A2377" s="86"/>
      <c r="B2377" s="86"/>
      <c r="C2377" s="18"/>
      <c r="D2377" s="290" t="s">
        <v>213</v>
      </c>
      <c r="E2377" s="231"/>
      <c r="F2377" s="231"/>
      <c r="G2377" s="231">
        <v>3600</v>
      </c>
      <c r="H2377" s="231"/>
    </row>
    <row r="2378" spans="1:8" s="8" customFormat="1" ht="25.5">
      <c r="A2378" s="86"/>
      <c r="B2378" s="86"/>
      <c r="C2378" s="18"/>
      <c r="D2378" s="294" t="s">
        <v>1034</v>
      </c>
      <c r="E2378" s="11"/>
      <c r="F2378" s="11"/>
      <c r="G2378" s="11">
        <v>10000</v>
      </c>
      <c r="H2378" s="11"/>
    </row>
    <row r="2379" spans="1:8" ht="25.5">
      <c r="A2379" s="56"/>
      <c r="B2379" s="56"/>
      <c r="C2379" s="170"/>
      <c r="D2379" s="208" t="s">
        <v>809</v>
      </c>
      <c r="E2379" s="992"/>
      <c r="F2379" s="992"/>
      <c r="G2379" s="233">
        <v>60000</v>
      </c>
      <c r="H2379" s="233"/>
    </row>
    <row r="2380" spans="1:8" ht="25.5">
      <c r="A2380" s="56"/>
      <c r="B2380" s="56"/>
      <c r="C2380" s="170"/>
      <c r="D2380" s="366" t="s">
        <v>810</v>
      </c>
      <c r="E2380" s="993"/>
      <c r="F2380" s="993"/>
      <c r="G2380" s="367">
        <v>4000</v>
      </c>
      <c r="H2380" s="367"/>
    </row>
    <row r="2381" spans="1:8" ht="25.5">
      <c r="A2381" s="56"/>
      <c r="B2381" s="56"/>
      <c r="C2381" s="170"/>
      <c r="D2381" s="332" t="s">
        <v>811</v>
      </c>
      <c r="E2381" s="991"/>
      <c r="F2381" s="991"/>
      <c r="G2381" s="296">
        <v>10000</v>
      </c>
      <c r="H2381" s="296"/>
    </row>
    <row r="2382" spans="1:8" s="8" customFormat="1" ht="25.5" customHeight="1">
      <c r="A2382" s="86"/>
      <c r="B2382" s="86"/>
      <c r="C2382" s="22">
        <v>2820</v>
      </c>
      <c r="D2382" s="238" t="s">
        <v>303</v>
      </c>
      <c r="E2382" s="228"/>
      <c r="F2382" s="228"/>
      <c r="G2382" s="228">
        <f>SUM(G2364:G2381)</f>
        <v>423200</v>
      </c>
      <c r="H2382" s="228"/>
    </row>
    <row r="2383" spans="1:8" s="8" customFormat="1" ht="25.5" customHeight="1">
      <c r="A2383" s="86"/>
      <c r="B2383" s="86"/>
      <c r="C2383" s="18"/>
      <c r="D2383" s="294" t="s">
        <v>588</v>
      </c>
      <c r="E2383" s="11"/>
      <c r="F2383" s="11"/>
      <c r="G2383" s="11">
        <v>29875</v>
      </c>
      <c r="H2383" s="11"/>
    </row>
    <row r="2384" spans="1:8" s="8" customFormat="1" ht="27.75" customHeight="1">
      <c r="A2384" s="86"/>
      <c r="B2384" s="86"/>
      <c r="C2384" s="18"/>
      <c r="D2384" s="290" t="s">
        <v>71</v>
      </c>
      <c r="E2384" s="231"/>
      <c r="F2384" s="231"/>
      <c r="G2384" s="231">
        <v>10080</v>
      </c>
      <c r="H2384" s="231"/>
    </row>
    <row r="2385" spans="1:8" s="8" customFormat="1" ht="51">
      <c r="A2385" s="107"/>
      <c r="B2385" s="107"/>
      <c r="C2385" s="22"/>
      <c r="D2385" s="238" t="s">
        <v>72</v>
      </c>
      <c r="E2385" s="6"/>
      <c r="F2385" s="6"/>
      <c r="G2385" s="6">
        <v>10615</v>
      </c>
      <c r="H2385" s="6"/>
    </row>
    <row r="2386" spans="1:8" s="8" customFormat="1" ht="51">
      <c r="A2386" s="122"/>
      <c r="B2386" s="122"/>
      <c r="C2386" s="128"/>
      <c r="D2386" s="293" t="s">
        <v>73</v>
      </c>
      <c r="E2386" s="178"/>
      <c r="F2386" s="178"/>
      <c r="G2386" s="178">
        <v>7875</v>
      </c>
      <c r="H2386" s="178"/>
    </row>
    <row r="2387" spans="1:8" s="8" customFormat="1" ht="38.25">
      <c r="A2387" s="86"/>
      <c r="B2387" s="86"/>
      <c r="C2387" s="18"/>
      <c r="D2387" s="294" t="s">
        <v>74</v>
      </c>
      <c r="E2387" s="231"/>
      <c r="F2387" s="231"/>
      <c r="G2387" s="231">
        <v>3780</v>
      </c>
      <c r="H2387" s="231"/>
    </row>
    <row r="2388" spans="1:8" s="8" customFormat="1" ht="38.25">
      <c r="A2388" s="86"/>
      <c r="B2388" s="86"/>
      <c r="C2388" s="18"/>
      <c r="D2388" s="294" t="s">
        <v>465</v>
      </c>
      <c r="E2388" s="231"/>
      <c r="F2388" s="231"/>
      <c r="G2388" s="231">
        <v>6300</v>
      </c>
      <c r="H2388" s="231"/>
    </row>
    <row r="2389" spans="1:8" s="8" customFormat="1" ht="19.5" customHeight="1">
      <c r="A2389" s="86"/>
      <c r="B2389" s="86"/>
      <c r="C2389" s="18"/>
      <c r="D2389" s="294" t="s">
        <v>589</v>
      </c>
      <c r="E2389" s="231"/>
      <c r="F2389" s="231"/>
      <c r="G2389" s="231">
        <v>20000</v>
      </c>
      <c r="H2389" s="231"/>
    </row>
    <row r="2390" spans="1:8" s="8" customFormat="1" ht="19.5" customHeight="1">
      <c r="A2390" s="86"/>
      <c r="B2390" s="86"/>
      <c r="C2390" s="18"/>
      <c r="D2390" s="221" t="s">
        <v>75</v>
      </c>
      <c r="E2390" s="279"/>
      <c r="F2390" s="279"/>
      <c r="G2390" s="279">
        <v>33000</v>
      </c>
      <c r="H2390" s="279"/>
    </row>
    <row r="2391" spans="1:8" s="8" customFormat="1" ht="25.5">
      <c r="A2391" s="86"/>
      <c r="B2391" s="86"/>
      <c r="C2391" s="18"/>
      <c r="D2391" s="294" t="s">
        <v>76</v>
      </c>
      <c r="E2391" s="11"/>
      <c r="F2391" s="11"/>
      <c r="G2391" s="11">
        <v>10400</v>
      </c>
      <c r="H2391" s="11"/>
    </row>
    <row r="2392" spans="1:8" s="8" customFormat="1" ht="25.5">
      <c r="A2392" s="86"/>
      <c r="B2392" s="86"/>
      <c r="C2392" s="18"/>
      <c r="D2392" s="290" t="s">
        <v>215</v>
      </c>
      <c r="E2392" s="231"/>
      <c r="F2392" s="231"/>
      <c r="G2392" s="231">
        <v>6000</v>
      </c>
      <c r="H2392" s="231"/>
    </row>
    <row r="2393" spans="1:8" s="8" customFormat="1" ht="38.25">
      <c r="A2393" s="86"/>
      <c r="B2393" s="86"/>
      <c r="C2393" s="18"/>
      <c r="D2393" s="294" t="s">
        <v>216</v>
      </c>
      <c r="E2393" s="231"/>
      <c r="F2393" s="231"/>
      <c r="G2393" s="231">
        <v>14000</v>
      </c>
      <c r="H2393" s="231"/>
    </row>
    <row r="2394" spans="1:8" s="8" customFormat="1" ht="38.25">
      <c r="A2394" s="86"/>
      <c r="B2394" s="86"/>
      <c r="C2394" s="18"/>
      <c r="D2394" s="294" t="s">
        <v>652</v>
      </c>
      <c r="E2394" s="231"/>
      <c r="F2394" s="231"/>
      <c r="G2394" s="231">
        <v>4320</v>
      </c>
      <c r="H2394" s="231"/>
    </row>
    <row r="2395" spans="1:8" s="8" customFormat="1" ht="19.5" customHeight="1">
      <c r="A2395" s="86"/>
      <c r="B2395" s="86"/>
      <c r="C2395" s="18"/>
      <c r="D2395" s="290" t="s">
        <v>653</v>
      </c>
      <c r="E2395" s="231"/>
      <c r="F2395" s="231"/>
      <c r="G2395" s="231">
        <v>9000</v>
      </c>
      <c r="H2395" s="231"/>
    </row>
    <row r="2396" spans="1:8" s="8" customFormat="1" ht="25.5">
      <c r="A2396" s="86"/>
      <c r="B2396" s="86"/>
      <c r="C2396" s="18"/>
      <c r="D2396" s="294" t="s">
        <v>77</v>
      </c>
      <c r="E2396" s="11"/>
      <c r="F2396" s="11"/>
      <c r="G2396" s="11">
        <v>10000</v>
      </c>
      <c r="H2396" s="11"/>
    </row>
    <row r="2397" spans="1:8" s="8" customFormat="1" ht="41.25" customHeight="1">
      <c r="A2397" s="86"/>
      <c r="B2397" s="86"/>
      <c r="C2397" s="22">
        <v>2830</v>
      </c>
      <c r="D2397" s="238" t="s">
        <v>278</v>
      </c>
      <c r="E2397" s="228"/>
      <c r="F2397" s="228"/>
      <c r="G2397" s="228">
        <f>SUM(G2383:G2396)</f>
        <v>175245</v>
      </c>
      <c r="H2397" s="228"/>
    </row>
    <row r="2398" spans="1:8" s="8" customFormat="1" ht="19.5" customHeight="1">
      <c r="A2398" s="86"/>
      <c r="B2398" s="86"/>
      <c r="C2398" s="144">
        <v>3000</v>
      </c>
      <c r="D2398" s="252" t="s">
        <v>734</v>
      </c>
      <c r="E2398" s="6"/>
      <c r="F2398" s="6"/>
      <c r="G2398" s="6">
        <v>50000</v>
      </c>
      <c r="H2398" s="6"/>
    </row>
    <row r="2399" spans="1:8" s="8" customFormat="1" ht="19.5" customHeight="1">
      <c r="A2399" s="86"/>
      <c r="B2399" s="86"/>
      <c r="C2399" s="370">
        <v>4110</v>
      </c>
      <c r="D2399" s="221" t="s">
        <v>681</v>
      </c>
      <c r="E2399" s="279"/>
      <c r="F2399" s="279"/>
      <c r="G2399" s="279">
        <v>740</v>
      </c>
      <c r="H2399" s="279"/>
    </row>
    <row r="2400" spans="1:8" s="8" customFormat="1" ht="19.5" customHeight="1">
      <c r="A2400" s="86"/>
      <c r="B2400" s="86"/>
      <c r="C2400" s="32">
        <v>4120</v>
      </c>
      <c r="D2400" s="252" t="s">
        <v>682</v>
      </c>
      <c r="E2400" s="65"/>
      <c r="F2400" s="65"/>
      <c r="G2400" s="65">
        <v>106</v>
      </c>
      <c r="H2400" s="65"/>
    </row>
    <row r="2401" spans="1:8" s="8" customFormat="1" ht="19.5" customHeight="1">
      <c r="A2401" s="86"/>
      <c r="B2401" s="86"/>
      <c r="C2401" s="32">
        <v>4170</v>
      </c>
      <c r="D2401" s="252" t="s">
        <v>740</v>
      </c>
      <c r="E2401" s="65"/>
      <c r="F2401" s="65"/>
      <c r="G2401" s="65">
        <v>5300</v>
      </c>
      <c r="H2401" s="65"/>
    </row>
    <row r="2402" spans="1:8" s="8" customFormat="1" ht="19.5" customHeight="1">
      <c r="A2402" s="86"/>
      <c r="B2402" s="86"/>
      <c r="C2402" s="144">
        <v>4210</v>
      </c>
      <c r="D2402" s="252" t="s">
        <v>748</v>
      </c>
      <c r="E2402" s="65"/>
      <c r="F2402" s="65"/>
      <c r="G2402" s="65">
        <v>9254</v>
      </c>
      <c r="H2402" s="65"/>
    </row>
    <row r="2403" spans="1:8" s="1" customFormat="1" ht="19.5" customHeight="1">
      <c r="A2403" s="86"/>
      <c r="B2403" s="86"/>
      <c r="C2403" s="144">
        <v>4300</v>
      </c>
      <c r="D2403" s="252" t="s">
        <v>815</v>
      </c>
      <c r="E2403" s="65"/>
      <c r="F2403" s="65"/>
      <c r="G2403" s="65">
        <v>206616</v>
      </c>
      <c r="H2403" s="65"/>
    </row>
    <row r="2404" spans="1:8" s="8" customFormat="1" ht="19.5" customHeight="1">
      <c r="A2404" s="86"/>
      <c r="B2404" s="86"/>
      <c r="C2404" s="86"/>
      <c r="D2404" s="314" t="s">
        <v>218</v>
      </c>
      <c r="E2404" s="313"/>
      <c r="F2404" s="313"/>
      <c r="G2404" s="313">
        <f>SUM(G2405:G2414)</f>
        <v>370000</v>
      </c>
      <c r="H2404" s="313"/>
    </row>
    <row r="2405" spans="1:8" s="8" customFormat="1" ht="18.75" customHeight="1">
      <c r="A2405" s="86"/>
      <c r="B2405" s="86"/>
      <c r="C2405" s="237">
        <v>4110</v>
      </c>
      <c r="D2405" s="20" t="s">
        <v>681</v>
      </c>
      <c r="E2405" s="6"/>
      <c r="F2405" s="6"/>
      <c r="G2405" s="6">
        <v>10000</v>
      </c>
      <c r="H2405" s="6"/>
    </row>
    <row r="2406" spans="1:8" s="8" customFormat="1" ht="18.75" customHeight="1">
      <c r="A2406" s="107"/>
      <c r="B2406" s="107"/>
      <c r="C2406" s="237">
        <v>4120</v>
      </c>
      <c r="D2406" s="20" t="s">
        <v>682</v>
      </c>
      <c r="E2406" s="6"/>
      <c r="F2406" s="6"/>
      <c r="G2406" s="6">
        <v>2000</v>
      </c>
      <c r="H2406" s="6"/>
    </row>
    <row r="2407" spans="1:8" s="8" customFormat="1" ht="18.75" customHeight="1">
      <c r="A2407" s="122"/>
      <c r="B2407" s="122"/>
      <c r="C2407" s="32">
        <v>4170</v>
      </c>
      <c r="D2407" s="252" t="s">
        <v>740</v>
      </c>
      <c r="E2407" s="65"/>
      <c r="F2407" s="65"/>
      <c r="G2407" s="65">
        <v>300000</v>
      </c>
      <c r="H2407" s="65"/>
    </row>
    <row r="2408" spans="1:8" s="8" customFormat="1" ht="18.75" customHeight="1">
      <c r="A2408" s="86"/>
      <c r="B2408" s="86"/>
      <c r="C2408" s="32">
        <v>4210</v>
      </c>
      <c r="D2408" s="32" t="s">
        <v>748</v>
      </c>
      <c r="E2408" s="6"/>
      <c r="F2408" s="6"/>
      <c r="G2408" s="6">
        <v>10000</v>
      </c>
      <c r="H2408" s="6"/>
    </row>
    <row r="2409" spans="1:8" s="8" customFormat="1" ht="18.75" customHeight="1">
      <c r="A2409" s="86"/>
      <c r="B2409" s="86"/>
      <c r="C2409" s="32">
        <v>4300</v>
      </c>
      <c r="D2409" s="32" t="s">
        <v>815</v>
      </c>
      <c r="E2409" s="6"/>
      <c r="F2409" s="6"/>
      <c r="G2409" s="6">
        <v>10000</v>
      </c>
      <c r="H2409" s="6"/>
    </row>
    <row r="2410" spans="1:8" s="8" customFormat="1" ht="18.75" customHeight="1">
      <c r="A2410" s="86"/>
      <c r="B2410" s="86"/>
      <c r="C2410" s="32">
        <v>4430</v>
      </c>
      <c r="D2410" s="32" t="s">
        <v>750</v>
      </c>
      <c r="E2410" s="65"/>
      <c r="F2410" s="65"/>
      <c r="G2410" s="65">
        <f>20000-9000</f>
        <v>11000</v>
      </c>
      <c r="H2410" s="65"/>
    </row>
    <row r="2411" spans="1:8" s="8" customFormat="1" ht="18.75" customHeight="1">
      <c r="A2411" s="86"/>
      <c r="B2411" s="86"/>
      <c r="C2411" s="22">
        <v>4700</v>
      </c>
      <c r="D2411" s="20" t="s">
        <v>312</v>
      </c>
      <c r="E2411" s="276"/>
      <c r="F2411" s="276"/>
      <c r="G2411" s="276">
        <v>15000</v>
      </c>
      <c r="H2411" s="276"/>
    </row>
    <row r="2412" spans="1:8" s="8" customFormat="1" ht="18.75" customHeight="1">
      <c r="A2412" s="86"/>
      <c r="B2412" s="86"/>
      <c r="C2412" s="22">
        <v>4740</v>
      </c>
      <c r="D2412" s="20" t="s">
        <v>313</v>
      </c>
      <c r="E2412" s="276"/>
      <c r="F2412" s="276"/>
      <c r="G2412" s="276">
        <v>2000</v>
      </c>
      <c r="H2412" s="276"/>
    </row>
    <row r="2413" spans="1:8" s="8" customFormat="1" ht="18.75" customHeight="1">
      <c r="A2413" s="86"/>
      <c r="B2413" s="86"/>
      <c r="C2413" s="22">
        <v>4750</v>
      </c>
      <c r="D2413" s="20" t="s">
        <v>314</v>
      </c>
      <c r="E2413" s="276"/>
      <c r="F2413" s="276"/>
      <c r="G2413" s="276">
        <v>1000</v>
      </c>
      <c r="H2413" s="276"/>
    </row>
    <row r="2414" spans="1:8" s="8" customFormat="1" ht="18.75" customHeight="1">
      <c r="A2414" s="86"/>
      <c r="B2414" s="86"/>
      <c r="C2414" s="22">
        <v>4610</v>
      </c>
      <c r="D2414" s="20" t="s">
        <v>1004</v>
      </c>
      <c r="E2414" s="276"/>
      <c r="F2414" s="276"/>
      <c r="G2414" s="276">
        <v>9000</v>
      </c>
      <c r="H2414" s="276"/>
    </row>
    <row r="2415" spans="1:8" s="8" customFormat="1" ht="19.5" customHeight="1">
      <c r="A2415" s="86"/>
      <c r="B2415" s="86"/>
      <c r="C2415" s="86"/>
      <c r="D2415" s="273" t="s">
        <v>1040</v>
      </c>
      <c r="E2415" s="274"/>
      <c r="F2415" s="274"/>
      <c r="G2415" s="274">
        <f>SUM(G2416:G2423)</f>
        <v>73000</v>
      </c>
      <c r="H2415" s="274"/>
    </row>
    <row r="2416" spans="1:8" s="8" customFormat="1" ht="18.75" customHeight="1">
      <c r="A2416" s="86"/>
      <c r="B2416" s="86"/>
      <c r="C2416" s="370">
        <v>4210</v>
      </c>
      <c r="D2416" s="370" t="s">
        <v>748</v>
      </c>
      <c r="E2416" s="279"/>
      <c r="F2416" s="279"/>
      <c r="G2416" s="279">
        <v>6000</v>
      </c>
      <c r="H2416" s="279"/>
    </row>
    <row r="2417" spans="1:8" s="8" customFormat="1" ht="18.75" customHeight="1">
      <c r="A2417" s="86"/>
      <c r="B2417" s="86"/>
      <c r="C2417" s="32">
        <v>4300</v>
      </c>
      <c r="D2417" s="144" t="s">
        <v>815</v>
      </c>
      <c r="E2417" s="65"/>
      <c r="F2417" s="65"/>
      <c r="G2417" s="65">
        <v>8000</v>
      </c>
      <c r="H2417" s="65"/>
    </row>
    <row r="2418" spans="1:8" s="8" customFormat="1" ht="18.75" customHeight="1">
      <c r="A2418" s="86"/>
      <c r="B2418" s="86"/>
      <c r="C2418" s="237">
        <v>4410</v>
      </c>
      <c r="D2418" s="20" t="s">
        <v>749</v>
      </c>
      <c r="E2418" s="6"/>
      <c r="F2418" s="6"/>
      <c r="G2418" s="6">
        <v>2000</v>
      </c>
      <c r="H2418" s="6"/>
    </row>
    <row r="2419" spans="1:8" s="8" customFormat="1" ht="18.75" customHeight="1">
      <c r="A2419" s="86"/>
      <c r="B2419" s="86"/>
      <c r="C2419" s="370">
        <v>4420</v>
      </c>
      <c r="D2419" s="221" t="s">
        <v>686</v>
      </c>
      <c r="E2419" s="279"/>
      <c r="F2419" s="279"/>
      <c r="G2419" s="279">
        <v>3000</v>
      </c>
      <c r="H2419" s="279"/>
    </row>
    <row r="2420" spans="1:8" s="8" customFormat="1" ht="18.75" customHeight="1">
      <c r="A2420" s="86"/>
      <c r="B2420" s="86"/>
      <c r="C2420" s="144">
        <v>4700</v>
      </c>
      <c r="D2420" s="252" t="s">
        <v>312</v>
      </c>
      <c r="E2420" s="65"/>
      <c r="F2420" s="65"/>
      <c r="G2420" s="65">
        <v>30000</v>
      </c>
      <c r="H2420" s="65"/>
    </row>
    <row r="2421" spans="1:8" s="8" customFormat="1" ht="25.5">
      <c r="A2421" s="86"/>
      <c r="B2421" s="86"/>
      <c r="C2421" s="22">
        <v>4740</v>
      </c>
      <c r="D2421" s="20" t="s">
        <v>313</v>
      </c>
      <c r="E2421" s="6"/>
      <c r="F2421" s="6"/>
      <c r="G2421" s="6">
        <v>2000</v>
      </c>
      <c r="H2421" s="6"/>
    </row>
    <row r="2422" spans="1:8" s="8" customFormat="1" ht="21" customHeight="1">
      <c r="A2422" s="86"/>
      <c r="B2422" s="86"/>
      <c r="C2422" s="22">
        <v>4750</v>
      </c>
      <c r="D2422" s="20" t="s">
        <v>314</v>
      </c>
      <c r="E2422" s="6"/>
      <c r="F2422" s="6"/>
      <c r="G2422" s="6">
        <v>1000</v>
      </c>
      <c r="H2422" s="6"/>
    </row>
    <row r="2423" spans="1:8" s="8" customFormat="1" ht="21" customHeight="1">
      <c r="A2423" s="86"/>
      <c r="B2423" s="86"/>
      <c r="C2423" s="128"/>
      <c r="D2423" s="293" t="s">
        <v>280</v>
      </c>
      <c r="E2423" s="178"/>
      <c r="F2423" s="178"/>
      <c r="G2423" s="178">
        <f>G2424</f>
        <v>21000</v>
      </c>
      <c r="H2423" s="178"/>
    </row>
    <row r="2424" spans="1:8" s="8" customFormat="1" ht="18.75" customHeight="1">
      <c r="A2424" s="86"/>
      <c r="B2424" s="107"/>
      <c r="C2424" s="22">
        <v>6060</v>
      </c>
      <c r="D2424" s="20" t="s">
        <v>685</v>
      </c>
      <c r="E2424" s="6"/>
      <c r="F2424" s="6"/>
      <c r="G2424" s="6">
        <v>21000</v>
      </c>
      <c r="H2424" s="6"/>
    </row>
    <row r="2425" spans="1:8" s="1" customFormat="1" ht="19.5" customHeight="1">
      <c r="A2425" s="86"/>
      <c r="B2425" s="3">
        <v>85195</v>
      </c>
      <c r="C2425" s="45"/>
      <c r="D2425" s="67" t="s">
        <v>100</v>
      </c>
      <c r="E2425" s="4"/>
      <c r="F2425" s="4"/>
      <c r="G2425" s="4">
        <f>G2426+G2428</f>
        <v>130000</v>
      </c>
      <c r="H2425" s="4"/>
    </row>
    <row r="2426" spans="1:8" ht="18.75" customHeight="1">
      <c r="A2426" s="86"/>
      <c r="B2426" s="122"/>
      <c r="C2426" s="128"/>
      <c r="D2426" s="348" t="s">
        <v>423</v>
      </c>
      <c r="E2426" s="243"/>
      <c r="F2426" s="243"/>
      <c r="G2426" s="243">
        <f>G2427</f>
        <v>105000</v>
      </c>
      <c r="H2426" s="243"/>
    </row>
    <row r="2427" spans="1:8" ht="21.75" customHeight="1">
      <c r="A2427" s="86"/>
      <c r="B2427" s="86"/>
      <c r="C2427" s="22">
        <v>4280</v>
      </c>
      <c r="D2427" s="147" t="s">
        <v>304</v>
      </c>
      <c r="E2427" s="88"/>
      <c r="F2427" s="88"/>
      <c r="G2427" s="88">
        <v>105000</v>
      </c>
      <c r="H2427" s="88"/>
    </row>
    <row r="2428" spans="1:8" ht="21" customHeight="1">
      <c r="A2428" s="86"/>
      <c r="B2428" s="86"/>
      <c r="C2428" s="128"/>
      <c r="D2428" s="348" t="s">
        <v>500</v>
      </c>
      <c r="E2428" s="243"/>
      <c r="F2428" s="243"/>
      <c r="G2428" s="243">
        <f>G2429</f>
        <v>25000</v>
      </c>
      <c r="H2428" s="243"/>
    </row>
    <row r="2429" spans="1:8" ht="21" customHeight="1">
      <c r="A2429" s="107"/>
      <c r="B2429" s="107"/>
      <c r="C2429" s="22">
        <v>4300</v>
      </c>
      <c r="D2429" s="147" t="s">
        <v>815</v>
      </c>
      <c r="E2429" s="88"/>
      <c r="F2429" s="88"/>
      <c r="G2429" s="88">
        <v>25000</v>
      </c>
      <c r="H2429" s="88"/>
    </row>
    <row r="2430" spans="1:8" s="1" customFormat="1" ht="21.75" customHeight="1" thickBot="1">
      <c r="A2430" s="394">
        <v>852</v>
      </c>
      <c r="B2430" s="394"/>
      <c r="C2430" s="409"/>
      <c r="D2430" s="395" t="s">
        <v>129</v>
      </c>
      <c r="E2430" s="377"/>
      <c r="F2430" s="377"/>
      <c r="G2430" s="377">
        <f>G2431+G2434</f>
        <v>20677429</v>
      </c>
      <c r="H2430" s="377"/>
    </row>
    <row r="2431" spans="1:8" s="1" customFormat="1" ht="21.75" customHeight="1">
      <c r="A2431" s="86"/>
      <c r="B2431" s="3">
        <v>85215</v>
      </c>
      <c r="C2431" s="3"/>
      <c r="D2431" s="3" t="s">
        <v>615</v>
      </c>
      <c r="E2431" s="4"/>
      <c r="F2431" s="4"/>
      <c r="G2431" s="4">
        <f>G2432</f>
        <v>19000000</v>
      </c>
      <c r="H2431" s="4"/>
    </row>
    <row r="2432" spans="1:8" s="1" customFormat="1" ht="21.75" customHeight="1">
      <c r="A2432" s="86"/>
      <c r="B2432" s="86"/>
      <c r="C2432" s="86"/>
      <c r="D2432" s="87" t="s">
        <v>292</v>
      </c>
      <c r="E2432" s="17"/>
      <c r="F2432" s="17"/>
      <c r="G2432" s="17">
        <f>G2433</f>
        <v>19000000</v>
      </c>
      <c r="H2432" s="17"/>
    </row>
    <row r="2433" spans="1:8" s="1" customFormat="1" ht="21.75" customHeight="1">
      <c r="A2433" s="107"/>
      <c r="B2433" s="107"/>
      <c r="C2433" s="22">
        <v>3110</v>
      </c>
      <c r="D2433" s="22" t="s">
        <v>301</v>
      </c>
      <c r="E2433" s="6"/>
      <c r="F2433" s="6"/>
      <c r="G2433" s="6">
        <v>19000000</v>
      </c>
      <c r="H2433" s="6"/>
    </row>
    <row r="2434" spans="1:8" ht="22.5" customHeight="1">
      <c r="A2434" s="5"/>
      <c r="B2434" s="13">
        <v>85232</v>
      </c>
      <c r="C2434" s="123"/>
      <c r="D2434" s="14" t="s">
        <v>708</v>
      </c>
      <c r="E2434" s="15"/>
      <c r="F2434" s="15"/>
      <c r="G2434" s="15">
        <f>G2435+G2438</f>
        <v>1677429</v>
      </c>
      <c r="H2434" s="15"/>
    </row>
    <row r="2435" spans="1:8" ht="19.5" customHeight="1">
      <c r="A2435" s="86"/>
      <c r="B2435" s="86"/>
      <c r="C2435" s="18"/>
      <c r="D2435" s="16" t="s">
        <v>709</v>
      </c>
      <c r="E2435" s="17"/>
      <c r="F2435" s="17"/>
      <c r="G2435" s="17">
        <f>G2437</f>
        <v>465000</v>
      </c>
      <c r="H2435" s="17"/>
    </row>
    <row r="2436" spans="1:8" ht="19.5" customHeight="1">
      <c r="A2436" s="86"/>
      <c r="B2436" s="86"/>
      <c r="C2436" s="18"/>
      <c r="D2436" s="265" t="s">
        <v>466</v>
      </c>
      <c r="E2436" s="279"/>
      <c r="F2436" s="279"/>
      <c r="G2436" s="279">
        <v>30000</v>
      </c>
      <c r="H2436" s="279"/>
    </row>
    <row r="2437" spans="1:8" ht="19.5" customHeight="1">
      <c r="A2437" s="18"/>
      <c r="B2437" s="18"/>
      <c r="C2437" s="22">
        <v>2660</v>
      </c>
      <c r="D2437" s="20" t="s">
        <v>386</v>
      </c>
      <c r="E2437" s="228"/>
      <c r="F2437" s="228"/>
      <c r="G2437" s="228">
        <v>465000</v>
      </c>
      <c r="H2437" s="228"/>
    </row>
    <row r="2438" spans="1:8" ht="25.5">
      <c r="A2438" s="86"/>
      <c r="B2438" s="86"/>
      <c r="C2438" s="18"/>
      <c r="D2438" s="93" t="s">
        <v>1035</v>
      </c>
      <c r="E2438" s="66"/>
      <c r="F2438" s="66"/>
      <c r="G2438" s="66">
        <f>SUM(G2439:G2440)</f>
        <v>1212429</v>
      </c>
      <c r="H2438" s="66"/>
    </row>
    <row r="2439" spans="1:8" ht="19.5" customHeight="1">
      <c r="A2439" s="86"/>
      <c r="B2439" s="86"/>
      <c r="C2439" s="22">
        <v>2668</v>
      </c>
      <c r="D2439" s="147" t="s">
        <v>385</v>
      </c>
      <c r="E2439" s="88"/>
      <c r="F2439" s="88"/>
      <c r="G2439" s="88">
        <f>1067777-9274</f>
        <v>1058503</v>
      </c>
      <c r="H2439" s="88"/>
    </row>
    <row r="2440" spans="1:8" ht="19.5" customHeight="1">
      <c r="A2440" s="107"/>
      <c r="B2440" s="107"/>
      <c r="C2440" s="22">
        <v>2669</v>
      </c>
      <c r="D2440" s="20" t="s">
        <v>385</v>
      </c>
      <c r="E2440" s="65"/>
      <c r="F2440" s="65"/>
      <c r="G2440" s="65">
        <v>153926</v>
      </c>
      <c r="H2440" s="65"/>
    </row>
    <row r="2441" spans="1:8" ht="19.5" customHeight="1" thickBot="1">
      <c r="A2441" s="375">
        <v>853</v>
      </c>
      <c r="B2441" s="375"/>
      <c r="C2441" s="402"/>
      <c r="D2441" s="376" t="s">
        <v>277</v>
      </c>
      <c r="E2441" s="406"/>
      <c r="F2441" s="406"/>
      <c r="G2441" s="406">
        <f>G2442</f>
        <v>100000</v>
      </c>
      <c r="H2441" s="406"/>
    </row>
    <row r="2442" spans="1:8" ht="19.5" customHeight="1">
      <c r="A2442" s="86"/>
      <c r="B2442" s="3">
        <v>85321</v>
      </c>
      <c r="C2442" s="45"/>
      <c r="D2442" s="67" t="s">
        <v>630</v>
      </c>
      <c r="E2442" s="167"/>
      <c r="F2442" s="167"/>
      <c r="G2442" s="167">
        <f>G2443</f>
        <v>100000</v>
      </c>
      <c r="H2442" s="167"/>
    </row>
    <row r="2443" spans="1:8" ht="25.5">
      <c r="A2443" s="86"/>
      <c r="B2443" s="122"/>
      <c r="C2443" s="128"/>
      <c r="D2443" s="16" t="s">
        <v>122</v>
      </c>
      <c r="E2443" s="169"/>
      <c r="F2443" s="169"/>
      <c r="G2443" s="169">
        <f>SUM(G2444:G2450)</f>
        <v>100000</v>
      </c>
      <c r="H2443" s="169"/>
    </row>
    <row r="2444" spans="1:8" ht="19.5" customHeight="1">
      <c r="A2444" s="86"/>
      <c r="B2444" s="86"/>
      <c r="C2444" s="22">
        <v>4010</v>
      </c>
      <c r="D2444" s="20" t="s">
        <v>754</v>
      </c>
      <c r="E2444" s="176"/>
      <c r="F2444" s="176"/>
      <c r="G2444" s="176">
        <v>12000</v>
      </c>
      <c r="H2444" s="176"/>
    </row>
    <row r="2445" spans="1:8" ht="19.5" customHeight="1">
      <c r="A2445" s="86"/>
      <c r="B2445" s="86"/>
      <c r="C2445" s="144">
        <v>4110</v>
      </c>
      <c r="D2445" s="252" t="s">
        <v>681</v>
      </c>
      <c r="E2445" s="176"/>
      <c r="F2445" s="176"/>
      <c r="G2445" s="176">
        <f>2000+8000</f>
        <v>10000</v>
      </c>
      <c r="H2445" s="176"/>
    </row>
    <row r="2446" spans="1:8" ht="19.5" customHeight="1">
      <c r="A2446" s="86"/>
      <c r="B2446" s="86"/>
      <c r="C2446" s="144">
        <v>4120</v>
      </c>
      <c r="D2446" s="252" t="s">
        <v>682</v>
      </c>
      <c r="E2446" s="176"/>
      <c r="F2446" s="176"/>
      <c r="G2446" s="176">
        <v>300</v>
      </c>
      <c r="H2446" s="176"/>
    </row>
    <row r="2447" spans="1:8" ht="19.5" customHeight="1">
      <c r="A2447" s="86"/>
      <c r="B2447" s="86"/>
      <c r="C2447" s="144">
        <v>4170</v>
      </c>
      <c r="D2447" s="252" t="s">
        <v>740</v>
      </c>
      <c r="E2447" s="176"/>
      <c r="F2447" s="176"/>
      <c r="G2447" s="176">
        <v>49000</v>
      </c>
      <c r="H2447" s="176"/>
    </row>
    <row r="2448" spans="1:8" ht="19.5" customHeight="1">
      <c r="A2448" s="86"/>
      <c r="B2448" s="86"/>
      <c r="C2448" s="144">
        <v>4260</v>
      </c>
      <c r="D2448" s="252" t="s">
        <v>752</v>
      </c>
      <c r="E2448" s="176"/>
      <c r="F2448" s="176"/>
      <c r="G2448" s="176">
        <v>300</v>
      </c>
      <c r="H2448" s="176"/>
    </row>
    <row r="2449" spans="1:8" ht="19.5" customHeight="1">
      <c r="A2449" s="86"/>
      <c r="B2449" s="86"/>
      <c r="C2449" s="144">
        <v>4300</v>
      </c>
      <c r="D2449" s="252" t="s">
        <v>815</v>
      </c>
      <c r="E2449" s="176"/>
      <c r="F2449" s="176"/>
      <c r="G2449" s="176">
        <f>85700-81300</f>
        <v>4400</v>
      </c>
      <c r="H2449" s="176"/>
    </row>
    <row r="2450" spans="1:8" ht="27" customHeight="1">
      <c r="A2450" s="107"/>
      <c r="B2450" s="107"/>
      <c r="C2450" s="144">
        <v>4400</v>
      </c>
      <c r="D2450" s="252" t="s">
        <v>1081</v>
      </c>
      <c r="E2450" s="176"/>
      <c r="F2450" s="176"/>
      <c r="G2450" s="176">
        <v>24000</v>
      </c>
      <c r="H2450" s="176"/>
    </row>
    <row r="2451" spans="1:8" s="1" customFormat="1" ht="19.5" customHeight="1" thickBot="1">
      <c r="A2451" s="394">
        <v>854</v>
      </c>
      <c r="B2451" s="394"/>
      <c r="C2451" s="414"/>
      <c r="D2451" s="394" t="s">
        <v>618</v>
      </c>
      <c r="E2451" s="377"/>
      <c r="F2451" s="377"/>
      <c r="G2451" s="377">
        <f>G2452</f>
        <v>180000</v>
      </c>
      <c r="H2451" s="377"/>
    </row>
    <row r="2452" spans="1:8" ht="27.75" customHeight="1">
      <c r="A2452" s="193"/>
      <c r="B2452" s="319">
        <v>85412</v>
      </c>
      <c r="C2452" s="320"/>
      <c r="D2452" s="321" t="s">
        <v>929</v>
      </c>
      <c r="E2452" s="183"/>
      <c r="F2452" s="183"/>
      <c r="G2452" s="183">
        <f>SUM(G2453:G2453)</f>
        <v>180000</v>
      </c>
      <c r="H2452" s="183"/>
    </row>
    <row r="2453" spans="1:8" ht="27" customHeight="1">
      <c r="A2453" s="301"/>
      <c r="B2453" s="322"/>
      <c r="C2453" s="193"/>
      <c r="D2453" s="186" t="s">
        <v>64</v>
      </c>
      <c r="E2453" s="169"/>
      <c r="F2453" s="169"/>
      <c r="G2453" s="169">
        <f>G2454+G2456+G2487+G2489</f>
        <v>180000</v>
      </c>
      <c r="H2453" s="169"/>
    </row>
    <row r="2454" spans="1:8" ht="19.5" customHeight="1">
      <c r="A2454" s="301"/>
      <c r="B2454" s="301"/>
      <c r="C2454" s="56"/>
      <c r="D2454" s="1073" t="s">
        <v>758</v>
      </c>
      <c r="E2454" s="345"/>
      <c r="F2454" s="345"/>
      <c r="G2454" s="345">
        <f>G2455</f>
        <v>12660</v>
      </c>
      <c r="H2454" s="345"/>
    </row>
    <row r="2455" spans="1:8" ht="19.5" customHeight="1">
      <c r="A2455" s="301"/>
      <c r="B2455" s="301"/>
      <c r="C2455" s="181">
        <v>4300</v>
      </c>
      <c r="D2455" s="189" t="s">
        <v>815</v>
      </c>
      <c r="E2455" s="176"/>
      <c r="F2455" s="176"/>
      <c r="G2455" s="176">
        <v>12660</v>
      </c>
      <c r="H2455" s="176"/>
    </row>
    <row r="2456" spans="1:8" ht="19.5" customHeight="1">
      <c r="A2456" s="301"/>
      <c r="B2456" s="301"/>
      <c r="C2456" s="56"/>
      <c r="D2456" s="1079" t="s">
        <v>1082</v>
      </c>
      <c r="E2456" s="1080"/>
      <c r="F2456" s="1080"/>
      <c r="G2456" s="1080">
        <f>G2485+G2486</f>
        <v>130340</v>
      </c>
      <c r="H2456" s="1080"/>
    </row>
    <row r="2457" spans="1:8" s="174" customFormat="1" ht="18" customHeight="1">
      <c r="A2457" s="994"/>
      <c r="B2457" s="994"/>
      <c r="C2457" s="994"/>
      <c r="D2457" s="957" t="s">
        <v>812</v>
      </c>
      <c r="E2457" s="957"/>
      <c r="F2457" s="957"/>
      <c r="G2457" s="995">
        <v>2500</v>
      </c>
      <c r="H2457" s="995"/>
    </row>
    <row r="2458" spans="1:8" s="174" customFormat="1" ht="18" customHeight="1">
      <c r="A2458" s="994"/>
      <c r="B2458" s="994"/>
      <c r="C2458" s="994"/>
      <c r="D2458" s="996" t="s">
        <v>78</v>
      </c>
      <c r="E2458" s="996"/>
      <c r="F2458" s="996"/>
      <c r="G2458" s="997">
        <v>3500</v>
      </c>
      <c r="H2458" s="997"/>
    </row>
    <row r="2459" spans="1:8" s="174" customFormat="1" ht="18" customHeight="1">
      <c r="A2459" s="990"/>
      <c r="B2459" s="990"/>
      <c r="C2459" s="990"/>
      <c r="D2459" s="1099" t="s">
        <v>813</v>
      </c>
      <c r="E2459" s="1099"/>
      <c r="F2459" s="1099"/>
      <c r="G2459" s="1100">
        <v>3500</v>
      </c>
      <c r="H2459" s="1100"/>
    </row>
    <row r="2460" spans="1:8" s="174" customFormat="1" ht="18" customHeight="1">
      <c r="A2460" s="1101"/>
      <c r="B2460" s="1101"/>
      <c r="C2460" s="1101"/>
      <c r="D2460" s="1102" t="s">
        <v>527</v>
      </c>
      <c r="E2460" s="1102"/>
      <c r="F2460" s="1102"/>
      <c r="G2460" s="1103">
        <v>1500</v>
      </c>
      <c r="H2460" s="1103"/>
    </row>
    <row r="2461" spans="1:8" s="174" customFormat="1" ht="25.5">
      <c r="A2461" s="994"/>
      <c r="B2461" s="994"/>
      <c r="C2461" s="994"/>
      <c r="D2461" s="996" t="s">
        <v>79</v>
      </c>
      <c r="E2461" s="996"/>
      <c r="F2461" s="996"/>
      <c r="G2461" s="997">
        <v>4000</v>
      </c>
      <c r="H2461" s="997"/>
    </row>
    <row r="2462" spans="1:8" s="174" customFormat="1" ht="18" customHeight="1">
      <c r="A2462" s="994"/>
      <c r="B2462" s="994"/>
      <c r="C2462" s="994"/>
      <c r="D2462" s="996" t="s">
        <v>80</v>
      </c>
      <c r="E2462" s="996"/>
      <c r="F2462" s="996"/>
      <c r="G2462" s="997">
        <v>4000</v>
      </c>
      <c r="H2462" s="997"/>
    </row>
    <row r="2463" spans="1:8" s="174" customFormat="1" ht="18" customHeight="1">
      <c r="A2463" s="994"/>
      <c r="B2463" s="994"/>
      <c r="C2463" s="994"/>
      <c r="D2463" s="996" t="s">
        <v>528</v>
      </c>
      <c r="E2463" s="996"/>
      <c r="F2463" s="996"/>
      <c r="G2463" s="997">
        <v>2500</v>
      </c>
      <c r="H2463" s="997"/>
    </row>
    <row r="2464" spans="1:8" s="174" customFormat="1" ht="18" customHeight="1">
      <c r="A2464" s="994"/>
      <c r="B2464" s="994"/>
      <c r="C2464" s="994"/>
      <c r="D2464" s="996" t="s">
        <v>529</v>
      </c>
      <c r="E2464" s="996"/>
      <c r="F2464" s="996"/>
      <c r="G2464" s="997">
        <v>4000</v>
      </c>
      <c r="H2464" s="997"/>
    </row>
    <row r="2465" spans="1:8" s="174" customFormat="1" ht="25.5">
      <c r="A2465" s="994"/>
      <c r="B2465" s="994"/>
      <c r="C2465" s="994"/>
      <c r="D2465" s="996" t="s">
        <v>530</v>
      </c>
      <c r="E2465" s="996"/>
      <c r="F2465" s="996"/>
      <c r="G2465" s="997">
        <v>2000</v>
      </c>
      <c r="H2465" s="997"/>
    </row>
    <row r="2466" spans="1:8" s="174" customFormat="1" ht="18" customHeight="1">
      <c r="A2466" s="994"/>
      <c r="B2466" s="994"/>
      <c r="C2466" s="994"/>
      <c r="D2466" s="996" t="s">
        <v>531</v>
      </c>
      <c r="E2466" s="996"/>
      <c r="F2466" s="996"/>
      <c r="G2466" s="997">
        <v>4500</v>
      </c>
      <c r="H2466" s="997"/>
    </row>
    <row r="2467" spans="1:8" s="174" customFormat="1" ht="18" customHeight="1">
      <c r="A2467" s="994"/>
      <c r="B2467" s="994"/>
      <c r="C2467" s="994"/>
      <c r="D2467" s="996" t="s">
        <v>532</v>
      </c>
      <c r="E2467" s="996"/>
      <c r="F2467" s="996"/>
      <c r="G2467" s="997">
        <v>2500</v>
      </c>
      <c r="H2467" s="997"/>
    </row>
    <row r="2468" spans="1:8" s="174" customFormat="1" ht="18" customHeight="1">
      <c r="A2468" s="994"/>
      <c r="B2468" s="994"/>
      <c r="C2468" s="994"/>
      <c r="D2468" s="996" t="s">
        <v>81</v>
      </c>
      <c r="E2468" s="996"/>
      <c r="F2468" s="996"/>
      <c r="G2468" s="997">
        <v>3500</v>
      </c>
      <c r="H2468" s="997"/>
    </row>
    <row r="2469" spans="1:8" s="174" customFormat="1" ht="18" customHeight="1">
      <c r="A2469" s="994"/>
      <c r="B2469" s="994"/>
      <c r="C2469" s="994"/>
      <c r="D2469" s="996" t="s">
        <v>82</v>
      </c>
      <c r="E2469" s="996"/>
      <c r="F2469" s="996"/>
      <c r="G2469" s="997">
        <v>3500</v>
      </c>
      <c r="H2469" s="997"/>
    </row>
    <row r="2470" spans="1:8" s="174" customFormat="1" ht="18" customHeight="1">
      <c r="A2470" s="994"/>
      <c r="B2470" s="994"/>
      <c r="C2470" s="994"/>
      <c r="D2470" s="998" t="s">
        <v>533</v>
      </c>
      <c r="E2470" s="998"/>
      <c r="F2470" s="998"/>
      <c r="G2470" s="999">
        <v>2000</v>
      </c>
      <c r="H2470" s="999"/>
    </row>
    <row r="2471" spans="1:8" s="174" customFormat="1" ht="18" customHeight="1">
      <c r="A2471" s="994"/>
      <c r="B2471" s="994"/>
      <c r="C2471" s="994"/>
      <c r="D2471" s="996" t="s">
        <v>534</v>
      </c>
      <c r="E2471" s="996"/>
      <c r="F2471" s="996"/>
      <c r="G2471" s="997">
        <v>3500</v>
      </c>
      <c r="H2471" s="997"/>
    </row>
    <row r="2472" spans="1:8" s="174" customFormat="1" ht="18" customHeight="1">
      <c r="A2472" s="994"/>
      <c r="B2472" s="994"/>
      <c r="C2472" s="994"/>
      <c r="D2472" s="996" t="s">
        <v>855</v>
      </c>
      <c r="E2472" s="996"/>
      <c r="F2472" s="996"/>
      <c r="G2472" s="997">
        <v>3000</v>
      </c>
      <c r="H2472" s="997"/>
    </row>
    <row r="2473" spans="1:8" s="174" customFormat="1" ht="18" customHeight="1">
      <c r="A2473" s="994"/>
      <c r="B2473" s="994"/>
      <c r="C2473" s="994"/>
      <c r="D2473" s="996" t="s">
        <v>535</v>
      </c>
      <c r="E2473" s="996"/>
      <c r="F2473" s="996"/>
      <c r="G2473" s="997">
        <v>3000</v>
      </c>
      <c r="H2473" s="997"/>
    </row>
    <row r="2474" spans="1:8" s="174" customFormat="1" ht="18" customHeight="1">
      <c r="A2474" s="994"/>
      <c r="B2474" s="994"/>
      <c r="C2474" s="994"/>
      <c r="D2474" s="996" t="s">
        <v>536</v>
      </c>
      <c r="E2474" s="996"/>
      <c r="F2474" s="996"/>
      <c r="G2474" s="997">
        <v>3500</v>
      </c>
      <c r="H2474" s="997"/>
    </row>
    <row r="2475" spans="1:8" s="174" customFormat="1" ht="18" customHeight="1">
      <c r="A2475" s="994"/>
      <c r="B2475" s="994"/>
      <c r="C2475" s="994"/>
      <c r="D2475" s="996" t="s">
        <v>482</v>
      </c>
      <c r="E2475" s="996"/>
      <c r="F2475" s="996"/>
      <c r="G2475" s="997">
        <v>5500</v>
      </c>
      <c r="H2475" s="997"/>
    </row>
    <row r="2476" spans="1:8" s="174" customFormat="1" ht="25.5">
      <c r="A2476" s="994"/>
      <c r="B2476" s="994"/>
      <c r="C2476" s="994"/>
      <c r="D2476" s="996" t="s">
        <v>483</v>
      </c>
      <c r="E2476" s="996"/>
      <c r="F2476" s="996"/>
      <c r="G2476" s="997">
        <v>1500</v>
      </c>
      <c r="H2476" s="997"/>
    </row>
    <row r="2477" spans="1:8" s="174" customFormat="1" ht="18" customHeight="1">
      <c r="A2477" s="994"/>
      <c r="B2477" s="994"/>
      <c r="C2477" s="994"/>
      <c r="D2477" s="996" t="s">
        <v>484</v>
      </c>
      <c r="E2477" s="996"/>
      <c r="F2477" s="996"/>
      <c r="G2477" s="997">
        <v>17000</v>
      </c>
      <c r="H2477" s="997"/>
    </row>
    <row r="2478" spans="1:8" s="174" customFormat="1" ht="25.5">
      <c r="A2478" s="994"/>
      <c r="B2478" s="994"/>
      <c r="C2478" s="994"/>
      <c r="D2478" s="996" t="s">
        <v>83</v>
      </c>
      <c r="E2478" s="996"/>
      <c r="F2478" s="996"/>
      <c r="G2478" s="997">
        <v>5000</v>
      </c>
      <c r="H2478" s="997"/>
    </row>
    <row r="2479" spans="1:8" s="174" customFormat="1" ht="25.5">
      <c r="A2479" s="994"/>
      <c r="B2479" s="994"/>
      <c r="C2479" s="994"/>
      <c r="D2479" s="248" t="s">
        <v>20</v>
      </c>
      <c r="E2479" s="996"/>
      <c r="F2479" s="996"/>
      <c r="G2479" s="997">
        <v>3000</v>
      </c>
      <c r="H2479" s="997"/>
    </row>
    <row r="2480" spans="1:8" s="174" customFormat="1" ht="18" customHeight="1">
      <c r="A2480" s="994"/>
      <c r="B2480" s="994"/>
      <c r="C2480" s="994"/>
      <c r="D2480" s="996" t="s">
        <v>485</v>
      </c>
      <c r="E2480" s="996"/>
      <c r="F2480" s="996"/>
      <c r="G2480" s="997">
        <v>2000</v>
      </c>
      <c r="H2480" s="997"/>
    </row>
    <row r="2481" spans="1:8" s="174" customFormat="1" ht="18" customHeight="1">
      <c r="A2481" s="994"/>
      <c r="B2481" s="994"/>
      <c r="C2481" s="994"/>
      <c r="D2481" s="996" t="s">
        <v>486</v>
      </c>
      <c r="E2481" s="996"/>
      <c r="F2481" s="996"/>
      <c r="G2481" s="997">
        <v>2500</v>
      </c>
      <c r="H2481" s="997"/>
    </row>
    <row r="2482" spans="1:8" s="174" customFormat="1" ht="25.5">
      <c r="A2482" s="994"/>
      <c r="B2482" s="994"/>
      <c r="C2482" s="994"/>
      <c r="D2482" s="996" t="s">
        <v>487</v>
      </c>
      <c r="E2482" s="996"/>
      <c r="F2482" s="996"/>
      <c r="G2482" s="997">
        <v>2000</v>
      </c>
      <c r="H2482" s="997"/>
    </row>
    <row r="2483" spans="1:8" s="174" customFormat="1" ht="18" customHeight="1">
      <c r="A2483" s="994"/>
      <c r="B2483" s="994"/>
      <c r="C2483" s="994"/>
      <c r="D2483" s="996" t="s">
        <v>488</v>
      </c>
      <c r="E2483" s="996"/>
      <c r="F2483" s="996"/>
      <c r="G2483" s="997">
        <v>4000</v>
      </c>
      <c r="H2483" s="997"/>
    </row>
    <row r="2484" spans="1:8" s="174" customFormat="1" ht="25.5">
      <c r="A2484" s="994"/>
      <c r="B2484" s="994"/>
      <c r="C2484" s="994"/>
      <c r="D2484" s="996" t="s">
        <v>852</v>
      </c>
      <c r="E2484" s="996"/>
      <c r="F2484" s="996"/>
      <c r="G2484" s="997">
        <v>7000</v>
      </c>
      <c r="H2484" s="997"/>
    </row>
    <row r="2485" spans="1:8" ht="24.75" customHeight="1">
      <c r="A2485" s="301"/>
      <c r="B2485" s="301"/>
      <c r="C2485" s="181">
        <v>2820</v>
      </c>
      <c r="D2485" s="189" t="s">
        <v>303</v>
      </c>
      <c r="E2485" s="176"/>
      <c r="F2485" s="176"/>
      <c r="G2485" s="176">
        <f>SUM(G2457:G2484)</f>
        <v>106000</v>
      </c>
      <c r="H2485" s="176"/>
    </row>
    <row r="2486" spans="1:8" ht="19.5" customHeight="1">
      <c r="A2486" s="302"/>
      <c r="B2486" s="302"/>
      <c r="C2486" s="181">
        <v>4300</v>
      </c>
      <c r="D2486" s="189" t="s">
        <v>815</v>
      </c>
      <c r="E2486" s="232"/>
      <c r="F2486" s="232"/>
      <c r="G2486" s="232">
        <v>24340</v>
      </c>
      <c r="H2486" s="232"/>
    </row>
    <row r="2487" spans="1:8" ht="19.5" customHeight="1">
      <c r="A2487" s="322"/>
      <c r="B2487" s="322"/>
      <c r="C2487" s="193"/>
      <c r="D2487" s="1079" t="s">
        <v>767</v>
      </c>
      <c r="E2487" s="1080"/>
      <c r="F2487" s="1080"/>
      <c r="G2487" s="1080">
        <f>G2488</f>
        <v>14460</v>
      </c>
      <c r="H2487" s="1080"/>
    </row>
    <row r="2488" spans="1:8" ht="19.5" customHeight="1">
      <c r="A2488" s="301"/>
      <c r="B2488" s="301"/>
      <c r="C2488" s="181">
        <v>4300</v>
      </c>
      <c r="D2488" s="189" t="s">
        <v>815</v>
      </c>
      <c r="E2488" s="176"/>
      <c r="F2488" s="176"/>
      <c r="G2488" s="176">
        <v>14460</v>
      </c>
      <c r="H2488" s="176"/>
    </row>
    <row r="2489" spans="1:8" ht="19.5" customHeight="1">
      <c r="A2489" s="301"/>
      <c r="B2489" s="301"/>
      <c r="C2489" s="56"/>
      <c r="D2489" s="1079" t="s">
        <v>768</v>
      </c>
      <c r="E2489" s="1080"/>
      <c r="F2489" s="1080"/>
      <c r="G2489" s="1080">
        <f>G2490</f>
        <v>22540</v>
      </c>
      <c r="H2489" s="1080"/>
    </row>
    <row r="2490" spans="1:8" ht="19.5" customHeight="1">
      <c r="A2490" s="302"/>
      <c r="B2490" s="302"/>
      <c r="C2490" s="181">
        <v>4300</v>
      </c>
      <c r="D2490" s="189" t="s">
        <v>815</v>
      </c>
      <c r="E2490" s="176"/>
      <c r="F2490" s="176"/>
      <c r="G2490" s="176">
        <v>22540</v>
      </c>
      <c r="H2490" s="176"/>
    </row>
    <row r="2491" spans="1:8" s="1" customFormat="1" ht="19.5" customHeight="1" thickBot="1">
      <c r="A2491" s="394">
        <v>921</v>
      </c>
      <c r="B2491" s="394"/>
      <c r="C2491" s="414"/>
      <c r="D2491" s="394" t="s">
        <v>401</v>
      </c>
      <c r="E2491" s="377"/>
      <c r="F2491" s="377"/>
      <c r="G2491" s="377">
        <f>G2492+G2561+G2567+G2586+G2592+G2599</f>
        <v>17986127</v>
      </c>
      <c r="H2491" s="377"/>
    </row>
    <row r="2492" spans="1:8" s="1" customFormat="1" ht="19.5" customHeight="1">
      <c r="A2492" s="2"/>
      <c r="B2492" s="3">
        <v>92105</v>
      </c>
      <c r="C2492" s="3"/>
      <c r="D2492" s="3" t="s">
        <v>397</v>
      </c>
      <c r="E2492" s="4"/>
      <c r="F2492" s="4"/>
      <c r="G2492" s="4">
        <f>G2493+G2552+G2554+G2556</f>
        <v>920000</v>
      </c>
      <c r="H2492" s="4"/>
    </row>
    <row r="2493" spans="1:8" s="1" customFormat="1" ht="19.5" customHeight="1">
      <c r="A2493" s="2"/>
      <c r="B2493" s="5"/>
      <c r="C2493" s="47"/>
      <c r="D2493" s="312" t="s">
        <v>152</v>
      </c>
      <c r="E2493" s="17"/>
      <c r="F2493" s="17"/>
      <c r="G2493" s="17">
        <f>G2494+G2527+G2534+G2541+G2548</f>
        <v>825000</v>
      </c>
      <c r="H2493" s="17"/>
    </row>
    <row r="2494" spans="1:8" s="1" customFormat="1" ht="19.5" customHeight="1">
      <c r="A2494" s="2"/>
      <c r="B2494" s="2"/>
      <c r="C2494" s="2"/>
      <c r="D2494" s="314" t="s">
        <v>613</v>
      </c>
      <c r="E2494" s="313"/>
      <c r="F2494" s="313"/>
      <c r="G2494" s="313">
        <f>G2499+G2524+G2526+G2496</f>
        <v>485000</v>
      </c>
      <c r="H2494" s="313"/>
    </row>
    <row r="2495" spans="1:8" s="8" customFormat="1" ht="25.5">
      <c r="A2495" s="50"/>
      <c r="B2495" s="50"/>
      <c r="C2495" s="50"/>
      <c r="D2495" s="372" t="s">
        <v>654</v>
      </c>
      <c r="E2495" s="373"/>
      <c r="F2495" s="373"/>
      <c r="G2495" s="373">
        <v>6000</v>
      </c>
      <c r="H2495" s="373"/>
    </row>
    <row r="2496" spans="1:8" s="8" customFormat="1" ht="25.5">
      <c r="A2496" s="18"/>
      <c r="B2496" s="18"/>
      <c r="C2496" s="22">
        <v>2800</v>
      </c>
      <c r="D2496" s="20" t="s">
        <v>160</v>
      </c>
      <c r="E2496" s="6"/>
      <c r="F2496" s="6"/>
      <c r="G2496" s="6">
        <v>6000</v>
      </c>
      <c r="H2496" s="6"/>
    </row>
    <row r="2497" spans="1:8" s="1" customFormat="1" ht="19.5" customHeight="1">
      <c r="A2497" s="2"/>
      <c r="B2497" s="2"/>
      <c r="C2497" s="2"/>
      <c r="D2497" s="356" t="s">
        <v>603</v>
      </c>
      <c r="E2497" s="358"/>
      <c r="F2497" s="358"/>
      <c r="G2497" s="358">
        <v>35000</v>
      </c>
      <c r="H2497" s="358"/>
    </row>
    <row r="2498" spans="1:8" s="1" customFormat="1" ht="19.5" customHeight="1">
      <c r="A2498" s="2"/>
      <c r="B2498" s="2"/>
      <c r="C2498" s="2"/>
      <c r="D2498" s="332" t="s">
        <v>604</v>
      </c>
      <c r="E2498" s="296"/>
      <c r="F2498" s="296"/>
      <c r="G2498" s="296">
        <v>25000</v>
      </c>
      <c r="H2498" s="296"/>
    </row>
    <row r="2499" spans="1:8" s="8" customFormat="1" ht="25.5">
      <c r="A2499" s="18"/>
      <c r="B2499" s="18"/>
      <c r="C2499" s="22">
        <v>2810</v>
      </c>
      <c r="D2499" s="20" t="s">
        <v>279</v>
      </c>
      <c r="E2499" s="6"/>
      <c r="F2499" s="6"/>
      <c r="G2499" s="6">
        <f>G2498+G2497</f>
        <v>60000</v>
      </c>
      <c r="H2499" s="6"/>
    </row>
    <row r="2500" spans="1:8" s="1" customFormat="1" ht="19.5" customHeight="1">
      <c r="A2500" s="2"/>
      <c r="B2500" s="2"/>
      <c r="C2500" s="2"/>
      <c r="D2500" s="332" t="s">
        <v>605</v>
      </c>
      <c r="E2500" s="337"/>
      <c r="F2500" s="337"/>
      <c r="G2500" s="296">
        <v>15000</v>
      </c>
      <c r="H2500" s="296"/>
    </row>
    <row r="2501" spans="1:8" s="1" customFormat="1" ht="19.5" customHeight="1">
      <c r="A2501" s="2"/>
      <c r="B2501" s="2"/>
      <c r="C2501" s="2"/>
      <c r="D2501" s="332" t="s">
        <v>606</v>
      </c>
      <c r="E2501" s="337"/>
      <c r="F2501" s="337"/>
      <c r="G2501" s="296">
        <v>8500</v>
      </c>
      <c r="H2501" s="296"/>
    </row>
    <row r="2502" spans="1:8" s="1" customFormat="1" ht="19.5" customHeight="1">
      <c r="A2502" s="2"/>
      <c r="B2502" s="2"/>
      <c r="C2502" s="2"/>
      <c r="D2502" s="332" t="s">
        <v>256</v>
      </c>
      <c r="E2502" s="337"/>
      <c r="F2502" s="337"/>
      <c r="G2502" s="296">
        <v>28220</v>
      </c>
      <c r="H2502" s="296"/>
    </row>
    <row r="2503" spans="1:8" s="1" customFormat="1" ht="25.5">
      <c r="A2503" s="2"/>
      <c r="B2503" s="2"/>
      <c r="C2503" s="2"/>
      <c r="D2503" s="332" t="s">
        <v>607</v>
      </c>
      <c r="E2503" s="337"/>
      <c r="F2503" s="337"/>
      <c r="G2503" s="296">
        <v>12000</v>
      </c>
      <c r="H2503" s="296"/>
    </row>
    <row r="2504" spans="1:8" s="1" customFormat="1" ht="25.5">
      <c r="A2504" s="2"/>
      <c r="B2504" s="2"/>
      <c r="C2504" s="2"/>
      <c r="D2504" s="332" t="s">
        <v>257</v>
      </c>
      <c r="E2504" s="337"/>
      <c r="F2504" s="337"/>
      <c r="G2504" s="296">
        <v>10000</v>
      </c>
      <c r="H2504" s="296"/>
    </row>
    <row r="2505" spans="1:8" s="1" customFormat="1" ht="25.5">
      <c r="A2505" s="2"/>
      <c r="B2505" s="2"/>
      <c r="C2505" s="2"/>
      <c r="D2505" s="332" t="s">
        <v>608</v>
      </c>
      <c r="E2505" s="337"/>
      <c r="F2505" s="337"/>
      <c r="G2505" s="296">
        <v>7000</v>
      </c>
      <c r="H2505" s="296"/>
    </row>
    <row r="2506" spans="1:8" s="1" customFormat="1" ht="25.5">
      <c r="A2506" s="2"/>
      <c r="B2506" s="2"/>
      <c r="C2506" s="2"/>
      <c r="D2506" s="332" t="s">
        <v>609</v>
      </c>
      <c r="E2506" s="337"/>
      <c r="F2506" s="337"/>
      <c r="G2506" s="296">
        <v>7000</v>
      </c>
      <c r="H2506" s="296"/>
    </row>
    <row r="2507" spans="1:8" s="1" customFormat="1" ht="19.5" customHeight="1">
      <c r="A2507" s="2"/>
      <c r="B2507" s="2"/>
      <c r="C2507" s="2"/>
      <c r="D2507" s="332" t="s">
        <v>610</v>
      </c>
      <c r="E2507" s="337"/>
      <c r="F2507" s="337"/>
      <c r="G2507" s="296">
        <v>16700</v>
      </c>
      <c r="H2507" s="296"/>
    </row>
    <row r="2508" spans="1:8" s="1" customFormat="1" ht="25.5">
      <c r="A2508" s="2"/>
      <c r="B2508" s="2"/>
      <c r="C2508" s="2"/>
      <c r="D2508" s="332" t="s">
        <v>258</v>
      </c>
      <c r="E2508" s="337"/>
      <c r="F2508" s="337"/>
      <c r="G2508" s="296">
        <v>8000</v>
      </c>
      <c r="H2508" s="296"/>
    </row>
    <row r="2509" spans="1:8" s="1" customFormat="1" ht="25.5">
      <c r="A2509" s="2"/>
      <c r="B2509" s="2"/>
      <c r="C2509" s="2"/>
      <c r="D2509" s="332" t="s">
        <v>611</v>
      </c>
      <c r="E2509" s="337"/>
      <c r="F2509" s="337"/>
      <c r="G2509" s="296">
        <v>10000</v>
      </c>
      <c r="H2509" s="296"/>
    </row>
    <row r="2510" spans="1:8" s="1" customFormat="1" ht="19.5" customHeight="1">
      <c r="A2510" s="2"/>
      <c r="B2510" s="2"/>
      <c r="C2510" s="2"/>
      <c r="D2510" s="332" t="s">
        <v>991</v>
      </c>
      <c r="E2510" s="337"/>
      <c r="F2510" s="337"/>
      <c r="G2510" s="296">
        <v>28000</v>
      </c>
      <c r="H2510" s="296"/>
    </row>
    <row r="2511" spans="1:8" s="1" customFormat="1" ht="19.5" customHeight="1">
      <c r="A2511" s="3"/>
      <c r="B2511" s="3"/>
      <c r="C2511" s="3"/>
      <c r="D2511" s="306" t="s">
        <v>1</v>
      </c>
      <c r="E2511" s="298"/>
      <c r="F2511" s="298"/>
      <c r="G2511" s="234">
        <v>48000</v>
      </c>
      <c r="H2511" s="234"/>
    </row>
    <row r="2512" spans="1:8" s="1" customFormat="1" ht="19.5" customHeight="1">
      <c r="A2512" s="5"/>
      <c r="B2512" s="5"/>
      <c r="C2512" s="5"/>
      <c r="D2512" s="1045" t="s">
        <v>2</v>
      </c>
      <c r="E2512" s="1104"/>
      <c r="F2512" s="1104"/>
      <c r="G2512" s="180">
        <v>11000</v>
      </c>
      <c r="H2512" s="180"/>
    </row>
    <row r="2513" spans="1:8" s="1" customFormat="1" ht="19.5" customHeight="1">
      <c r="A2513" s="2"/>
      <c r="B2513" s="2"/>
      <c r="C2513" s="2"/>
      <c r="D2513" s="332" t="s">
        <v>3</v>
      </c>
      <c r="E2513" s="337"/>
      <c r="F2513" s="337"/>
      <c r="G2513" s="296">
        <v>13350</v>
      </c>
      <c r="H2513" s="296"/>
    </row>
    <row r="2514" spans="1:8" s="1" customFormat="1" ht="25.5">
      <c r="A2514" s="2"/>
      <c r="B2514" s="2"/>
      <c r="C2514" s="2"/>
      <c r="D2514" s="332" t="s">
        <v>4</v>
      </c>
      <c r="E2514" s="337"/>
      <c r="F2514" s="337"/>
      <c r="G2514" s="296">
        <v>3800</v>
      </c>
      <c r="H2514" s="296"/>
    </row>
    <row r="2515" spans="1:8" s="1" customFormat="1" ht="25.5">
      <c r="A2515" s="2"/>
      <c r="B2515" s="2"/>
      <c r="C2515" s="2"/>
      <c r="D2515" s="332" t="s">
        <v>5</v>
      </c>
      <c r="E2515" s="337"/>
      <c r="F2515" s="337"/>
      <c r="G2515" s="296">
        <v>3000</v>
      </c>
      <c r="H2515" s="296"/>
    </row>
    <row r="2516" spans="1:8" s="1" customFormat="1" ht="25.5">
      <c r="A2516" s="2"/>
      <c r="B2516" s="2"/>
      <c r="C2516" s="2"/>
      <c r="D2516" s="332" t="s">
        <v>9</v>
      </c>
      <c r="E2516" s="337"/>
      <c r="F2516" s="337"/>
      <c r="G2516" s="296">
        <v>3000</v>
      </c>
      <c r="H2516" s="296"/>
    </row>
    <row r="2517" spans="1:8" s="1" customFormat="1" ht="19.5" customHeight="1">
      <c r="A2517" s="2"/>
      <c r="B2517" s="2"/>
      <c r="C2517" s="2"/>
      <c r="D2517" s="332" t="s">
        <v>6</v>
      </c>
      <c r="E2517" s="337"/>
      <c r="F2517" s="337"/>
      <c r="G2517" s="296">
        <v>16200</v>
      </c>
      <c r="H2517" s="296"/>
    </row>
    <row r="2518" spans="1:8" s="1" customFormat="1" ht="25.5">
      <c r="A2518" s="2"/>
      <c r="B2518" s="2"/>
      <c r="C2518" s="2"/>
      <c r="D2518" s="332" t="s">
        <v>7</v>
      </c>
      <c r="E2518" s="337"/>
      <c r="F2518" s="337"/>
      <c r="G2518" s="296">
        <v>2130</v>
      </c>
      <c r="H2518" s="296"/>
    </row>
    <row r="2519" spans="1:8" s="1" customFormat="1" ht="25.5">
      <c r="A2519" s="2"/>
      <c r="B2519" s="2"/>
      <c r="C2519" s="2"/>
      <c r="D2519" s="332" t="s">
        <v>8</v>
      </c>
      <c r="E2519" s="337"/>
      <c r="F2519" s="337"/>
      <c r="G2519" s="296">
        <v>10000</v>
      </c>
      <c r="H2519" s="296"/>
    </row>
    <row r="2520" spans="1:8" s="1" customFormat="1" ht="25.5">
      <c r="A2520" s="2"/>
      <c r="B2520" s="2"/>
      <c r="C2520" s="2"/>
      <c r="D2520" s="332" t="s">
        <v>10</v>
      </c>
      <c r="E2520" s="337"/>
      <c r="F2520" s="337"/>
      <c r="G2520" s="296">
        <v>15100</v>
      </c>
      <c r="H2520" s="296"/>
    </row>
    <row r="2521" spans="1:8" s="1" customFormat="1" ht="25.5">
      <c r="A2521" s="2"/>
      <c r="B2521" s="2"/>
      <c r="C2521" s="2"/>
      <c r="D2521" s="332" t="s">
        <v>11</v>
      </c>
      <c r="E2521" s="337"/>
      <c r="F2521" s="337"/>
      <c r="G2521" s="296">
        <v>5000</v>
      </c>
      <c r="H2521" s="296"/>
    </row>
    <row r="2522" spans="1:8" s="1" customFormat="1" ht="25.5">
      <c r="A2522" s="2"/>
      <c r="B2522" s="2"/>
      <c r="C2522" s="2"/>
      <c r="D2522" s="366" t="s">
        <v>12</v>
      </c>
      <c r="E2522" s="456"/>
      <c r="F2522" s="456"/>
      <c r="G2522" s="367">
        <v>8000</v>
      </c>
      <c r="H2522" s="367"/>
    </row>
    <row r="2523" spans="1:8" s="1" customFormat="1" ht="25.5">
      <c r="A2523" s="2"/>
      <c r="B2523" s="2"/>
      <c r="C2523" s="2"/>
      <c r="D2523" s="366" t="s">
        <v>732</v>
      </c>
      <c r="E2523" s="456"/>
      <c r="F2523" s="456"/>
      <c r="G2523" s="367">
        <v>100000</v>
      </c>
      <c r="H2523" s="367"/>
    </row>
    <row r="2524" spans="1:8" s="8" customFormat="1" ht="25.5">
      <c r="A2524" s="18"/>
      <c r="B2524" s="18"/>
      <c r="C2524" s="22">
        <v>2820</v>
      </c>
      <c r="D2524" s="20" t="s">
        <v>303</v>
      </c>
      <c r="E2524" s="6"/>
      <c r="F2524" s="6"/>
      <c r="G2524" s="6">
        <f>SUM(G2500:G2523)</f>
        <v>389000</v>
      </c>
      <c r="H2524" s="6"/>
    </row>
    <row r="2525" spans="1:8" s="1" customFormat="1" ht="25.5">
      <c r="A2525" s="2"/>
      <c r="B2525" s="2"/>
      <c r="C2525" s="2"/>
      <c r="D2525" s="366" t="s">
        <v>13</v>
      </c>
      <c r="E2525" s="456"/>
      <c r="F2525" s="456"/>
      <c r="G2525" s="367">
        <v>30000</v>
      </c>
      <c r="H2525" s="367"/>
    </row>
    <row r="2526" spans="1:8" s="8" customFormat="1" ht="25.5">
      <c r="A2526" s="18"/>
      <c r="B2526" s="18"/>
      <c r="C2526" s="22">
        <v>2830</v>
      </c>
      <c r="D2526" s="20" t="s">
        <v>278</v>
      </c>
      <c r="E2526" s="6"/>
      <c r="F2526" s="6"/>
      <c r="G2526" s="6">
        <f>G2525</f>
        <v>30000</v>
      </c>
      <c r="H2526" s="6"/>
    </row>
    <row r="2527" spans="1:8" s="1" customFormat="1" ht="19.5" customHeight="1">
      <c r="A2527" s="2"/>
      <c r="B2527" s="2"/>
      <c r="C2527" s="2"/>
      <c r="D2527" s="273" t="s">
        <v>922</v>
      </c>
      <c r="E2527" s="289"/>
      <c r="F2527" s="289"/>
      <c r="G2527" s="289">
        <f>G2531+G2533</f>
        <v>20000</v>
      </c>
      <c r="H2527" s="289"/>
    </row>
    <row r="2528" spans="1:8" s="1" customFormat="1" ht="25.5">
      <c r="A2528" s="2"/>
      <c r="B2528" s="2"/>
      <c r="C2528" s="2"/>
      <c r="D2528" s="356" t="s">
        <v>14</v>
      </c>
      <c r="E2528" s="358"/>
      <c r="F2528" s="358"/>
      <c r="G2528" s="358">
        <v>8000</v>
      </c>
      <c r="H2528" s="358"/>
    </row>
    <row r="2529" spans="1:8" s="1" customFormat="1" ht="19.5" customHeight="1">
      <c r="A2529" s="2"/>
      <c r="B2529" s="2"/>
      <c r="C2529" s="2"/>
      <c r="D2529" s="332" t="s">
        <v>15</v>
      </c>
      <c r="E2529" s="296"/>
      <c r="F2529" s="296"/>
      <c r="G2529" s="296">
        <v>5000</v>
      </c>
      <c r="H2529" s="296"/>
    </row>
    <row r="2530" spans="1:8" s="1" customFormat="1" ht="25.5">
      <c r="A2530" s="2"/>
      <c r="B2530" s="2"/>
      <c r="C2530" s="2"/>
      <c r="D2530" s="332" t="s">
        <v>4</v>
      </c>
      <c r="E2530" s="296"/>
      <c r="F2530" s="296"/>
      <c r="G2530" s="296">
        <v>4000</v>
      </c>
      <c r="H2530" s="296"/>
    </row>
    <row r="2531" spans="1:8" s="8" customFormat="1" ht="25.5">
      <c r="A2531" s="18"/>
      <c r="B2531" s="18"/>
      <c r="C2531" s="22">
        <v>2820</v>
      </c>
      <c r="D2531" s="20" t="s">
        <v>303</v>
      </c>
      <c r="E2531" s="6"/>
      <c r="F2531" s="6"/>
      <c r="G2531" s="6">
        <f>G2530+G2529+G2528</f>
        <v>17000</v>
      </c>
      <c r="H2531" s="6"/>
    </row>
    <row r="2532" spans="1:8" s="1" customFormat="1" ht="25.5">
      <c r="A2532" s="2"/>
      <c r="B2532" s="2"/>
      <c r="C2532" s="2"/>
      <c r="D2532" s="332" t="s">
        <v>84</v>
      </c>
      <c r="E2532" s="337"/>
      <c r="F2532" s="337"/>
      <c r="G2532" s="296">
        <v>3000</v>
      </c>
      <c r="H2532" s="296"/>
    </row>
    <row r="2533" spans="1:8" s="8" customFormat="1" ht="25.5">
      <c r="A2533" s="18"/>
      <c r="B2533" s="18"/>
      <c r="C2533" s="22">
        <v>2830</v>
      </c>
      <c r="D2533" s="20" t="s">
        <v>278</v>
      </c>
      <c r="E2533" s="6"/>
      <c r="F2533" s="6"/>
      <c r="G2533" s="6">
        <f>G2532</f>
        <v>3000</v>
      </c>
      <c r="H2533" s="6"/>
    </row>
    <row r="2534" spans="1:8" s="1" customFormat="1" ht="19.5" customHeight="1">
      <c r="A2534" s="3"/>
      <c r="B2534" s="3"/>
      <c r="C2534" s="3"/>
      <c r="D2534" s="1065" t="s">
        <v>923</v>
      </c>
      <c r="E2534" s="1092"/>
      <c r="F2534" s="1092"/>
      <c r="G2534" s="1092">
        <f>G2540</f>
        <v>25000</v>
      </c>
      <c r="H2534" s="1092"/>
    </row>
    <row r="2535" spans="1:8" s="1" customFormat="1" ht="19.5" customHeight="1">
      <c r="A2535" s="5"/>
      <c r="B2535" s="5"/>
      <c r="C2535" s="5"/>
      <c r="D2535" s="1045" t="s">
        <v>15</v>
      </c>
      <c r="E2535" s="180"/>
      <c r="F2535" s="180"/>
      <c r="G2535" s="180">
        <v>12000</v>
      </c>
      <c r="H2535" s="180"/>
    </row>
    <row r="2536" spans="1:8" s="1" customFormat="1" ht="25.5">
      <c r="A2536" s="2"/>
      <c r="B2536" s="2"/>
      <c r="C2536" s="2"/>
      <c r="D2536" s="332" t="s">
        <v>4</v>
      </c>
      <c r="E2536" s="296"/>
      <c r="F2536" s="296"/>
      <c r="G2536" s="296">
        <v>4000</v>
      </c>
      <c r="H2536" s="296"/>
    </row>
    <row r="2537" spans="1:8" s="1" customFormat="1" ht="25.5">
      <c r="A2537" s="2"/>
      <c r="B2537" s="2"/>
      <c r="C2537" s="2"/>
      <c r="D2537" s="356" t="s">
        <v>14</v>
      </c>
      <c r="E2537" s="296"/>
      <c r="F2537" s="296"/>
      <c r="G2537" s="296">
        <v>4500</v>
      </c>
      <c r="H2537" s="296"/>
    </row>
    <row r="2538" spans="1:8" s="1" customFormat="1" ht="25.5">
      <c r="A2538" s="2"/>
      <c r="B2538" s="2"/>
      <c r="C2538" s="2"/>
      <c r="D2538" s="294" t="s">
        <v>539</v>
      </c>
      <c r="E2538" s="296"/>
      <c r="F2538" s="296"/>
      <c r="G2538" s="296">
        <v>4000</v>
      </c>
      <c r="H2538" s="296"/>
    </row>
    <row r="2539" spans="1:8" s="1" customFormat="1" ht="19.5" customHeight="1">
      <c r="A2539" s="2"/>
      <c r="B2539" s="2"/>
      <c r="C2539" s="2"/>
      <c r="D2539" s="323" t="s">
        <v>1071</v>
      </c>
      <c r="E2539" s="359"/>
      <c r="F2539" s="359"/>
      <c r="G2539" s="250">
        <v>500</v>
      </c>
      <c r="H2539" s="250"/>
    </row>
    <row r="2540" spans="1:8" s="1" customFormat="1" ht="25.5">
      <c r="A2540" s="18"/>
      <c r="B2540" s="18"/>
      <c r="C2540" s="22">
        <v>2820</v>
      </c>
      <c r="D2540" s="20" t="s">
        <v>303</v>
      </c>
      <c r="E2540" s="6"/>
      <c r="F2540" s="6"/>
      <c r="G2540" s="6">
        <f>G2539+G2538+G2537+G2536+G2535</f>
        <v>25000</v>
      </c>
      <c r="H2540" s="6"/>
    </row>
    <row r="2541" spans="1:8" s="1" customFormat="1" ht="19.5" customHeight="1">
      <c r="A2541" s="2"/>
      <c r="B2541" s="2"/>
      <c r="C2541" s="2"/>
      <c r="D2541" s="273" t="s">
        <v>612</v>
      </c>
      <c r="E2541" s="289"/>
      <c r="F2541" s="289"/>
      <c r="G2541" s="289">
        <f>G2543+G2547</f>
        <v>35000</v>
      </c>
      <c r="H2541" s="289"/>
    </row>
    <row r="2542" spans="1:8" s="1" customFormat="1" ht="19.5" customHeight="1">
      <c r="A2542" s="2"/>
      <c r="B2542" s="2"/>
      <c r="C2542" s="2"/>
      <c r="D2542" s="356" t="s">
        <v>16</v>
      </c>
      <c r="E2542" s="358"/>
      <c r="F2542" s="358"/>
      <c r="G2542" s="358">
        <v>11000</v>
      </c>
      <c r="H2542" s="358"/>
    </row>
    <row r="2543" spans="1:8" s="8" customFormat="1" ht="25.5" customHeight="1">
      <c r="A2543" s="18"/>
      <c r="B2543" s="18"/>
      <c r="C2543" s="22">
        <v>2810</v>
      </c>
      <c r="D2543" s="20" t="s">
        <v>279</v>
      </c>
      <c r="E2543" s="6"/>
      <c r="F2543" s="6"/>
      <c r="G2543" s="6">
        <f>G2542</f>
        <v>11000</v>
      </c>
      <c r="H2543" s="6"/>
    </row>
    <row r="2544" spans="1:8" s="8" customFormat="1" ht="20.25" customHeight="1">
      <c r="A2544" s="18"/>
      <c r="B2544" s="18"/>
      <c r="C2544" s="18"/>
      <c r="D2544" s="293" t="s">
        <v>17</v>
      </c>
      <c r="E2544" s="178"/>
      <c r="F2544" s="178"/>
      <c r="G2544" s="178">
        <v>11000</v>
      </c>
      <c r="H2544" s="178"/>
    </row>
    <row r="2545" spans="1:8" s="8" customFormat="1" ht="25.5" customHeight="1">
      <c r="A2545" s="18"/>
      <c r="B2545" s="18"/>
      <c r="C2545" s="18"/>
      <c r="D2545" s="294" t="s">
        <v>610</v>
      </c>
      <c r="E2545" s="11"/>
      <c r="F2545" s="11"/>
      <c r="G2545" s="11">
        <v>11200</v>
      </c>
      <c r="H2545" s="11"/>
    </row>
    <row r="2546" spans="1:8" s="8" customFormat="1" ht="25.5" customHeight="1">
      <c r="A2546" s="18"/>
      <c r="B2546" s="18"/>
      <c r="C2546" s="18"/>
      <c r="D2546" s="294" t="s">
        <v>3</v>
      </c>
      <c r="E2546" s="11"/>
      <c r="F2546" s="11"/>
      <c r="G2546" s="11">
        <v>1800</v>
      </c>
      <c r="H2546" s="11"/>
    </row>
    <row r="2547" spans="1:8" s="8" customFormat="1" ht="25.5">
      <c r="A2547" s="18"/>
      <c r="B2547" s="18"/>
      <c r="C2547" s="22">
        <v>2820</v>
      </c>
      <c r="D2547" s="20" t="s">
        <v>303</v>
      </c>
      <c r="E2547" s="6"/>
      <c r="F2547" s="6"/>
      <c r="G2547" s="6">
        <f>G2546+G2545+G2544</f>
        <v>24000</v>
      </c>
      <c r="H2547" s="6"/>
    </row>
    <row r="2548" spans="1:8" s="1" customFormat="1" ht="19.5" customHeight="1">
      <c r="A2548" s="2"/>
      <c r="B2548" s="2"/>
      <c r="C2548" s="2"/>
      <c r="D2548" s="314" t="s">
        <v>219</v>
      </c>
      <c r="E2548" s="289"/>
      <c r="F2548" s="289"/>
      <c r="G2548" s="289">
        <f>SUM(G2549:G2551)</f>
        <v>260000</v>
      </c>
      <c r="H2548" s="289"/>
    </row>
    <row r="2549" spans="1:8" s="8" customFormat="1" ht="19.5" customHeight="1">
      <c r="A2549" s="18"/>
      <c r="B2549" s="18"/>
      <c r="C2549" s="22">
        <v>3040</v>
      </c>
      <c r="D2549" s="20" t="s">
        <v>56</v>
      </c>
      <c r="E2549" s="6"/>
      <c r="F2549" s="6"/>
      <c r="G2549" s="6">
        <v>40000</v>
      </c>
      <c r="H2549" s="6"/>
    </row>
    <row r="2550" spans="1:8" s="1" customFormat="1" ht="19.5" customHeight="1">
      <c r="A2550" s="18"/>
      <c r="B2550" s="18"/>
      <c r="C2550" s="22">
        <v>4210</v>
      </c>
      <c r="D2550" s="20" t="s">
        <v>748</v>
      </c>
      <c r="E2550" s="6"/>
      <c r="F2550" s="6"/>
      <c r="G2550" s="6">
        <v>10000</v>
      </c>
      <c r="H2550" s="6"/>
    </row>
    <row r="2551" spans="1:8" s="1" customFormat="1" ht="19.5" customHeight="1">
      <c r="A2551" s="18"/>
      <c r="B2551" s="18"/>
      <c r="C2551" s="22">
        <v>4300</v>
      </c>
      <c r="D2551" s="20" t="s">
        <v>815</v>
      </c>
      <c r="E2551" s="6"/>
      <c r="F2551" s="6"/>
      <c r="G2551" s="6">
        <v>210000</v>
      </c>
      <c r="H2551" s="6"/>
    </row>
    <row r="2552" spans="1:8" s="1" customFormat="1" ht="19.5" customHeight="1">
      <c r="A2552" s="86"/>
      <c r="B2552" s="86"/>
      <c r="C2552" s="18"/>
      <c r="D2552" s="316" t="s">
        <v>521</v>
      </c>
      <c r="E2552" s="17"/>
      <c r="F2552" s="17"/>
      <c r="G2552" s="17">
        <f>G2553</f>
        <v>35000</v>
      </c>
      <c r="H2552" s="17"/>
    </row>
    <row r="2553" spans="1:8" s="1" customFormat="1" ht="19.5" customHeight="1">
      <c r="A2553" s="86"/>
      <c r="B2553" s="86"/>
      <c r="C2553" s="22">
        <v>3240</v>
      </c>
      <c r="D2553" s="22" t="s">
        <v>57</v>
      </c>
      <c r="E2553" s="88"/>
      <c r="F2553" s="88"/>
      <c r="G2553" s="88">
        <v>35000</v>
      </c>
      <c r="H2553" s="88"/>
    </row>
    <row r="2554" spans="1:8" s="1" customFormat="1" ht="19.5" customHeight="1">
      <c r="A2554" s="86"/>
      <c r="B2554" s="86"/>
      <c r="C2554" s="18"/>
      <c r="D2554" s="316" t="s">
        <v>930</v>
      </c>
      <c r="E2554" s="17"/>
      <c r="F2554" s="17"/>
      <c r="G2554" s="17">
        <f>G2555</f>
        <v>40000</v>
      </c>
      <c r="H2554" s="17"/>
    </row>
    <row r="2555" spans="1:8" s="1" customFormat="1" ht="19.5" customHeight="1">
      <c r="A2555" s="86"/>
      <c r="B2555" s="86"/>
      <c r="C2555" s="22">
        <v>3040</v>
      </c>
      <c r="D2555" s="22" t="s">
        <v>56</v>
      </c>
      <c r="E2555" s="88"/>
      <c r="F2555" s="88"/>
      <c r="G2555" s="88">
        <v>40000</v>
      </c>
      <c r="H2555" s="88"/>
    </row>
    <row r="2556" spans="1:8" s="1" customFormat="1" ht="19.5" customHeight="1">
      <c r="A2556" s="86"/>
      <c r="B2556" s="86"/>
      <c r="C2556" s="18"/>
      <c r="D2556" s="316" t="s">
        <v>343</v>
      </c>
      <c r="E2556" s="17"/>
      <c r="F2556" s="17"/>
      <c r="G2556" s="17">
        <f>G2557+G2558+G2559+G2560</f>
        <v>20000</v>
      </c>
      <c r="H2556" s="17"/>
    </row>
    <row r="2557" spans="1:8" s="1" customFormat="1" ht="19.5" customHeight="1">
      <c r="A2557" s="86"/>
      <c r="B2557" s="86"/>
      <c r="C2557" s="22">
        <v>4170</v>
      </c>
      <c r="D2557" s="22" t="s">
        <v>58</v>
      </c>
      <c r="E2557" s="88"/>
      <c r="F2557" s="88"/>
      <c r="G2557" s="88">
        <v>12000</v>
      </c>
      <c r="H2557" s="88"/>
    </row>
    <row r="2558" spans="1:8" s="1" customFormat="1" ht="19.5" customHeight="1">
      <c r="A2558" s="86"/>
      <c r="B2558" s="86"/>
      <c r="C2558" s="144">
        <v>4300</v>
      </c>
      <c r="D2558" s="144" t="s">
        <v>815</v>
      </c>
      <c r="E2558" s="315"/>
      <c r="F2558" s="315"/>
      <c r="G2558" s="65">
        <f>8000-2702</f>
        <v>5298</v>
      </c>
      <c r="H2558" s="65"/>
    </row>
    <row r="2559" spans="1:8" ht="18" customHeight="1">
      <c r="A2559" s="994"/>
      <c r="B2559" s="994"/>
      <c r="C2559" s="181">
        <v>4350</v>
      </c>
      <c r="D2559" s="181" t="s">
        <v>853</v>
      </c>
      <c r="E2559" s="1000"/>
      <c r="F2559" s="1000"/>
      <c r="G2559" s="1000">
        <v>702</v>
      </c>
      <c r="H2559" s="1000"/>
    </row>
    <row r="2560" spans="1:8" ht="18" customHeight="1">
      <c r="A2560" s="990"/>
      <c r="B2560" s="990"/>
      <c r="C2560" s="255">
        <v>4380</v>
      </c>
      <c r="D2560" s="255" t="s">
        <v>199</v>
      </c>
      <c r="E2560" s="1000"/>
      <c r="F2560" s="1000"/>
      <c r="G2560" s="1000">
        <v>2000</v>
      </c>
      <c r="H2560" s="1000"/>
    </row>
    <row r="2561" spans="1:8" s="1" customFormat="1" ht="19.5" customHeight="1">
      <c r="A2561" s="5"/>
      <c r="B2561" s="13">
        <v>92106</v>
      </c>
      <c r="C2561" s="123"/>
      <c r="D2561" s="14" t="s">
        <v>223</v>
      </c>
      <c r="E2561" s="15"/>
      <c r="F2561" s="15"/>
      <c r="G2561" s="15">
        <f>G2562</f>
        <v>2950000</v>
      </c>
      <c r="H2561" s="15"/>
    </row>
    <row r="2562" spans="1:8" s="1" customFormat="1" ht="18.75" customHeight="1">
      <c r="A2562" s="86"/>
      <c r="B2562" s="122"/>
      <c r="C2562" s="128"/>
      <c r="D2562" s="348" t="s">
        <v>59</v>
      </c>
      <c r="E2562" s="17"/>
      <c r="F2562" s="243"/>
      <c r="G2562" s="243">
        <f>G2564+G2566</f>
        <v>2950000</v>
      </c>
      <c r="H2562" s="243"/>
    </row>
    <row r="2563" spans="1:8" s="1" customFormat="1" ht="18.75" customHeight="1">
      <c r="A2563" s="86"/>
      <c r="B2563" s="86"/>
      <c r="C2563" s="18"/>
      <c r="D2563" s="253" t="s">
        <v>153</v>
      </c>
      <c r="E2563" s="10"/>
      <c r="F2563" s="10"/>
      <c r="G2563" s="10">
        <v>170000</v>
      </c>
      <c r="H2563" s="10"/>
    </row>
    <row r="2564" spans="1:8" s="1" customFormat="1" ht="18.75" customHeight="1">
      <c r="A2564" s="18"/>
      <c r="B2564" s="18"/>
      <c r="C2564" s="22">
        <v>2480</v>
      </c>
      <c r="D2564" s="20" t="s">
        <v>744</v>
      </c>
      <c r="E2564" s="6"/>
      <c r="F2564" s="6"/>
      <c r="G2564" s="6">
        <v>2890000</v>
      </c>
      <c r="H2564" s="6"/>
    </row>
    <row r="2565" spans="1:8" s="1" customFormat="1" ht="18.75" customHeight="1">
      <c r="A2565" s="18"/>
      <c r="B2565" s="18"/>
      <c r="C2565" s="128"/>
      <c r="D2565" s="317" t="s">
        <v>419</v>
      </c>
      <c r="E2565" s="178"/>
      <c r="F2565" s="231"/>
      <c r="G2565" s="231">
        <v>60000</v>
      </c>
      <c r="H2565" s="231"/>
    </row>
    <row r="2566" spans="1:8" s="1" customFormat="1" ht="25.5">
      <c r="A2566" s="18"/>
      <c r="B2566" s="22"/>
      <c r="C2566" s="22">
        <v>6220</v>
      </c>
      <c r="D2566" s="20" t="s">
        <v>65</v>
      </c>
      <c r="E2566" s="6"/>
      <c r="F2566" s="6"/>
      <c r="G2566" s="228">
        <f>G2565</f>
        <v>60000</v>
      </c>
      <c r="H2566" s="228"/>
    </row>
    <row r="2567" spans="1:8" s="1" customFormat="1" ht="19.5" customHeight="1">
      <c r="A2567" s="86"/>
      <c r="B2567" s="3">
        <v>92109</v>
      </c>
      <c r="C2567" s="45"/>
      <c r="D2567" s="67" t="s">
        <v>1043</v>
      </c>
      <c r="E2567" s="4"/>
      <c r="F2567" s="4"/>
      <c r="G2567" s="4">
        <f>G2568+G2573+G2578+G2584</f>
        <v>2939242</v>
      </c>
      <c r="H2567" s="4"/>
    </row>
    <row r="2568" spans="1:8" s="1" customFormat="1" ht="18.75" customHeight="1">
      <c r="A2568" s="86"/>
      <c r="B2568" s="86"/>
      <c r="C2568" s="18"/>
      <c r="D2568" s="16" t="s">
        <v>549</v>
      </c>
      <c r="E2568" s="17"/>
      <c r="F2568" s="17"/>
      <c r="G2568" s="17">
        <f>G2570+G2572</f>
        <v>670000</v>
      </c>
      <c r="H2568" s="17"/>
    </row>
    <row r="2569" spans="1:8" s="1" customFormat="1" ht="18.75" customHeight="1">
      <c r="A2569" s="86"/>
      <c r="B2569" s="86"/>
      <c r="C2569" s="18"/>
      <c r="D2569" s="253" t="s">
        <v>154</v>
      </c>
      <c r="E2569" s="10"/>
      <c r="F2569" s="10"/>
      <c r="G2569" s="10">
        <v>70000</v>
      </c>
      <c r="H2569" s="10"/>
    </row>
    <row r="2570" spans="1:8" s="1" customFormat="1" ht="18.75" customHeight="1">
      <c r="A2570" s="18"/>
      <c r="B2570" s="18"/>
      <c r="C2570" s="22">
        <v>2480</v>
      </c>
      <c r="D2570" s="20" t="s">
        <v>744</v>
      </c>
      <c r="E2570" s="6"/>
      <c r="F2570" s="6"/>
      <c r="G2570" s="6">
        <v>640000</v>
      </c>
      <c r="H2570" s="6"/>
    </row>
    <row r="2571" spans="1:8" s="1" customFormat="1" ht="18.75" customHeight="1">
      <c r="A2571" s="18"/>
      <c r="B2571" s="18"/>
      <c r="C2571" s="128"/>
      <c r="D2571" s="293" t="s">
        <v>155</v>
      </c>
      <c r="E2571" s="231"/>
      <c r="F2571" s="231"/>
      <c r="G2571" s="231">
        <v>30000</v>
      </c>
      <c r="H2571" s="231"/>
    </row>
    <row r="2572" spans="1:8" s="1" customFormat="1" ht="25.5">
      <c r="A2572" s="18"/>
      <c r="B2572" s="18"/>
      <c r="C2572" s="18">
        <v>6220</v>
      </c>
      <c r="D2572" s="221" t="s">
        <v>65</v>
      </c>
      <c r="E2572" s="230"/>
      <c r="F2572" s="230"/>
      <c r="G2572" s="230">
        <f>G2571</f>
        <v>30000</v>
      </c>
      <c r="H2572" s="230"/>
    </row>
    <row r="2573" spans="1:8" s="1" customFormat="1" ht="18.75" customHeight="1">
      <c r="A2573" s="86"/>
      <c r="B2573" s="86"/>
      <c r="C2573" s="128"/>
      <c r="D2573" s="16" t="s">
        <v>462</v>
      </c>
      <c r="E2573" s="17"/>
      <c r="F2573" s="17"/>
      <c r="G2573" s="17">
        <f>G2575+G2577</f>
        <v>1170000</v>
      </c>
      <c r="H2573" s="17"/>
    </row>
    <row r="2574" spans="1:8" s="1" customFormat="1" ht="18.75" customHeight="1">
      <c r="A2574" s="86"/>
      <c r="B2574" s="86"/>
      <c r="C2574" s="18"/>
      <c r="D2574" s="253" t="s">
        <v>51</v>
      </c>
      <c r="E2574" s="10"/>
      <c r="F2574" s="10"/>
      <c r="G2574" s="10">
        <v>70000</v>
      </c>
      <c r="H2574" s="10"/>
    </row>
    <row r="2575" spans="1:8" s="1" customFormat="1" ht="18.75" customHeight="1">
      <c r="A2575" s="18"/>
      <c r="B2575" s="18"/>
      <c r="C2575" s="22">
        <v>2480</v>
      </c>
      <c r="D2575" s="20" t="s">
        <v>744</v>
      </c>
      <c r="E2575" s="6"/>
      <c r="F2575" s="6"/>
      <c r="G2575" s="6">
        <f>1150000</f>
        <v>1150000</v>
      </c>
      <c r="H2575" s="6"/>
    </row>
    <row r="2576" spans="1:8" s="1" customFormat="1" ht="18.75" customHeight="1">
      <c r="A2576" s="18"/>
      <c r="B2576" s="18"/>
      <c r="C2576" s="128"/>
      <c r="D2576" s="293" t="s">
        <v>156</v>
      </c>
      <c r="E2576" s="231"/>
      <c r="F2576" s="231"/>
      <c r="G2576" s="231">
        <v>20000</v>
      </c>
      <c r="H2576" s="231"/>
    </row>
    <row r="2577" spans="1:8" s="1" customFormat="1" ht="25.5">
      <c r="A2577" s="18"/>
      <c r="B2577" s="18"/>
      <c r="C2577" s="22">
        <v>6220</v>
      </c>
      <c r="D2577" s="20" t="s">
        <v>65</v>
      </c>
      <c r="E2577" s="228"/>
      <c r="F2577" s="228"/>
      <c r="G2577" s="228">
        <f>G2576</f>
        <v>20000</v>
      </c>
      <c r="H2577" s="228"/>
    </row>
    <row r="2578" spans="1:8" s="1" customFormat="1" ht="18.75" customHeight="1">
      <c r="A2578" s="86"/>
      <c r="B2578" s="86"/>
      <c r="C2578" s="18"/>
      <c r="D2578" s="316" t="s">
        <v>346</v>
      </c>
      <c r="E2578" s="152"/>
      <c r="F2578" s="152"/>
      <c r="G2578" s="152">
        <f>G2580+G2583</f>
        <v>1094700</v>
      </c>
      <c r="H2578" s="152"/>
    </row>
    <row r="2579" spans="1:8" s="1" customFormat="1" ht="18.75" customHeight="1">
      <c r="A2579" s="86"/>
      <c r="B2579" s="86"/>
      <c r="C2579" s="18"/>
      <c r="D2579" s="253" t="s">
        <v>157</v>
      </c>
      <c r="E2579" s="10"/>
      <c r="F2579" s="10"/>
      <c r="G2579" s="10">
        <v>110000</v>
      </c>
      <c r="H2579" s="10"/>
    </row>
    <row r="2580" spans="1:8" s="1" customFormat="1" ht="18.75" customHeight="1">
      <c r="A2580" s="18"/>
      <c r="B2580" s="18"/>
      <c r="C2580" s="22">
        <v>2480</v>
      </c>
      <c r="D2580" s="20" t="s">
        <v>744</v>
      </c>
      <c r="E2580" s="6"/>
      <c r="F2580" s="6"/>
      <c r="G2580" s="6">
        <f>993000+16700</f>
        <v>1009700</v>
      </c>
      <c r="H2580" s="6"/>
    </row>
    <row r="2581" spans="1:8" s="1" customFormat="1" ht="18.75" customHeight="1">
      <c r="A2581" s="18"/>
      <c r="B2581" s="18"/>
      <c r="C2581" s="18"/>
      <c r="D2581" s="379" t="s">
        <v>93</v>
      </c>
      <c r="E2581" s="231"/>
      <c r="F2581" s="231"/>
      <c r="G2581" s="231">
        <v>50000</v>
      </c>
      <c r="H2581" s="231"/>
    </row>
    <row r="2582" spans="1:8" s="1" customFormat="1" ht="18.75" customHeight="1">
      <c r="A2582" s="18"/>
      <c r="B2582" s="18"/>
      <c r="C2582" s="18"/>
      <c r="D2582" s="331" t="s">
        <v>158</v>
      </c>
      <c r="E2582" s="11"/>
      <c r="F2582" s="11"/>
      <c r="G2582" s="11">
        <v>35000</v>
      </c>
      <c r="H2582" s="11"/>
    </row>
    <row r="2583" spans="1:8" s="1" customFormat="1" ht="25.5">
      <c r="A2583" s="18"/>
      <c r="B2583" s="18"/>
      <c r="C2583" s="22">
        <v>6220</v>
      </c>
      <c r="D2583" s="20" t="s">
        <v>65</v>
      </c>
      <c r="E2583" s="6"/>
      <c r="F2583" s="6"/>
      <c r="G2583" s="6">
        <f>SUM(G2581:G2582)</f>
        <v>85000</v>
      </c>
      <c r="H2583" s="6"/>
    </row>
    <row r="2584" spans="1:8" s="1" customFormat="1" ht="25.5">
      <c r="A2584" s="86"/>
      <c r="B2584" s="86"/>
      <c r="C2584" s="18"/>
      <c r="D2584" s="16" t="s">
        <v>159</v>
      </c>
      <c r="E2584" s="17"/>
      <c r="F2584" s="17"/>
      <c r="G2584" s="17">
        <v>4542</v>
      </c>
      <c r="H2584" s="17"/>
    </row>
    <row r="2585" spans="1:8" s="1" customFormat="1" ht="25.5">
      <c r="A2585" s="86"/>
      <c r="B2585" s="107"/>
      <c r="C2585" s="22">
        <v>2807</v>
      </c>
      <c r="D2585" s="147" t="s">
        <v>160</v>
      </c>
      <c r="E2585" s="88"/>
      <c r="F2585" s="88"/>
      <c r="G2585" s="88">
        <v>4542</v>
      </c>
      <c r="H2585" s="88"/>
    </row>
    <row r="2586" spans="1:8" s="1" customFormat="1" ht="19.5" customHeight="1">
      <c r="A2586" s="2"/>
      <c r="B2586" s="3">
        <v>92110</v>
      </c>
      <c r="C2586" s="45"/>
      <c r="D2586" s="67" t="s">
        <v>1044</v>
      </c>
      <c r="E2586" s="4"/>
      <c r="F2586" s="4"/>
      <c r="G2586" s="4">
        <f>G2587</f>
        <v>786000</v>
      </c>
      <c r="H2586" s="4"/>
    </row>
    <row r="2587" spans="1:8" s="1" customFormat="1" ht="18.75" customHeight="1">
      <c r="A2587" s="107"/>
      <c r="B2587" s="107"/>
      <c r="C2587" s="22"/>
      <c r="D2587" s="1091" t="s">
        <v>550</v>
      </c>
      <c r="E2587" s="1092"/>
      <c r="F2587" s="1092"/>
      <c r="G2587" s="1092">
        <f>G2589+G2591</f>
        <v>786000</v>
      </c>
      <c r="H2587" s="1092"/>
    </row>
    <row r="2588" spans="1:8" s="1" customFormat="1" ht="18.75" customHeight="1">
      <c r="A2588" s="122"/>
      <c r="B2588" s="122"/>
      <c r="C2588" s="128"/>
      <c r="D2588" s="293" t="s">
        <v>161</v>
      </c>
      <c r="E2588" s="178"/>
      <c r="F2588" s="178"/>
      <c r="G2588" s="178">
        <v>5000</v>
      </c>
      <c r="H2588" s="178"/>
    </row>
    <row r="2589" spans="1:8" s="1" customFormat="1" ht="18.75" customHeight="1">
      <c r="A2589" s="18"/>
      <c r="B2589" s="18"/>
      <c r="C2589" s="22">
        <v>2480</v>
      </c>
      <c r="D2589" s="20" t="s">
        <v>744</v>
      </c>
      <c r="E2589" s="6"/>
      <c r="F2589" s="6"/>
      <c r="G2589" s="6">
        <v>778000</v>
      </c>
      <c r="H2589" s="6"/>
    </row>
    <row r="2590" spans="1:8" s="1" customFormat="1" ht="18.75" customHeight="1">
      <c r="A2590" s="18"/>
      <c r="B2590" s="18"/>
      <c r="C2590" s="128"/>
      <c r="D2590" s="293" t="s">
        <v>162</v>
      </c>
      <c r="E2590" s="231"/>
      <c r="F2590" s="231"/>
      <c r="G2590" s="231">
        <v>8000</v>
      </c>
      <c r="H2590" s="231"/>
    </row>
    <row r="2591" spans="1:8" s="1" customFormat="1" ht="25.5">
      <c r="A2591" s="18"/>
      <c r="B2591" s="22"/>
      <c r="C2591" s="22">
        <v>6220</v>
      </c>
      <c r="D2591" s="20" t="s">
        <v>65</v>
      </c>
      <c r="E2591" s="228"/>
      <c r="F2591" s="228"/>
      <c r="G2591" s="228">
        <f>G2590</f>
        <v>8000</v>
      </c>
      <c r="H2591" s="228"/>
    </row>
    <row r="2592" spans="1:8" s="1" customFormat="1" ht="19.5" customHeight="1">
      <c r="A2592" s="2"/>
      <c r="B2592" s="3">
        <v>92113</v>
      </c>
      <c r="C2592" s="45"/>
      <c r="D2592" s="67" t="s">
        <v>398</v>
      </c>
      <c r="E2592" s="4"/>
      <c r="F2592" s="4"/>
      <c r="G2592" s="4">
        <f>G2593+G2597</f>
        <v>3471225</v>
      </c>
      <c r="H2592" s="4"/>
    </row>
    <row r="2593" spans="1:8" s="1" customFormat="1" ht="18.75" customHeight="1">
      <c r="A2593" s="86"/>
      <c r="B2593" s="86"/>
      <c r="C2593" s="18"/>
      <c r="D2593" s="16" t="s">
        <v>551</v>
      </c>
      <c r="E2593" s="17"/>
      <c r="F2593" s="17"/>
      <c r="G2593" s="17">
        <f>G2594+G2596</f>
        <v>3330000</v>
      </c>
      <c r="H2593" s="17"/>
    </row>
    <row r="2594" spans="1:8" s="1" customFormat="1" ht="18.75" customHeight="1">
      <c r="A2594" s="18"/>
      <c r="B2594" s="18"/>
      <c r="C2594" s="22">
        <v>2480</v>
      </c>
      <c r="D2594" s="20" t="s">
        <v>744</v>
      </c>
      <c r="E2594" s="6"/>
      <c r="F2594" s="6"/>
      <c r="G2594" s="6">
        <f>2505000+555000</f>
        <v>3060000</v>
      </c>
      <c r="H2594" s="6"/>
    </row>
    <row r="2595" spans="1:8" s="1" customFormat="1" ht="18.75" customHeight="1">
      <c r="A2595" s="18"/>
      <c r="B2595" s="18"/>
      <c r="C2595" s="128"/>
      <c r="D2595" s="293" t="s">
        <v>163</v>
      </c>
      <c r="E2595" s="231"/>
      <c r="F2595" s="231"/>
      <c r="G2595" s="231">
        <v>270000</v>
      </c>
      <c r="H2595" s="231"/>
    </row>
    <row r="2596" spans="1:8" s="1" customFormat="1" ht="25.5">
      <c r="A2596" s="18"/>
      <c r="B2596" s="18"/>
      <c r="C2596" s="22">
        <v>6220</v>
      </c>
      <c r="D2596" s="221" t="s">
        <v>65</v>
      </c>
      <c r="E2596" s="230"/>
      <c r="F2596" s="230"/>
      <c r="G2596" s="230">
        <f>G2595</f>
        <v>270000</v>
      </c>
      <c r="H2596" s="230"/>
    </row>
    <row r="2597" spans="1:8" s="1" customFormat="1" ht="25.5">
      <c r="A2597" s="86"/>
      <c r="B2597" s="86"/>
      <c r="C2597" s="18"/>
      <c r="D2597" s="16" t="s">
        <v>655</v>
      </c>
      <c r="E2597" s="17"/>
      <c r="F2597" s="17"/>
      <c r="G2597" s="17">
        <f>G2598</f>
        <v>141225</v>
      </c>
      <c r="H2597" s="17"/>
    </row>
    <row r="2598" spans="1:8" s="1" customFormat="1" ht="18.75" customHeight="1">
      <c r="A2598" s="18"/>
      <c r="B2598" s="18"/>
      <c r="C2598" s="22">
        <v>2480</v>
      </c>
      <c r="D2598" s="20" t="s">
        <v>744</v>
      </c>
      <c r="E2598" s="6"/>
      <c r="F2598" s="6"/>
      <c r="G2598" s="6">
        <v>141225</v>
      </c>
      <c r="H2598" s="6"/>
    </row>
    <row r="2599" spans="1:8" s="1" customFormat="1" ht="19.5" customHeight="1">
      <c r="A2599" s="2"/>
      <c r="B2599" s="13">
        <v>92116</v>
      </c>
      <c r="C2599" s="123"/>
      <c r="D2599" s="14" t="s">
        <v>399</v>
      </c>
      <c r="E2599" s="15"/>
      <c r="F2599" s="15"/>
      <c r="G2599" s="15">
        <f>G2600+G2605+G2608</f>
        <v>6919660</v>
      </c>
      <c r="H2599" s="15"/>
    </row>
    <row r="2600" spans="1:8" s="1" customFormat="1" ht="18.75" customHeight="1">
      <c r="A2600" s="86"/>
      <c r="B2600" s="86"/>
      <c r="C2600" s="18"/>
      <c r="D2600" s="16" t="s">
        <v>165</v>
      </c>
      <c r="E2600" s="17"/>
      <c r="F2600" s="17"/>
      <c r="G2600" s="17">
        <f>G2602+G2604</f>
        <v>6625000</v>
      </c>
      <c r="H2600" s="17"/>
    </row>
    <row r="2601" spans="1:8" s="1" customFormat="1" ht="18.75" customHeight="1">
      <c r="A2601" s="86"/>
      <c r="B2601" s="86"/>
      <c r="C2601" s="18"/>
      <c r="D2601" s="253" t="s">
        <v>229</v>
      </c>
      <c r="E2601" s="10"/>
      <c r="F2601" s="10"/>
      <c r="G2601" s="10">
        <v>100000</v>
      </c>
      <c r="H2601" s="10"/>
    </row>
    <row r="2602" spans="1:8" s="1" customFormat="1" ht="18.75" customHeight="1">
      <c r="A2602" s="18"/>
      <c r="B2602" s="18"/>
      <c r="C2602" s="22">
        <v>2480</v>
      </c>
      <c r="D2602" s="20" t="s">
        <v>744</v>
      </c>
      <c r="E2602" s="6"/>
      <c r="F2602" s="6"/>
      <c r="G2602" s="6">
        <v>6520000</v>
      </c>
      <c r="H2602" s="6"/>
    </row>
    <row r="2603" spans="1:8" s="1" customFormat="1" ht="18.75" customHeight="1">
      <c r="A2603" s="18"/>
      <c r="B2603" s="18"/>
      <c r="C2603" s="128"/>
      <c r="D2603" s="293" t="s">
        <v>164</v>
      </c>
      <c r="E2603" s="231"/>
      <c r="F2603" s="231"/>
      <c r="G2603" s="231">
        <v>105000</v>
      </c>
      <c r="H2603" s="231"/>
    </row>
    <row r="2604" spans="1:8" s="1" customFormat="1" ht="25.5">
      <c r="A2604" s="18"/>
      <c r="B2604" s="18"/>
      <c r="C2604" s="22">
        <v>6220</v>
      </c>
      <c r="D2604" s="20" t="s">
        <v>65</v>
      </c>
      <c r="E2604" s="228"/>
      <c r="F2604" s="228"/>
      <c r="G2604" s="228">
        <f>G2603</f>
        <v>105000</v>
      </c>
      <c r="H2604" s="228"/>
    </row>
    <row r="2605" spans="1:8" s="1" customFormat="1" ht="51">
      <c r="A2605" s="86"/>
      <c r="B2605" s="86"/>
      <c r="C2605" s="18"/>
      <c r="D2605" s="316" t="s">
        <v>166</v>
      </c>
      <c r="E2605" s="152"/>
      <c r="F2605" s="152"/>
      <c r="G2605" s="152">
        <f>G2607</f>
        <v>254660</v>
      </c>
      <c r="H2605" s="152"/>
    </row>
    <row r="2606" spans="1:8" s="1" customFormat="1" ht="25.5" customHeight="1">
      <c r="A2606" s="86"/>
      <c r="B2606" s="86"/>
      <c r="C2606" s="18"/>
      <c r="D2606" s="421" t="s">
        <v>66</v>
      </c>
      <c r="E2606" s="10"/>
      <c r="F2606" s="10"/>
      <c r="G2606" s="10">
        <v>254660</v>
      </c>
      <c r="H2606" s="10"/>
    </row>
    <row r="2607" spans="1:8" s="1" customFormat="1" ht="25.5">
      <c r="A2607" s="86"/>
      <c r="B2607" s="86"/>
      <c r="C2607" s="22">
        <v>6220</v>
      </c>
      <c r="D2607" s="20" t="s">
        <v>65</v>
      </c>
      <c r="E2607" s="298"/>
      <c r="F2607" s="298"/>
      <c r="G2607" s="298">
        <f>G2606</f>
        <v>254660</v>
      </c>
      <c r="H2607" s="298"/>
    </row>
    <row r="2608" spans="1:8" s="1" customFormat="1" ht="19.5" customHeight="1">
      <c r="A2608" s="86"/>
      <c r="B2608" s="86"/>
      <c r="C2608" s="18"/>
      <c r="D2608" s="93" t="s">
        <v>400</v>
      </c>
      <c r="E2608" s="66"/>
      <c r="F2608" s="66"/>
      <c r="G2608" s="66">
        <f>G2609</f>
        <v>40000</v>
      </c>
      <c r="H2608" s="66"/>
    </row>
    <row r="2609" spans="1:8" s="1" customFormat="1" ht="25.5">
      <c r="A2609" s="107"/>
      <c r="B2609" s="107"/>
      <c r="C2609" s="22">
        <v>2310</v>
      </c>
      <c r="D2609" s="147" t="s">
        <v>772</v>
      </c>
      <c r="E2609" s="88"/>
      <c r="F2609" s="88"/>
      <c r="G2609" s="88">
        <v>40000</v>
      </c>
      <c r="H2609" s="88"/>
    </row>
    <row r="2610" spans="1:8" s="1" customFormat="1" ht="18.75" customHeight="1" thickBot="1">
      <c r="A2610" s="394">
        <v>926</v>
      </c>
      <c r="B2610" s="394"/>
      <c r="C2610" s="394"/>
      <c r="D2610" s="394" t="s">
        <v>1045</v>
      </c>
      <c r="E2610" s="377"/>
      <c r="F2610" s="377"/>
      <c r="G2610" s="377">
        <f>G2611+G2620+G2624</f>
        <v>8709500</v>
      </c>
      <c r="H2610" s="377"/>
    </row>
    <row r="2611" spans="1:8" s="1" customFormat="1" ht="18.75" customHeight="1">
      <c r="A2611" s="1031"/>
      <c r="B2611" s="1031">
        <v>92601</v>
      </c>
      <c r="C2611" s="1031"/>
      <c r="D2611" s="1031" t="s">
        <v>1046</v>
      </c>
      <c r="E2611" s="1033"/>
      <c r="F2611" s="1033"/>
      <c r="G2611" s="1033">
        <f>G2612+G2616+G2618</f>
        <v>400000</v>
      </c>
      <c r="H2611" s="1033"/>
    </row>
    <row r="2612" spans="1:8" s="1" customFormat="1" ht="38.25">
      <c r="A2612" s="122"/>
      <c r="B2612" s="122"/>
      <c r="C2612" s="122"/>
      <c r="D2612" s="16" t="s">
        <v>846</v>
      </c>
      <c r="E2612" s="17"/>
      <c r="F2612" s="17"/>
      <c r="G2612" s="17">
        <f>G2615</f>
        <v>210000</v>
      </c>
      <c r="H2612" s="17"/>
    </row>
    <row r="2613" spans="1:8" s="1" customFormat="1" ht="18" customHeight="1">
      <c r="A2613" s="86"/>
      <c r="B2613" s="86"/>
      <c r="C2613" s="86"/>
      <c r="D2613" s="431" t="s">
        <v>18</v>
      </c>
      <c r="E2613" s="249"/>
      <c r="F2613" s="249"/>
      <c r="G2613" s="249">
        <v>193000</v>
      </c>
      <c r="H2613" s="249"/>
    </row>
    <row r="2614" spans="1:8" s="1" customFormat="1" ht="20.25" customHeight="1">
      <c r="A2614" s="86"/>
      <c r="B2614" s="86"/>
      <c r="C2614" s="86"/>
      <c r="D2614" s="432" t="s">
        <v>19</v>
      </c>
      <c r="E2614" s="296"/>
      <c r="F2614" s="296"/>
      <c r="G2614" s="296">
        <v>17000</v>
      </c>
      <c r="H2614" s="296"/>
    </row>
    <row r="2615" spans="1:8" s="1" customFormat="1" ht="27" customHeight="1">
      <c r="A2615" s="86"/>
      <c r="B2615" s="86"/>
      <c r="C2615" s="22">
        <v>2820</v>
      </c>
      <c r="D2615" s="20" t="s">
        <v>303</v>
      </c>
      <c r="E2615" s="228"/>
      <c r="F2615" s="228"/>
      <c r="G2615" s="228">
        <f>G2613+G2614</f>
        <v>210000</v>
      </c>
      <c r="H2615" s="228"/>
    </row>
    <row r="2616" spans="1:8" ht="18.75" customHeight="1">
      <c r="A2616" s="56"/>
      <c r="B2616" s="56"/>
      <c r="C2616" s="193"/>
      <c r="D2616" s="195" t="s">
        <v>847</v>
      </c>
      <c r="E2616" s="169"/>
      <c r="F2616" s="169"/>
      <c r="G2616" s="169">
        <f>G2617</f>
        <v>100000</v>
      </c>
      <c r="H2616" s="169"/>
    </row>
    <row r="2617" spans="1:8" ht="18.75" customHeight="1">
      <c r="A2617" s="56"/>
      <c r="B2617" s="56"/>
      <c r="C2617" s="181">
        <v>4300</v>
      </c>
      <c r="D2617" s="189" t="s">
        <v>815</v>
      </c>
      <c r="E2617" s="176"/>
      <c r="F2617" s="176"/>
      <c r="G2617" s="176">
        <v>100000</v>
      </c>
      <c r="H2617" s="176"/>
    </row>
    <row r="2618" spans="1:8" s="1" customFormat="1" ht="18.75" customHeight="1">
      <c r="A2618" s="86"/>
      <c r="B2618" s="86"/>
      <c r="C2618" s="18"/>
      <c r="D2618" s="316" t="s">
        <v>848</v>
      </c>
      <c r="E2618" s="17"/>
      <c r="F2618" s="17"/>
      <c r="G2618" s="17">
        <f>G2619</f>
        <v>90000</v>
      </c>
      <c r="H2618" s="17"/>
    </row>
    <row r="2619" spans="1:8" s="1" customFormat="1" ht="18.75" customHeight="1">
      <c r="A2619" s="86"/>
      <c r="B2619" s="107"/>
      <c r="C2619" s="22">
        <v>4210</v>
      </c>
      <c r="D2619" s="20" t="s">
        <v>748</v>
      </c>
      <c r="E2619" s="6"/>
      <c r="F2619" s="6"/>
      <c r="G2619" s="6">
        <v>90000</v>
      </c>
      <c r="H2619" s="6"/>
    </row>
    <row r="2620" spans="1:8" ht="19.5" customHeight="1">
      <c r="A2620" s="56"/>
      <c r="B2620" s="165">
        <v>92604</v>
      </c>
      <c r="C2620" s="165"/>
      <c r="D2620" s="165" t="s">
        <v>1047</v>
      </c>
      <c r="E2620" s="167"/>
      <c r="F2620" s="167"/>
      <c r="G2620" s="167">
        <f>G2621</f>
        <v>3650000</v>
      </c>
      <c r="H2620" s="167"/>
    </row>
    <row r="2621" spans="1:8" ht="18.75" customHeight="1">
      <c r="A2621" s="86"/>
      <c r="B2621" s="86"/>
      <c r="C2621" s="18"/>
      <c r="D2621" s="16" t="s">
        <v>522</v>
      </c>
      <c r="E2621" s="17"/>
      <c r="F2621" s="17"/>
      <c r="G2621" s="17">
        <f>G2623</f>
        <v>3650000</v>
      </c>
      <c r="H2621" s="17"/>
    </row>
    <row r="2622" spans="1:8" ht="18.75" customHeight="1">
      <c r="A2622" s="86"/>
      <c r="B2622" s="86"/>
      <c r="C2622" s="18"/>
      <c r="D2622" s="253" t="s">
        <v>849</v>
      </c>
      <c r="E2622" s="10"/>
      <c r="F2622" s="10"/>
      <c r="G2622" s="10">
        <v>350000</v>
      </c>
      <c r="H2622" s="10"/>
    </row>
    <row r="2623" spans="1:8" ht="18.75" customHeight="1">
      <c r="A2623" s="18"/>
      <c r="B2623" s="22"/>
      <c r="C2623" s="22">
        <v>2650</v>
      </c>
      <c r="D2623" s="20" t="s">
        <v>393</v>
      </c>
      <c r="E2623" s="6"/>
      <c r="F2623" s="6"/>
      <c r="G2623" s="6">
        <f>3150000+500000</f>
        <v>3650000</v>
      </c>
      <c r="H2623" s="6"/>
    </row>
    <row r="2624" spans="1:8" ht="19.5" customHeight="1">
      <c r="A2624" s="56"/>
      <c r="B2624" s="165">
        <v>92605</v>
      </c>
      <c r="C2624" s="165"/>
      <c r="D2624" s="165" t="s">
        <v>402</v>
      </c>
      <c r="E2624" s="167"/>
      <c r="F2624" s="167"/>
      <c r="G2624" s="167">
        <f>G2625+G2678+G2700+G2704+G2713</f>
        <v>4659500</v>
      </c>
      <c r="H2624" s="167"/>
    </row>
    <row r="2625" spans="1:8" ht="18.75" customHeight="1">
      <c r="A2625" s="56"/>
      <c r="B2625" s="56"/>
      <c r="C2625" s="56"/>
      <c r="D2625" s="195" t="s">
        <v>769</v>
      </c>
      <c r="E2625" s="169"/>
      <c r="F2625" s="169"/>
      <c r="G2625" s="169">
        <f>G2675+G2676+G2677</f>
        <v>1930000</v>
      </c>
      <c r="H2625" s="169"/>
    </row>
    <row r="2626" spans="1:8" ht="25.5">
      <c r="A2626" s="56"/>
      <c r="B2626" s="56"/>
      <c r="C2626" s="56"/>
      <c r="D2626" s="248" t="s">
        <v>20</v>
      </c>
      <c r="E2626" s="249"/>
      <c r="F2626" s="249"/>
      <c r="G2626" s="249">
        <v>100000</v>
      </c>
      <c r="H2626" s="249"/>
    </row>
    <row r="2627" spans="1:8" ht="18.75" customHeight="1">
      <c r="A2627" s="56"/>
      <c r="B2627" s="56"/>
      <c r="C2627" s="56"/>
      <c r="D2627" s="446" t="s">
        <v>21</v>
      </c>
      <c r="E2627" s="296"/>
      <c r="F2627" s="296"/>
      <c r="G2627" s="296">
        <f>30000+6500</f>
        <v>36500</v>
      </c>
      <c r="H2627" s="296"/>
    </row>
    <row r="2628" spans="1:8" ht="18.75" customHeight="1">
      <c r="A2628" s="56"/>
      <c r="B2628" s="56"/>
      <c r="C2628" s="56"/>
      <c r="D2628" s="446" t="s">
        <v>22</v>
      </c>
      <c r="E2628" s="296"/>
      <c r="F2628" s="296"/>
      <c r="G2628" s="296">
        <v>30000</v>
      </c>
      <c r="H2628" s="296"/>
    </row>
    <row r="2629" spans="1:8" ht="25.5">
      <c r="A2629" s="56"/>
      <c r="B2629" s="56"/>
      <c r="C2629" s="56"/>
      <c r="D2629" s="332" t="s">
        <v>23</v>
      </c>
      <c r="E2629" s="296"/>
      <c r="F2629" s="296"/>
      <c r="G2629" s="296">
        <v>40000</v>
      </c>
      <c r="H2629" s="296"/>
    </row>
    <row r="2630" spans="1:8" s="174" customFormat="1" ht="18" customHeight="1">
      <c r="A2630" s="994"/>
      <c r="B2630" s="994"/>
      <c r="C2630" s="994"/>
      <c r="D2630" s="996" t="s">
        <v>855</v>
      </c>
      <c r="E2630" s="996"/>
      <c r="F2630" s="996"/>
      <c r="G2630" s="997">
        <v>1500</v>
      </c>
      <c r="H2630" s="997"/>
    </row>
    <row r="2631" spans="1:8" ht="18.75" customHeight="1">
      <c r="A2631" s="56"/>
      <c r="B2631" s="56"/>
      <c r="C2631" s="56"/>
      <c r="D2631" s="446" t="s">
        <v>24</v>
      </c>
      <c r="E2631" s="296"/>
      <c r="F2631" s="296"/>
      <c r="G2631" s="296">
        <f>60000+7000</f>
        <v>67000</v>
      </c>
      <c r="H2631" s="296"/>
    </row>
    <row r="2632" spans="1:8" ht="18.75" customHeight="1">
      <c r="A2632" s="56"/>
      <c r="B2632" s="56"/>
      <c r="C2632" s="56"/>
      <c r="D2632" s="446" t="s">
        <v>25</v>
      </c>
      <c r="E2632" s="296"/>
      <c r="F2632" s="296"/>
      <c r="G2632" s="296">
        <f>60000+6000</f>
        <v>66000</v>
      </c>
      <c r="H2632" s="296"/>
    </row>
    <row r="2633" spans="1:8" ht="18.75" customHeight="1">
      <c r="A2633" s="56"/>
      <c r="B2633" s="56"/>
      <c r="C2633" s="56"/>
      <c r="D2633" s="446" t="s">
        <v>902</v>
      </c>
      <c r="E2633" s="296"/>
      <c r="F2633" s="296"/>
      <c r="G2633" s="296">
        <v>20000</v>
      </c>
      <c r="H2633" s="296"/>
    </row>
    <row r="2634" spans="1:8" ht="18.75" customHeight="1">
      <c r="A2634" s="56"/>
      <c r="B2634" s="56"/>
      <c r="C2634" s="56"/>
      <c r="D2634" s="446" t="s">
        <v>710</v>
      </c>
      <c r="E2634" s="296"/>
      <c r="F2634" s="296"/>
      <c r="G2634" s="296">
        <v>30000</v>
      </c>
      <c r="H2634" s="296"/>
    </row>
    <row r="2635" spans="1:8" ht="18.75" customHeight="1">
      <c r="A2635" s="56"/>
      <c r="B2635" s="56"/>
      <c r="C2635" s="56"/>
      <c r="D2635" s="446" t="s">
        <v>711</v>
      </c>
      <c r="E2635" s="296"/>
      <c r="F2635" s="296"/>
      <c r="G2635" s="296">
        <f>10000+7000</f>
        <v>17000</v>
      </c>
      <c r="H2635" s="296"/>
    </row>
    <row r="2636" spans="1:8" ht="25.5">
      <c r="A2636" s="56"/>
      <c r="B2636" s="56"/>
      <c r="C2636" s="56"/>
      <c r="D2636" s="332" t="s">
        <v>712</v>
      </c>
      <c r="E2636" s="296"/>
      <c r="F2636" s="296"/>
      <c r="G2636" s="296">
        <v>10000</v>
      </c>
      <c r="H2636" s="296"/>
    </row>
    <row r="2637" spans="1:8" ht="18.75" customHeight="1">
      <c r="A2637" s="56"/>
      <c r="B2637" s="56"/>
      <c r="C2637" s="56"/>
      <c r="D2637" s="446" t="s">
        <v>713</v>
      </c>
      <c r="E2637" s="296"/>
      <c r="F2637" s="296"/>
      <c r="G2637" s="296">
        <v>20000</v>
      </c>
      <c r="H2637" s="296"/>
    </row>
    <row r="2638" spans="1:8" ht="18.75" customHeight="1">
      <c r="A2638" s="158"/>
      <c r="B2638" s="158"/>
      <c r="C2638" s="158"/>
      <c r="D2638" s="269" t="s">
        <v>619</v>
      </c>
      <c r="E2638" s="234"/>
      <c r="F2638" s="234"/>
      <c r="G2638" s="234">
        <f>78500+8500</f>
        <v>87000</v>
      </c>
      <c r="H2638" s="234"/>
    </row>
    <row r="2639" spans="1:8" ht="18" customHeight="1">
      <c r="A2639" s="193"/>
      <c r="B2639" s="193"/>
      <c r="C2639" s="193"/>
      <c r="D2639" s="1045" t="s">
        <v>531</v>
      </c>
      <c r="E2639" s="180"/>
      <c r="F2639" s="180"/>
      <c r="G2639" s="180">
        <v>79000</v>
      </c>
      <c r="H2639" s="180"/>
    </row>
    <row r="2640" spans="1:8" ht="25.5">
      <c r="A2640" s="56"/>
      <c r="B2640" s="56"/>
      <c r="C2640" s="56"/>
      <c r="D2640" s="332" t="s">
        <v>714</v>
      </c>
      <c r="E2640" s="296"/>
      <c r="F2640" s="296"/>
      <c r="G2640" s="296">
        <v>40000</v>
      </c>
      <c r="H2640" s="296"/>
    </row>
    <row r="2641" spans="1:8" ht="18.75" customHeight="1">
      <c r="A2641" s="56"/>
      <c r="B2641" s="56"/>
      <c r="C2641" s="56"/>
      <c r="D2641" s="446" t="s">
        <v>715</v>
      </c>
      <c r="E2641" s="296"/>
      <c r="F2641" s="296"/>
      <c r="G2641" s="296">
        <v>30000</v>
      </c>
      <c r="H2641" s="296"/>
    </row>
    <row r="2642" spans="1:8" ht="18.75" customHeight="1">
      <c r="A2642" s="56"/>
      <c r="B2642" s="56"/>
      <c r="C2642" s="56"/>
      <c r="D2642" s="446" t="s">
        <v>716</v>
      </c>
      <c r="E2642" s="296"/>
      <c r="F2642" s="296"/>
      <c r="G2642" s="296">
        <v>30000</v>
      </c>
      <c r="H2642" s="296"/>
    </row>
    <row r="2643" spans="1:8" ht="18.75" customHeight="1">
      <c r="A2643" s="56"/>
      <c r="B2643" s="56"/>
      <c r="C2643" s="56"/>
      <c r="D2643" s="446" t="s">
        <v>717</v>
      </c>
      <c r="E2643" s="296"/>
      <c r="F2643" s="296"/>
      <c r="G2643" s="296">
        <v>30000</v>
      </c>
      <c r="H2643" s="296"/>
    </row>
    <row r="2644" spans="1:8" ht="25.5">
      <c r="A2644" s="56"/>
      <c r="B2644" s="56"/>
      <c r="C2644" s="56"/>
      <c r="D2644" s="332" t="s">
        <v>718</v>
      </c>
      <c r="E2644" s="296"/>
      <c r="F2644" s="296"/>
      <c r="G2644" s="296">
        <v>20000</v>
      </c>
      <c r="H2644" s="296"/>
    </row>
    <row r="2645" spans="1:8" ht="25.5">
      <c r="A2645" s="56"/>
      <c r="B2645" s="56"/>
      <c r="C2645" s="56"/>
      <c r="D2645" s="332" t="s">
        <v>719</v>
      </c>
      <c r="E2645" s="296"/>
      <c r="F2645" s="296"/>
      <c r="G2645" s="296">
        <f>48000+4000</f>
        <v>52000</v>
      </c>
      <c r="H2645" s="296"/>
    </row>
    <row r="2646" spans="1:8" ht="18.75" customHeight="1">
      <c r="A2646" s="56"/>
      <c r="B2646" s="56"/>
      <c r="C2646" s="56"/>
      <c r="D2646" s="446" t="s">
        <v>720</v>
      </c>
      <c r="E2646" s="296"/>
      <c r="F2646" s="296"/>
      <c r="G2646" s="296">
        <v>11000</v>
      </c>
      <c r="H2646" s="296"/>
    </row>
    <row r="2647" spans="1:8" ht="18.75" customHeight="1">
      <c r="A2647" s="56"/>
      <c r="B2647" s="56"/>
      <c r="C2647" s="56"/>
      <c r="D2647" s="446" t="s">
        <v>721</v>
      </c>
      <c r="E2647" s="296"/>
      <c r="F2647" s="296"/>
      <c r="G2647" s="296">
        <f>38000+2000</f>
        <v>40000</v>
      </c>
      <c r="H2647" s="296"/>
    </row>
    <row r="2648" spans="1:8" ht="18.75" customHeight="1">
      <c r="A2648" s="56"/>
      <c r="B2648" s="56"/>
      <c r="C2648" s="56"/>
      <c r="D2648" s="332" t="s">
        <v>640</v>
      </c>
      <c r="E2648" s="296"/>
      <c r="F2648" s="296"/>
      <c r="G2648" s="296">
        <f>20000+9000</f>
        <v>29000</v>
      </c>
      <c r="H2648" s="296"/>
    </row>
    <row r="2649" spans="1:8" ht="18.75" customHeight="1">
      <c r="A2649" s="56"/>
      <c r="B2649" s="56"/>
      <c r="C2649" s="56"/>
      <c r="D2649" s="332" t="s">
        <v>18</v>
      </c>
      <c r="E2649" s="296"/>
      <c r="F2649" s="296"/>
      <c r="G2649" s="296">
        <f>185000+8500</f>
        <v>193500</v>
      </c>
      <c r="H2649" s="296"/>
    </row>
    <row r="2650" spans="1:8" ht="18.75" customHeight="1">
      <c r="A2650" s="56"/>
      <c r="B2650" s="56"/>
      <c r="C2650" s="56"/>
      <c r="D2650" s="332" t="s">
        <v>675</v>
      </c>
      <c r="E2650" s="296"/>
      <c r="F2650" s="296"/>
      <c r="G2650" s="296">
        <v>90000</v>
      </c>
      <c r="H2650" s="296"/>
    </row>
    <row r="2651" spans="1:8" ht="25.5">
      <c r="A2651" s="56"/>
      <c r="B2651" s="56"/>
      <c r="C2651" s="56"/>
      <c r="D2651" s="332" t="s">
        <v>1007</v>
      </c>
      <c r="E2651" s="296"/>
      <c r="F2651" s="296"/>
      <c r="G2651" s="296">
        <v>40000</v>
      </c>
      <c r="H2651" s="296"/>
    </row>
    <row r="2652" spans="1:8" ht="18.75" customHeight="1">
      <c r="A2652" s="56"/>
      <c r="B2652" s="56"/>
      <c r="C2652" s="56"/>
      <c r="D2652" s="332" t="s">
        <v>641</v>
      </c>
      <c r="E2652" s="296"/>
      <c r="F2652" s="296"/>
      <c r="G2652" s="296">
        <f>20000+3000</f>
        <v>23000</v>
      </c>
      <c r="H2652" s="296"/>
    </row>
    <row r="2653" spans="1:8" ht="25.5">
      <c r="A2653" s="56"/>
      <c r="B2653" s="56"/>
      <c r="C2653" s="56"/>
      <c r="D2653" s="332" t="s">
        <v>1008</v>
      </c>
      <c r="E2653" s="296"/>
      <c r="F2653" s="296"/>
      <c r="G2653" s="296">
        <v>10000</v>
      </c>
      <c r="H2653" s="296"/>
    </row>
    <row r="2654" spans="1:8" ht="18.75" customHeight="1">
      <c r="A2654" s="56"/>
      <c r="B2654" s="56"/>
      <c r="C2654" s="56"/>
      <c r="D2654" s="332" t="s">
        <v>1009</v>
      </c>
      <c r="E2654" s="296"/>
      <c r="F2654" s="296"/>
      <c r="G2654" s="296">
        <v>20000</v>
      </c>
      <c r="H2654" s="296"/>
    </row>
    <row r="2655" spans="1:8" ht="18.75" customHeight="1">
      <c r="A2655" s="56"/>
      <c r="B2655" s="56"/>
      <c r="C2655" s="56"/>
      <c r="D2655" s="332" t="s">
        <v>642</v>
      </c>
      <c r="E2655" s="296"/>
      <c r="F2655" s="296"/>
      <c r="G2655" s="296">
        <v>8000</v>
      </c>
      <c r="H2655" s="296"/>
    </row>
    <row r="2656" spans="1:8" ht="25.5">
      <c r="A2656" s="56"/>
      <c r="B2656" s="56"/>
      <c r="C2656" s="56"/>
      <c r="D2656" s="332" t="s">
        <v>1010</v>
      </c>
      <c r="E2656" s="296"/>
      <c r="F2656" s="296"/>
      <c r="G2656" s="296">
        <f>4000+3000</f>
        <v>7000</v>
      </c>
      <c r="H2656" s="296"/>
    </row>
    <row r="2657" spans="1:8" ht="25.5">
      <c r="A2657" s="56"/>
      <c r="B2657" s="56"/>
      <c r="C2657" s="56"/>
      <c r="D2657" s="332" t="s">
        <v>85</v>
      </c>
      <c r="E2657" s="296"/>
      <c r="F2657" s="296"/>
      <c r="G2657" s="296">
        <f>60000+19500</f>
        <v>79500</v>
      </c>
      <c r="H2657" s="296"/>
    </row>
    <row r="2658" spans="1:8" ht="25.5">
      <c r="A2658" s="56"/>
      <c r="B2658" s="56"/>
      <c r="C2658" s="56"/>
      <c r="D2658" s="332" t="s">
        <v>643</v>
      </c>
      <c r="E2658" s="296"/>
      <c r="F2658" s="296"/>
      <c r="G2658" s="296">
        <f>50000+9000</f>
        <v>59000</v>
      </c>
      <c r="H2658" s="296"/>
    </row>
    <row r="2659" spans="1:8" ht="25.5">
      <c r="A2659" s="56"/>
      <c r="B2659" s="56"/>
      <c r="C2659" s="56"/>
      <c r="D2659" s="332" t="s">
        <v>602</v>
      </c>
      <c r="E2659" s="296"/>
      <c r="F2659" s="296"/>
      <c r="G2659" s="296">
        <f>3000+7500</f>
        <v>10500</v>
      </c>
      <c r="H2659" s="296"/>
    </row>
    <row r="2660" spans="1:8" ht="19.5" customHeight="1">
      <c r="A2660" s="56"/>
      <c r="B2660" s="56"/>
      <c r="C2660" s="56"/>
      <c r="D2660" s="332" t="s">
        <v>1011</v>
      </c>
      <c r="E2660" s="296"/>
      <c r="F2660" s="296"/>
      <c r="G2660" s="296">
        <v>46000</v>
      </c>
      <c r="H2660" s="296"/>
    </row>
    <row r="2661" spans="1:8" ht="17.25" customHeight="1">
      <c r="A2661" s="56"/>
      <c r="B2661" s="56"/>
      <c r="C2661" s="56"/>
      <c r="D2661" s="332" t="s">
        <v>19</v>
      </c>
      <c r="E2661" s="296"/>
      <c r="F2661" s="296"/>
      <c r="G2661" s="296">
        <v>14500</v>
      </c>
      <c r="H2661" s="296"/>
    </row>
    <row r="2662" spans="1:8" ht="17.25" customHeight="1">
      <c r="A2662" s="56"/>
      <c r="B2662" s="56"/>
      <c r="C2662" s="56"/>
      <c r="D2662" s="332" t="s">
        <v>854</v>
      </c>
      <c r="E2662" s="296"/>
      <c r="F2662" s="296"/>
      <c r="G2662" s="296">
        <v>25000</v>
      </c>
      <c r="H2662" s="296"/>
    </row>
    <row r="2663" spans="1:8" ht="18.75" customHeight="1">
      <c r="A2663" s="56"/>
      <c r="B2663" s="56"/>
      <c r="C2663" s="56"/>
      <c r="D2663" s="332" t="s">
        <v>1012</v>
      </c>
      <c r="E2663" s="296"/>
      <c r="F2663" s="296"/>
      <c r="G2663" s="296">
        <v>20000</v>
      </c>
      <c r="H2663" s="296"/>
    </row>
    <row r="2664" spans="1:8" s="174" customFormat="1" ht="18" customHeight="1">
      <c r="A2664" s="990"/>
      <c r="B2664" s="990"/>
      <c r="C2664" s="990"/>
      <c r="D2664" s="1099" t="s">
        <v>535</v>
      </c>
      <c r="E2664" s="1099"/>
      <c r="F2664" s="1099"/>
      <c r="G2664" s="1100">
        <v>3500</v>
      </c>
      <c r="H2664" s="1100"/>
    </row>
    <row r="2665" spans="1:8" ht="18.75" customHeight="1">
      <c r="A2665" s="193"/>
      <c r="B2665" s="193"/>
      <c r="C2665" s="193"/>
      <c r="D2665" s="1045" t="s">
        <v>1013</v>
      </c>
      <c r="E2665" s="180"/>
      <c r="F2665" s="180"/>
      <c r="G2665" s="180">
        <f>15000+8500</f>
        <v>23500</v>
      </c>
      <c r="H2665" s="180"/>
    </row>
    <row r="2666" spans="1:8" ht="18.75" customHeight="1">
      <c r="A2666" s="56"/>
      <c r="B2666" s="56"/>
      <c r="C2666" s="56"/>
      <c r="D2666" s="332" t="s">
        <v>1014</v>
      </c>
      <c r="E2666" s="296"/>
      <c r="F2666" s="296"/>
      <c r="G2666" s="296">
        <v>70000</v>
      </c>
      <c r="H2666" s="296"/>
    </row>
    <row r="2667" spans="1:8" ht="18.75" customHeight="1">
      <c r="A2667" s="56"/>
      <c r="B2667" s="56"/>
      <c r="C2667" s="56"/>
      <c r="D2667" s="332" t="s">
        <v>1015</v>
      </c>
      <c r="E2667" s="296"/>
      <c r="F2667" s="296"/>
      <c r="G2667" s="296">
        <v>25000</v>
      </c>
      <c r="H2667" s="296"/>
    </row>
    <row r="2668" spans="1:8" ht="25.5">
      <c r="A2668" s="56"/>
      <c r="B2668" s="56"/>
      <c r="C2668" s="56"/>
      <c r="D2668" s="332" t="s">
        <v>600</v>
      </c>
      <c r="E2668" s="296"/>
      <c r="F2668" s="296"/>
      <c r="G2668" s="296">
        <f>30000+5000</f>
        <v>35000</v>
      </c>
      <c r="H2668" s="296"/>
    </row>
    <row r="2669" spans="1:8" ht="25.5">
      <c r="A2669" s="56"/>
      <c r="B2669" s="56"/>
      <c r="C2669" s="56"/>
      <c r="D2669" s="332" t="s">
        <v>1016</v>
      </c>
      <c r="E2669" s="296"/>
      <c r="F2669" s="296"/>
      <c r="G2669" s="296">
        <f>30000+2000</f>
        <v>32000</v>
      </c>
      <c r="H2669" s="296"/>
    </row>
    <row r="2670" spans="1:8" ht="25.5">
      <c r="A2670" s="56"/>
      <c r="B2670" s="56"/>
      <c r="C2670" s="56"/>
      <c r="D2670" s="332" t="s">
        <v>473</v>
      </c>
      <c r="E2670" s="296"/>
      <c r="F2670" s="296"/>
      <c r="G2670" s="296">
        <v>95000</v>
      </c>
      <c r="H2670" s="296"/>
    </row>
    <row r="2671" spans="1:8" ht="25.5">
      <c r="A2671" s="56"/>
      <c r="B2671" s="56"/>
      <c r="C2671" s="56"/>
      <c r="D2671" s="332" t="s">
        <v>474</v>
      </c>
      <c r="E2671" s="296"/>
      <c r="F2671" s="296"/>
      <c r="G2671" s="296">
        <v>34000</v>
      </c>
      <c r="H2671" s="296"/>
    </row>
    <row r="2672" spans="1:8" ht="25.5">
      <c r="A2672" s="56"/>
      <c r="B2672" s="56"/>
      <c r="C2672" s="56"/>
      <c r="D2672" s="332" t="s">
        <v>123</v>
      </c>
      <c r="E2672" s="296"/>
      <c r="F2672" s="296"/>
      <c r="G2672" s="296">
        <v>30000</v>
      </c>
      <c r="H2672" s="296"/>
    </row>
    <row r="2673" spans="1:8" ht="18.75" customHeight="1">
      <c r="A2673" s="56"/>
      <c r="B2673" s="56"/>
      <c r="C2673" s="56"/>
      <c r="D2673" s="332" t="s">
        <v>489</v>
      </c>
      <c r="E2673" s="296"/>
      <c r="F2673" s="296"/>
      <c r="G2673" s="296">
        <v>20000</v>
      </c>
      <c r="H2673" s="296"/>
    </row>
    <row r="2674" spans="1:8" ht="18.75" customHeight="1">
      <c r="A2674" s="56"/>
      <c r="B2674" s="56"/>
      <c r="C2674" s="56"/>
      <c r="D2674" s="332" t="s">
        <v>1071</v>
      </c>
      <c r="E2674" s="296"/>
      <c r="F2674" s="296"/>
      <c r="G2674" s="296">
        <f>245000-225000</f>
        <v>20000</v>
      </c>
      <c r="H2674" s="296"/>
    </row>
    <row r="2675" spans="1:8" ht="26.25" customHeight="1">
      <c r="A2675" s="56"/>
      <c r="B2675" s="56"/>
      <c r="C2675" s="201">
        <v>2820</v>
      </c>
      <c r="D2675" s="189" t="s">
        <v>303</v>
      </c>
      <c r="E2675" s="176"/>
      <c r="F2675" s="176"/>
      <c r="G2675" s="176">
        <f>SUM(G2626:G2674)</f>
        <v>1920000</v>
      </c>
      <c r="H2675" s="176"/>
    </row>
    <row r="2676" spans="1:8" ht="18.75" customHeight="1">
      <c r="A2676" s="56"/>
      <c r="B2676" s="56"/>
      <c r="C2676" s="201">
        <v>4210</v>
      </c>
      <c r="D2676" s="189" t="s">
        <v>748</v>
      </c>
      <c r="E2676" s="334"/>
      <c r="F2676" s="334"/>
      <c r="G2676" s="334">
        <v>8000</v>
      </c>
      <c r="H2676" s="334"/>
    </row>
    <row r="2677" spans="1:8" ht="18.75" customHeight="1">
      <c r="A2677" s="56"/>
      <c r="B2677" s="56"/>
      <c r="C2677" s="333">
        <v>4300</v>
      </c>
      <c r="D2677" s="333" t="s">
        <v>815</v>
      </c>
      <c r="E2677" s="268"/>
      <c r="F2677" s="268"/>
      <c r="G2677" s="268">
        <v>2000</v>
      </c>
      <c r="H2677" s="268"/>
    </row>
    <row r="2678" spans="1:8" ht="18.75" customHeight="1">
      <c r="A2678" s="56"/>
      <c r="B2678" s="56"/>
      <c r="C2678" s="335"/>
      <c r="D2678" s="200" t="s">
        <v>1005</v>
      </c>
      <c r="E2678" s="336"/>
      <c r="F2678" s="336"/>
      <c r="G2678" s="336">
        <f>SUM(G2697:G2699)</f>
        <v>2000000</v>
      </c>
      <c r="H2678" s="336"/>
    </row>
    <row r="2679" spans="1:8" ht="25.5">
      <c r="A2679" s="56"/>
      <c r="B2679" s="56"/>
      <c r="C2679" s="335"/>
      <c r="D2679" s="248" t="s">
        <v>20</v>
      </c>
      <c r="E2679" s="448"/>
      <c r="F2679" s="448"/>
      <c r="G2679" s="448">
        <f>55000+19000</f>
        <v>74000</v>
      </c>
      <c r="H2679" s="448"/>
    </row>
    <row r="2680" spans="1:8" ht="18.75" customHeight="1">
      <c r="A2680" s="56"/>
      <c r="B2680" s="56"/>
      <c r="C2680" s="335"/>
      <c r="D2680" s="447" t="s">
        <v>25</v>
      </c>
      <c r="E2680" s="438"/>
      <c r="F2680" s="438"/>
      <c r="G2680" s="438">
        <f>20000+4000</f>
        <v>24000</v>
      </c>
      <c r="H2680" s="438"/>
    </row>
    <row r="2681" spans="1:8" ht="18.75" customHeight="1">
      <c r="A2681" s="56"/>
      <c r="B2681" s="56"/>
      <c r="C2681" s="335"/>
      <c r="D2681" s="447" t="s">
        <v>710</v>
      </c>
      <c r="E2681" s="438"/>
      <c r="F2681" s="438"/>
      <c r="G2681" s="438">
        <v>20000</v>
      </c>
      <c r="H2681" s="438"/>
    </row>
    <row r="2682" spans="1:8" s="174" customFormat="1" ht="18" customHeight="1">
      <c r="A2682" s="994"/>
      <c r="B2682" s="994"/>
      <c r="C2682" s="994"/>
      <c r="D2682" s="996" t="s">
        <v>856</v>
      </c>
      <c r="E2682" s="996"/>
      <c r="F2682" s="996"/>
      <c r="G2682" s="997">
        <v>20000</v>
      </c>
      <c r="H2682" s="997"/>
    </row>
    <row r="2683" spans="1:8" ht="18.75" customHeight="1">
      <c r="A2683" s="56"/>
      <c r="B2683" s="56"/>
      <c r="C2683" s="335"/>
      <c r="D2683" s="447" t="s">
        <v>711</v>
      </c>
      <c r="E2683" s="438"/>
      <c r="F2683" s="438"/>
      <c r="G2683" s="438">
        <v>15000</v>
      </c>
      <c r="H2683" s="438"/>
    </row>
    <row r="2684" spans="1:8" ht="18.75" customHeight="1">
      <c r="A2684" s="56"/>
      <c r="B2684" s="56"/>
      <c r="C2684" s="335"/>
      <c r="D2684" s="447" t="s">
        <v>713</v>
      </c>
      <c r="E2684" s="438"/>
      <c r="F2684" s="438"/>
      <c r="G2684" s="438">
        <v>10000</v>
      </c>
      <c r="H2684" s="438"/>
    </row>
    <row r="2685" spans="1:8" ht="18.75" customHeight="1">
      <c r="A2685" s="56"/>
      <c r="B2685" s="56"/>
      <c r="C2685" s="335"/>
      <c r="D2685" s="447" t="s">
        <v>531</v>
      </c>
      <c r="E2685" s="438"/>
      <c r="F2685" s="438"/>
      <c r="G2685" s="438">
        <v>75000</v>
      </c>
      <c r="H2685" s="438"/>
    </row>
    <row r="2686" spans="1:8" ht="18.75" customHeight="1">
      <c r="A2686" s="56"/>
      <c r="B2686" s="56"/>
      <c r="C2686" s="335"/>
      <c r="D2686" s="447" t="s">
        <v>715</v>
      </c>
      <c r="E2686" s="438"/>
      <c r="F2686" s="438"/>
      <c r="G2686" s="438">
        <v>15000</v>
      </c>
      <c r="H2686" s="438"/>
    </row>
    <row r="2687" spans="1:8" ht="18.75" customHeight="1">
      <c r="A2687" s="56"/>
      <c r="B2687" s="56"/>
      <c r="C2687" s="335"/>
      <c r="D2687" s="447" t="s">
        <v>716</v>
      </c>
      <c r="E2687" s="438"/>
      <c r="F2687" s="438"/>
      <c r="G2687" s="438">
        <v>10000</v>
      </c>
      <c r="H2687" s="438"/>
    </row>
    <row r="2688" spans="1:8" ht="18.75" customHeight="1">
      <c r="A2688" s="56"/>
      <c r="B2688" s="56"/>
      <c r="C2688" s="335"/>
      <c r="D2688" s="447" t="s">
        <v>717</v>
      </c>
      <c r="E2688" s="438"/>
      <c r="F2688" s="438"/>
      <c r="G2688" s="438">
        <v>10000</v>
      </c>
      <c r="H2688" s="438"/>
    </row>
    <row r="2689" spans="1:8" ht="25.5">
      <c r="A2689" s="56"/>
      <c r="B2689" s="56"/>
      <c r="C2689" s="335"/>
      <c r="D2689" s="332" t="s">
        <v>719</v>
      </c>
      <c r="E2689" s="438"/>
      <c r="F2689" s="438"/>
      <c r="G2689" s="438">
        <f>24000+5000</f>
        <v>29000</v>
      </c>
      <c r="H2689" s="438"/>
    </row>
    <row r="2690" spans="1:8" ht="25.5">
      <c r="A2690" s="158"/>
      <c r="B2690" s="158"/>
      <c r="C2690" s="201"/>
      <c r="D2690" s="306" t="s">
        <v>1124</v>
      </c>
      <c r="E2690" s="1105"/>
      <c r="F2690" s="1105"/>
      <c r="G2690" s="1105">
        <v>15000</v>
      </c>
      <c r="H2690" s="1105"/>
    </row>
    <row r="2691" spans="1:8" ht="18.75" customHeight="1">
      <c r="A2691" s="193"/>
      <c r="B2691" s="193"/>
      <c r="C2691" s="1106"/>
      <c r="D2691" s="1107" t="s">
        <v>721</v>
      </c>
      <c r="E2691" s="1108"/>
      <c r="F2691" s="1108"/>
      <c r="G2691" s="1108">
        <f>10000+1000</f>
        <v>11000</v>
      </c>
      <c r="H2691" s="1108"/>
    </row>
    <row r="2692" spans="1:8" ht="18.75" customHeight="1">
      <c r="A2692" s="56"/>
      <c r="B2692" s="56"/>
      <c r="C2692" s="335"/>
      <c r="D2692" s="447" t="s">
        <v>18</v>
      </c>
      <c r="E2692" s="438"/>
      <c r="F2692" s="438"/>
      <c r="G2692" s="438">
        <f>102000+60000</f>
        <v>162000</v>
      </c>
      <c r="H2692" s="438"/>
    </row>
    <row r="2693" spans="1:8" ht="18.75" customHeight="1">
      <c r="A2693" s="56"/>
      <c r="B2693" s="56"/>
      <c r="C2693" s="335"/>
      <c r="D2693" s="447" t="s">
        <v>644</v>
      </c>
      <c r="E2693" s="438"/>
      <c r="F2693" s="438"/>
      <c r="G2693" s="438">
        <v>20000</v>
      </c>
      <c r="H2693" s="438"/>
    </row>
    <row r="2694" spans="1:8" ht="18.75" customHeight="1">
      <c r="A2694" s="56"/>
      <c r="B2694" s="56"/>
      <c r="C2694" s="335"/>
      <c r="D2694" s="447" t="s">
        <v>1125</v>
      </c>
      <c r="E2694" s="438"/>
      <c r="F2694" s="438"/>
      <c r="G2694" s="438">
        <f>160000+175000</f>
        <v>335000</v>
      </c>
      <c r="H2694" s="438"/>
    </row>
    <row r="2695" spans="1:8" ht="17.25" customHeight="1">
      <c r="A2695" s="56"/>
      <c r="B2695" s="56"/>
      <c r="C2695" s="56"/>
      <c r="D2695" s="332" t="s">
        <v>854</v>
      </c>
      <c r="E2695" s="296"/>
      <c r="F2695" s="296"/>
      <c r="G2695" s="296">
        <v>60000</v>
      </c>
      <c r="H2695" s="296"/>
    </row>
    <row r="2696" spans="1:8" ht="18.75" customHeight="1">
      <c r="A2696" s="56"/>
      <c r="B2696" s="56"/>
      <c r="C2696" s="56"/>
      <c r="D2696" s="332" t="s">
        <v>1071</v>
      </c>
      <c r="E2696" s="296"/>
      <c r="F2696" s="296"/>
      <c r="G2696" s="296">
        <f>424000-419000</f>
        <v>5000</v>
      </c>
      <c r="H2696" s="296"/>
    </row>
    <row r="2697" spans="1:8" ht="25.5">
      <c r="A2697" s="56"/>
      <c r="B2697" s="56"/>
      <c r="C2697" s="201">
        <v>2820</v>
      </c>
      <c r="D2697" s="189" t="s">
        <v>303</v>
      </c>
      <c r="E2697" s="176"/>
      <c r="F2697" s="176"/>
      <c r="G2697" s="176">
        <f>SUM(G2679:G2696)</f>
        <v>910000</v>
      </c>
      <c r="H2697" s="176"/>
    </row>
    <row r="2698" spans="1:8" ht="18.75" customHeight="1">
      <c r="A2698" s="56"/>
      <c r="B2698" s="56"/>
      <c r="C2698" s="333">
        <v>3040</v>
      </c>
      <c r="D2698" s="333" t="s">
        <v>56</v>
      </c>
      <c r="E2698" s="268"/>
      <c r="F2698" s="268"/>
      <c r="G2698" s="268">
        <v>90000</v>
      </c>
      <c r="H2698" s="268"/>
    </row>
    <row r="2699" spans="1:8" ht="18.75" customHeight="1">
      <c r="A2699" s="56"/>
      <c r="B2699" s="56"/>
      <c r="C2699" s="201">
        <v>3250</v>
      </c>
      <c r="D2699" s="189" t="s">
        <v>245</v>
      </c>
      <c r="E2699" s="268"/>
      <c r="F2699" s="268"/>
      <c r="G2699" s="268">
        <f>500000+500000</f>
        <v>1000000</v>
      </c>
      <c r="H2699" s="268"/>
    </row>
    <row r="2700" spans="1:8" ht="19.5" customHeight="1">
      <c r="A2700" s="56"/>
      <c r="B2700" s="56"/>
      <c r="C2700" s="56"/>
      <c r="D2700" s="1081" t="s">
        <v>770</v>
      </c>
      <c r="E2700" s="1075"/>
      <c r="F2700" s="1075"/>
      <c r="G2700" s="1075">
        <f>G2701+G2702+G2703</f>
        <v>639500</v>
      </c>
      <c r="H2700" s="1075"/>
    </row>
    <row r="2701" spans="1:8" ht="19.5" customHeight="1">
      <c r="A2701" s="56"/>
      <c r="B2701" s="56"/>
      <c r="C2701" s="181">
        <v>4110</v>
      </c>
      <c r="D2701" s="189" t="s">
        <v>681</v>
      </c>
      <c r="E2701" s="173"/>
      <c r="F2701" s="173"/>
      <c r="G2701" s="173">
        <f>81391+15000</f>
        <v>96391</v>
      </c>
      <c r="H2701" s="173"/>
    </row>
    <row r="2702" spans="1:8" ht="19.5" customHeight="1">
      <c r="A2702" s="56"/>
      <c r="B2702" s="56"/>
      <c r="C2702" s="201">
        <v>4120</v>
      </c>
      <c r="D2702" s="189" t="s">
        <v>682</v>
      </c>
      <c r="E2702" s="232"/>
      <c r="F2702" s="232"/>
      <c r="G2702" s="232">
        <f>10955+2000</f>
        <v>12955</v>
      </c>
      <c r="H2702" s="232"/>
    </row>
    <row r="2703" spans="1:8" ht="19.5" customHeight="1">
      <c r="A2703" s="56"/>
      <c r="B2703" s="56"/>
      <c r="C2703" s="333">
        <v>4170</v>
      </c>
      <c r="D2703" s="333" t="s">
        <v>740</v>
      </c>
      <c r="E2703" s="232"/>
      <c r="F2703" s="232"/>
      <c r="G2703" s="232">
        <f>447154+83000</f>
        <v>530154</v>
      </c>
      <c r="H2703" s="232"/>
    </row>
    <row r="2704" spans="1:8" ht="20.25" customHeight="1">
      <c r="A2704" s="56"/>
      <c r="B2704" s="56"/>
      <c r="C2704" s="56"/>
      <c r="D2704" s="196" t="s">
        <v>94</v>
      </c>
      <c r="E2704" s="1075"/>
      <c r="F2704" s="1075"/>
      <c r="G2704" s="1075">
        <f>G2711+G2712</f>
        <v>50000</v>
      </c>
      <c r="H2704" s="1075"/>
    </row>
    <row r="2705" spans="1:8" ht="18.75" customHeight="1">
      <c r="A2705" s="56"/>
      <c r="B2705" s="56"/>
      <c r="C2705" s="56"/>
      <c r="D2705" s="248" t="s">
        <v>21</v>
      </c>
      <c r="E2705" s="249"/>
      <c r="F2705" s="249"/>
      <c r="G2705" s="249">
        <v>1800</v>
      </c>
      <c r="H2705" s="249"/>
    </row>
    <row r="2706" spans="1:8" ht="18.75" customHeight="1">
      <c r="A2706" s="56"/>
      <c r="B2706" s="56"/>
      <c r="C2706" s="56"/>
      <c r="D2706" s="332" t="s">
        <v>1148</v>
      </c>
      <c r="E2706" s="296"/>
      <c r="F2706" s="296"/>
      <c r="G2706" s="296">
        <v>5000</v>
      </c>
      <c r="H2706" s="296"/>
    </row>
    <row r="2707" spans="1:8" ht="18.75" customHeight="1">
      <c r="A2707" s="56"/>
      <c r="B2707" s="56"/>
      <c r="C2707" s="56"/>
      <c r="D2707" s="332" t="s">
        <v>1149</v>
      </c>
      <c r="E2707" s="296"/>
      <c r="F2707" s="296"/>
      <c r="G2707" s="296">
        <v>7000</v>
      </c>
      <c r="H2707" s="296"/>
    </row>
    <row r="2708" spans="1:8" ht="26.25" customHeight="1">
      <c r="A2708" s="56"/>
      <c r="B2708" s="56"/>
      <c r="C2708" s="56"/>
      <c r="D2708" s="332" t="s">
        <v>1010</v>
      </c>
      <c r="E2708" s="296"/>
      <c r="F2708" s="296"/>
      <c r="G2708" s="296">
        <v>6200</v>
      </c>
      <c r="H2708" s="296"/>
    </row>
    <row r="2709" spans="1:8" ht="27.75" customHeight="1">
      <c r="A2709" s="56"/>
      <c r="B2709" s="56"/>
      <c r="C2709" s="56"/>
      <c r="D2709" s="332" t="s">
        <v>602</v>
      </c>
      <c r="E2709" s="296"/>
      <c r="F2709" s="296"/>
      <c r="G2709" s="296">
        <v>5000</v>
      </c>
      <c r="H2709" s="296"/>
    </row>
    <row r="2710" spans="1:8" ht="25.5">
      <c r="A2710" s="56"/>
      <c r="B2710" s="56"/>
      <c r="C2710" s="56"/>
      <c r="D2710" s="332" t="s">
        <v>1016</v>
      </c>
      <c r="E2710" s="296"/>
      <c r="F2710" s="296"/>
      <c r="G2710" s="296">
        <v>5000</v>
      </c>
      <c r="H2710" s="296"/>
    </row>
    <row r="2711" spans="1:8" ht="27" customHeight="1">
      <c r="A2711" s="56"/>
      <c r="B2711" s="56"/>
      <c r="C2711" s="201">
        <v>2820</v>
      </c>
      <c r="D2711" s="189" t="s">
        <v>303</v>
      </c>
      <c r="E2711" s="176"/>
      <c r="F2711" s="176"/>
      <c r="G2711" s="176">
        <f>G2705+G2706+G2707+G2708+G2709+G2710</f>
        <v>30000</v>
      </c>
      <c r="H2711" s="176"/>
    </row>
    <row r="2712" spans="1:8" ht="19.5" customHeight="1">
      <c r="A2712" s="56"/>
      <c r="B2712" s="56"/>
      <c r="C2712" s="181">
        <v>4300</v>
      </c>
      <c r="D2712" s="189" t="s">
        <v>815</v>
      </c>
      <c r="E2712" s="176"/>
      <c r="F2712" s="176"/>
      <c r="G2712" s="176">
        <v>20000</v>
      </c>
      <c r="H2712" s="176"/>
    </row>
    <row r="2713" spans="1:8" ht="19.5" customHeight="1">
      <c r="A2713" s="56"/>
      <c r="B2713" s="56"/>
      <c r="C2713" s="56"/>
      <c r="D2713" s="196" t="s">
        <v>95</v>
      </c>
      <c r="E2713" s="1075"/>
      <c r="F2713" s="1075"/>
      <c r="G2713" s="1075">
        <f>G2714</f>
        <v>40000</v>
      </c>
      <c r="H2713" s="1075"/>
    </row>
    <row r="2714" spans="1:8" ht="19.5" customHeight="1">
      <c r="A2714" s="56"/>
      <c r="B2714" s="56"/>
      <c r="C2714" s="181">
        <v>3040</v>
      </c>
      <c r="D2714" s="189" t="s">
        <v>56</v>
      </c>
      <c r="E2714" s="173"/>
      <c r="F2714" s="173"/>
      <c r="G2714" s="173">
        <v>40000</v>
      </c>
      <c r="H2714" s="173"/>
    </row>
    <row r="2715" spans="1:8" ht="21.75" customHeight="1" thickBot="1">
      <c r="A2715" s="158"/>
      <c r="B2715" s="158"/>
      <c r="C2715" s="158"/>
      <c r="D2715" s="192" t="s">
        <v>523</v>
      </c>
      <c r="E2715" s="160"/>
      <c r="F2715" s="160"/>
      <c r="G2715" s="160">
        <f>G2716</f>
        <v>34000</v>
      </c>
      <c r="H2715" s="160"/>
    </row>
    <row r="2716" spans="1:8" ht="23.25" customHeight="1" thickTop="1">
      <c r="A2716" s="165">
        <v>921</v>
      </c>
      <c r="B2716" s="165"/>
      <c r="C2716" s="165"/>
      <c r="D2716" s="165" t="s">
        <v>401</v>
      </c>
      <c r="E2716" s="167"/>
      <c r="F2716" s="167"/>
      <c r="G2716" s="167">
        <f>G2717</f>
        <v>34000</v>
      </c>
      <c r="H2716" s="167"/>
    </row>
    <row r="2717" spans="1:8" ht="18.75" customHeight="1">
      <c r="A2717" s="193"/>
      <c r="B2717" s="182">
        <v>92109</v>
      </c>
      <c r="C2717" s="182"/>
      <c r="D2717" s="182" t="s">
        <v>1043</v>
      </c>
      <c r="E2717" s="183"/>
      <c r="F2717" s="183"/>
      <c r="G2717" s="183">
        <f>G2718</f>
        <v>34000</v>
      </c>
      <c r="H2717" s="183"/>
    </row>
    <row r="2718" spans="1:8" ht="27.75" customHeight="1">
      <c r="A2718" s="86"/>
      <c r="B2718" s="122"/>
      <c r="C2718" s="128"/>
      <c r="D2718" s="16" t="s">
        <v>566</v>
      </c>
      <c r="E2718" s="17"/>
      <c r="F2718" s="17"/>
      <c r="G2718" s="17">
        <f>G2719</f>
        <v>34000</v>
      </c>
      <c r="H2718" s="17"/>
    </row>
    <row r="2719" spans="1:8" ht="25.5">
      <c r="A2719" s="86"/>
      <c r="B2719" s="86"/>
      <c r="C2719" s="22">
        <v>2800</v>
      </c>
      <c r="D2719" s="20" t="s">
        <v>160</v>
      </c>
      <c r="E2719" s="6"/>
      <c r="F2719" s="6"/>
      <c r="G2719" s="6">
        <v>34000</v>
      </c>
      <c r="H2719" s="6"/>
    </row>
    <row r="2720" spans="1:8" ht="32.25" customHeight="1" thickBot="1">
      <c r="A2720" s="158"/>
      <c r="B2720" s="158"/>
      <c r="C2720" s="158"/>
      <c r="D2720" s="192" t="s">
        <v>1021</v>
      </c>
      <c r="E2720" s="160"/>
      <c r="F2720" s="160"/>
      <c r="G2720" s="160">
        <f>G2721</f>
        <v>528000</v>
      </c>
      <c r="H2720" s="160"/>
    </row>
    <row r="2721" spans="1:8" ht="23.25" customHeight="1" thickBot="1" thickTop="1">
      <c r="A2721" s="382">
        <v>853</v>
      </c>
      <c r="B2721" s="382"/>
      <c r="C2721" s="382"/>
      <c r="D2721" s="382" t="s">
        <v>277</v>
      </c>
      <c r="E2721" s="384"/>
      <c r="F2721" s="384"/>
      <c r="G2721" s="384">
        <f>G2722</f>
        <v>528000</v>
      </c>
      <c r="H2721" s="384"/>
    </row>
    <row r="2722" spans="1:8" ht="18.75" customHeight="1">
      <c r="A2722" s="56"/>
      <c r="B2722" s="165">
        <v>85321</v>
      </c>
      <c r="C2722" s="165"/>
      <c r="D2722" s="165" t="s">
        <v>630</v>
      </c>
      <c r="E2722" s="167"/>
      <c r="F2722" s="167"/>
      <c r="G2722" s="167">
        <f>G2723</f>
        <v>528000</v>
      </c>
      <c r="H2722" s="167"/>
    </row>
    <row r="2723" spans="1:8" ht="27.75" customHeight="1">
      <c r="A2723" s="86"/>
      <c r="B2723" s="122"/>
      <c r="C2723" s="128"/>
      <c r="D2723" s="16" t="s">
        <v>122</v>
      </c>
      <c r="E2723" s="17"/>
      <c r="F2723" s="17"/>
      <c r="G2723" s="17">
        <f>SUM(G2724:G2735)</f>
        <v>528000</v>
      </c>
      <c r="H2723" s="17"/>
    </row>
    <row r="2724" spans="1:8" ht="18.75" customHeight="1">
      <c r="A2724" s="86"/>
      <c r="B2724" s="86"/>
      <c r="C2724" s="18">
        <v>4010</v>
      </c>
      <c r="D2724" s="221" t="s">
        <v>754</v>
      </c>
      <c r="E2724" s="279"/>
      <c r="F2724" s="279"/>
      <c r="G2724" s="279">
        <v>270299</v>
      </c>
      <c r="H2724" s="279"/>
    </row>
    <row r="2725" spans="1:8" ht="21" customHeight="1">
      <c r="A2725" s="86"/>
      <c r="B2725" s="86"/>
      <c r="C2725" s="144">
        <v>4040</v>
      </c>
      <c r="D2725" s="252" t="s">
        <v>755</v>
      </c>
      <c r="E2725" s="65"/>
      <c r="F2725" s="65"/>
      <c r="G2725" s="65">
        <v>24460</v>
      </c>
      <c r="H2725" s="65"/>
    </row>
    <row r="2726" spans="1:8" ht="21" customHeight="1">
      <c r="A2726" s="86"/>
      <c r="B2726" s="86"/>
      <c r="C2726" s="22">
        <v>4110</v>
      </c>
      <c r="D2726" s="20" t="s">
        <v>681</v>
      </c>
      <c r="E2726" s="6"/>
      <c r="F2726" s="6"/>
      <c r="G2726" s="6">
        <v>54200</v>
      </c>
      <c r="H2726" s="6"/>
    </row>
    <row r="2727" spans="1:8" ht="21" customHeight="1">
      <c r="A2727" s="86"/>
      <c r="B2727" s="86"/>
      <c r="C2727" s="144">
        <v>4120</v>
      </c>
      <c r="D2727" s="252" t="s">
        <v>682</v>
      </c>
      <c r="E2727" s="6"/>
      <c r="F2727" s="6"/>
      <c r="G2727" s="6">
        <v>10100</v>
      </c>
      <c r="H2727" s="6"/>
    </row>
    <row r="2728" spans="1:8" ht="21" customHeight="1">
      <c r="A2728" s="86"/>
      <c r="B2728" s="86"/>
      <c r="C2728" s="144">
        <v>4170</v>
      </c>
      <c r="D2728" s="252" t="s">
        <v>740</v>
      </c>
      <c r="E2728" s="6"/>
      <c r="F2728" s="6"/>
      <c r="G2728" s="6">
        <v>80000</v>
      </c>
      <c r="H2728" s="6"/>
    </row>
    <row r="2729" spans="1:8" ht="21" customHeight="1">
      <c r="A2729" s="86"/>
      <c r="B2729" s="86"/>
      <c r="C2729" s="144">
        <v>4210</v>
      </c>
      <c r="D2729" s="252" t="s">
        <v>748</v>
      </c>
      <c r="E2729" s="6"/>
      <c r="F2729" s="6"/>
      <c r="G2729" s="6">
        <v>7000</v>
      </c>
      <c r="H2729" s="6"/>
    </row>
    <row r="2730" spans="1:8" ht="21" customHeight="1">
      <c r="A2730" s="86"/>
      <c r="B2730" s="86"/>
      <c r="C2730" s="128">
        <v>4260</v>
      </c>
      <c r="D2730" s="128" t="s">
        <v>752</v>
      </c>
      <c r="E2730" s="279"/>
      <c r="F2730" s="279"/>
      <c r="G2730" s="279">
        <v>2900</v>
      </c>
      <c r="H2730" s="279"/>
    </row>
    <row r="2731" spans="1:8" ht="21" customHeight="1">
      <c r="A2731" s="86"/>
      <c r="B2731" s="86"/>
      <c r="C2731" s="144">
        <v>4300</v>
      </c>
      <c r="D2731" s="252" t="s">
        <v>815</v>
      </c>
      <c r="E2731" s="65"/>
      <c r="F2731" s="65"/>
      <c r="G2731" s="65">
        <v>10300</v>
      </c>
      <c r="H2731" s="65"/>
    </row>
    <row r="2732" spans="1:8" ht="21" customHeight="1">
      <c r="A2732" s="86"/>
      <c r="B2732" s="86"/>
      <c r="C2732" s="22">
        <v>4370</v>
      </c>
      <c r="D2732" s="20" t="s">
        <v>311</v>
      </c>
      <c r="E2732" s="6"/>
      <c r="F2732" s="6"/>
      <c r="G2732" s="6">
        <v>1236</v>
      </c>
      <c r="H2732" s="6"/>
    </row>
    <row r="2733" spans="1:8" ht="26.25" customHeight="1">
      <c r="A2733" s="86"/>
      <c r="B2733" s="86"/>
      <c r="C2733" s="22">
        <v>4400</v>
      </c>
      <c r="D2733" s="20" t="s">
        <v>1081</v>
      </c>
      <c r="E2733" s="6"/>
      <c r="F2733" s="6"/>
      <c r="G2733" s="6">
        <v>58370</v>
      </c>
      <c r="H2733" s="6"/>
    </row>
    <row r="2734" spans="1:8" ht="21" customHeight="1">
      <c r="A2734" s="86"/>
      <c r="B2734" s="86"/>
      <c r="C2734" s="22">
        <v>4410</v>
      </c>
      <c r="D2734" s="20" t="s">
        <v>749</v>
      </c>
      <c r="E2734" s="6"/>
      <c r="F2734" s="6"/>
      <c r="G2734" s="6">
        <v>964</v>
      </c>
      <c r="H2734" s="6"/>
    </row>
    <row r="2735" spans="1:8" ht="21" customHeight="1">
      <c r="A2735" s="86"/>
      <c r="B2735" s="86"/>
      <c r="C2735" s="22">
        <v>4440</v>
      </c>
      <c r="D2735" s="20" t="s">
        <v>684</v>
      </c>
      <c r="E2735" s="6"/>
      <c r="F2735" s="6"/>
      <c r="G2735" s="6">
        <v>8171</v>
      </c>
      <c r="H2735" s="6"/>
    </row>
    <row r="2736" spans="1:8" ht="20.25" customHeight="1">
      <c r="A2736" s="56"/>
      <c r="B2736" s="56"/>
      <c r="C2736" s="56"/>
      <c r="D2736" s="271" t="s">
        <v>204</v>
      </c>
      <c r="E2736" s="272"/>
      <c r="F2736" s="272"/>
      <c r="G2736" s="272"/>
      <c r="H2736" s="272">
        <f>H2737+H2861</f>
        <v>18062127</v>
      </c>
    </row>
    <row r="2737" spans="1:8" ht="21" customHeight="1" thickBot="1">
      <c r="A2737" s="158"/>
      <c r="B2737" s="158"/>
      <c r="C2737" s="158"/>
      <c r="D2737" s="159" t="s">
        <v>646</v>
      </c>
      <c r="E2737" s="160"/>
      <c r="F2737" s="160"/>
      <c r="G2737" s="160"/>
      <c r="H2737" s="160">
        <f>H2742+H2738</f>
        <v>18028127</v>
      </c>
    </row>
    <row r="2738" spans="1:8" ht="18" customHeight="1" thickBot="1" thickTop="1">
      <c r="A2738" s="920">
        <v>750</v>
      </c>
      <c r="B2738" s="920"/>
      <c r="C2738" s="920"/>
      <c r="D2738" s="959" t="s">
        <v>439</v>
      </c>
      <c r="E2738" s="959"/>
      <c r="F2738" s="959"/>
      <c r="G2738" s="959"/>
      <c r="H2738" s="954">
        <f>H2739</f>
        <v>42000</v>
      </c>
    </row>
    <row r="2739" spans="1:8" ht="18" customHeight="1">
      <c r="A2739" s="923"/>
      <c r="B2739" s="924">
        <v>75075</v>
      </c>
      <c r="C2739" s="924"/>
      <c r="D2739" s="185" t="s">
        <v>993</v>
      </c>
      <c r="E2739" s="185"/>
      <c r="F2739" s="185"/>
      <c r="G2739" s="185"/>
      <c r="H2739" s="310">
        <f>H2740</f>
        <v>42000</v>
      </c>
    </row>
    <row r="2740" spans="1:8" ht="18" customHeight="1">
      <c r="A2740" s="923"/>
      <c r="B2740" s="923"/>
      <c r="C2740" s="923"/>
      <c r="D2740" s="186" t="s">
        <v>994</v>
      </c>
      <c r="E2740" s="186"/>
      <c r="F2740" s="186"/>
      <c r="G2740" s="186"/>
      <c r="H2740" s="608">
        <f>H2741</f>
        <v>42000</v>
      </c>
    </row>
    <row r="2741" spans="1:8" ht="18" customHeight="1">
      <c r="A2741" s="929"/>
      <c r="B2741" s="181"/>
      <c r="C2741" s="990">
        <v>4300</v>
      </c>
      <c r="D2741" s="984" t="s">
        <v>815</v>
      </c>
      <c r="E2741" s="984"/>
      <c r="F2741" s="984"/>
      <c r="G2741" s="984"/>
      <c r="H2741" s="958">
        <v>42000</v>
      </c>
    </row>
    <row r="2742" spans="1:8" s="1" customFormat="1" ht="21" customHeight="1" thickBot="1">
      <c r="A2742" s="394">
        <v>921</v>
      </c>
      <c r="B2742" s="394"/>
      <c r="C2742" s="414"/>
      <c r="D2742" s="394" t="s">
        <v>401</v>
      </c>
      <c r="E2742" s="377"/>
      <c r="F2742" s="377"/>
      <c r="G2742" s="377"/>
      <c r="H2742" s="377">
        <f>H2743+H2812+H2818+H2837+H2843+H2850</f>
        <v>17986127</v>
      </c>
    </row>
    <row r="2743" spans="1:8" s="1" customFormat="1" ht="21" customHeight="1">
      <c r="A2743" s="2"/>
      <c r="B2743" s="3">
        <v>92105</v>
      </c>
      <c r="C2743" s="3"/>
      <c r="D2743" s="3" t="s">
        <v>397</v>
      </c>
      <c r="E2743" s="4"/>
      <c r="F2743" s="4"/>
      <c r="G2743" s="4"/>
      <c r="H2743" s="4">
        <f>H2744+H2803+H2805+H2807</f>
        <v>920000</v>
      </c>
    </row>
    <row r="2744" spans="1:8" s="1" customFormat="1" ht="19.5" customHeight="1">
      <c r="A2744" s="2"/>
      <c r="B2744" s="5"/>
      <c r="C2744" s="47"/>
      <c r="D2744" s="312" t="s">
        <v>152</v>
      </c>
      <c r="E2744" s="17"/>
      <c r="F2744" s="17"/>
      <c r="G2744" s="17"/>
      <c r="H2744" s="17">
        <f>H2745+H2778+H2785+H2792+H2799</f>
        <v>825000</v>
      </c>
    </row>
    <row r="2745" spans="1:8" s="1" customFormat="1" ht="19.5" customHeight="1">
      <c r="A2745" s="2"/>
      <c r="B2745" s="2"/>
      <c r="C2745" s="2"/>
      <c r="D2745" s="314" t="s">
        <v>613</v>
      </c>
      <c r="E2745" s="313"/>
      <c r="F2745" s="313"/>
      <c r="G2745" s="313"/>
      <c r="H2745" s="313">
        <f>H2750+H2775+H2777+H2747</f>
        <v>485000</v>
      </c>
    </row>
    <row r="2746" spans="1:8" s="8" customFormat="1" ht="25.5">
      <c r="A2746" s="50"/>
      <c r="B2746" s="50"/>
      <c r="C2746" s="50"/>
      <c r="D2746" s="372" t="s">
        <v>654</v>
      </c>
      <c r="E2746" s="373"/>
      <c r="F2746" s="373"/>
      <c r="G2746" s="373"/>
      <c r="H2746" s="373">
        <v>6000</v>
      </c>
    </row>
    <row r="2747" spans="1:8" s="8" customFormat="1" ht="25.5">
      <c r="A2747" s="18"/>
      <c r="B2747" s="18"/>
      <c r="C2747" s="22">
        <v>2800</v>
      </c>
      <c r="D2747" s="20" t="s">
        <v>160</v>
      </c>
      <c r="E2747" s="6"/>
      <c r="F2747" s="6"/>
      <c r="G2747" s="6"/>
      <c r="H2747" s="6">
        <v>6000</v>
      </c>
    </row>
    <row r="2748" spans="1:8" s="1" customFormat="1" ht="19.5" customHeight="1">
      <c r="A2748" s="2"/>
      <c r="B2748" s="2"/>
      <c r="C2748" s="2"/>
      <c r="D2748" s="356" t="s">
        <v>603</v>
      </c>
      <c r="E2748" s="358"/>
      <c r="F2748" s="358"/>
      <c r="G2748" s="358"/>
      <c r="H2748" s="358">
        <v>35000</v>
      </c>
    </row>
    <row r="2749" spans="1:8" s="1" customFormat="1" ht="19.5" customHeight="1">
      <c r="A2749" s="2"/>
      <c r="B2749" s="2"/>
      <c r="C2749" s="2"/>
      <c r="D2749" s="332" t="s">
        <v>604</v>
      </c>
      <c r="E2749" s="296"/>
      <c r="F2749" s="296"/>
      <c r="G2749" s="296"/>
      <c r="H2749" s="296">
        <v>25000</v>
      </c>
    </row>
    <row r="2750" spans="1:8" s="8" customFormat="1" ht="25.5">
      <c r="A2750" s="18"/>
      <c r="B2750" s="18"/>
      <c r="C2750" s="22">
        <v>2810</v>
      </c>
      <c r="D2750" s="20" t="s">
        <v>279</v>
      </c>
      <c r="E2750" s="6"/>
      <c r="F2750" s="6"/>
      <c r="G2750" s="6"/>
      <c r="H2750" s="6">
        <f>H2749+H2748</f>
        <v>60000</v>
      </c>
    </row>
    <row r="2751" spans="1:8" s="1" customFormat="1" ht="19.5" customHeight="1">
      <c r="A2751" s="2"/>
      <c r="B2751" s="2"/>
      <c r="C2751" s="2"/>
      <c r="D2751" s="332" t="s">
        <v>605</v>
      </c>
      <c r="E2751" s="337"/>
      <c r="F2751" s="337"/>
      <c r="G2751" s="296"/>
      <c r="H2751" s="296">
        <v>15000</v>
      </c>
    </row>
    <row r="2752" spans="1:8" s="1" customFormat="1" ht="19.5" customHeight="1">
      <c r="A2752" s="2"/>
      <c r="B2752" s="2"/>
      <c r="C2752" s="2"/>
      <c r="D2752" s="332" t="s">
        <v>606</v>
      </c>
      <c r="E2752" s="337"/>
      <c r="F2752" s="337"/>
      <c r="G2752" s="296"/>
      <c r="H2752" s="296">
        <v>8500</v>
      </c>
    </row>
    <row r="2753" spans="1:8" s="1" customFormat="1" ht="19.5" customHeight="1">
      <c r="A2753" s="2"/>
      <c r="B2753" s="2"/>
      <c r="C2753" s="2"/>
      <c r="D2753" s="332" t="s">
        <v>256</v>
      </c>
      <c r="E2753" s="337"/>
      <c r="F2753" s="337"/>
      <c r="G2753" s="296"/>
      <c r="H2753" s="296">
        <v>28220</v>
      </c>
    </row>
    <row r="2754" spans="1:8" s="1" customFormat="1" ht="25.5">
      <c r="A2754" s="2"/>
      <c r="B2754" s="2"/>
      <c r="C2754" s="2"/>
      <c r="D2754" s="332" t="s">
        <v>607</v>
      </c>
      <c r="E2754" s="337"/>
      <c r="F2754" s="337"/>
      <c r="G2754" s="296"/>
      <c r="H2754" s="296">
        <v>12000</v>
      </c>
    </row>
    <row r="2755" spans="1:8" s="1" customFormat="1" ht="25.5">
      <c r="A2755" s="2"/>
      <c r="B2755" s="2"/>
      <c r="C2755" s="2"/>
      <c r="D2755" s="332" t="s">
        <v>257</v>
      </c>
      <c r="E2755" s="337"/>
      <c r="F2755" s="337"/>
      <c r="G2755" s="296"/>
      <c r="H2755" s="296">
        <v>10000</v>
      </c>
    </row>
    <row r="2756" spans="1:8" s="1" customFormat="1" ht="25.5">
      <c r="A2756" s="2"/>
      <c r="B2756" s="2"/>
      <c r="C2756" s="2"/>
      <c r="D2756" s="332" t="s">
        <v>608</v>
      </c>
      <c r="E2756" s="337"/>
      <c r="F2756" s="337"/>
      <c r="G2756" s="296"/>
      <c r="H2756" s="296">
        <v>7000</v>
      </c>
    </row>
    <row r="2757" spans="1:8" s="1" customFormat="1" ht="25.5">
      <c r="A2757" s="2"/>
      <c r="B2757" s="2"/>
      <c r="C2757" s="2"/>
      <c r="D2757" s="332" t="s">
        <v>609</v>
      </c>
      <c r="E2757" s="337"/>
      <c r="F2757" s="337"/>
      <c r="G2757" s="296"/>
      <c r="H2757" s="296">
        <v>7000</v>
      </c>
    </row>
    <row r="2758" spans="1:8" s="1" customFormat="1" ht="19.5" customHeight="1">
      <c r="A2758" s="2"/>
      <c r="B2758" s="2"/>
      <c r="C2758" s="2"/>
      <c r="D2758" s="332" t="s">
        <v>610</v>
      </c>
      <c r="E2758" s="337"/>
      <c r="F2758" s="337"/>
      <c r="G2758" s="296"/>
      <c r="H2758" s="296">
        <v>16700</v>
      </c>
    </row>
    <row r="2759" spans="1:8" s="1" customFormat="1" ht="25.5">
      <c r="A2759" s="2"/>
      <c r="B2759" s="2"/>
      <c r="C2759" s="2"/>
      <c r="D2759" s="332" t="s">
        <v>258</v>
      </c>
      <c r="E2759" s="337"/>
      <c r="F2759" s="337"/>
      <c r="G2759" s="296"/>
      <c r="H2759" s="296">
        <v>8000</v>
      </c>
    </row>
    <row r="2760" spans="1:8" s="1" customFormat="1" ht="25.5">
      <c r="A2760" s="2"/>
      <c r="B2760" s="2"/>
      <c r="C2760" s="2"/>
      <c r="D2760" s="332" t="s">
        <v>611</v>
      </c>
      <c r="E2760" s="337"/>
      <c r="F2760" s="337"/>
      <c r="G2760" s="296"/>
      <c r="H2760" s="296">
        <v>10000</v>
      </c>
    </row>
    <row r="2761" spans="1:8" s="1" customFormat="1" ht="19.5" customHeight="1">
      <c r="A2761" s="2"/>
      <c r="B2761" s="2"/>
      <c r="C2761" s="2"/>
      <c r="D2761" s="332" t="s">
        <v>991</v>
      </c>
      <c r="E2761" s="337"/>
      <c r="F2761" s="337"/>
      <c r="G2761" s="296"/>
      <c r="H2761" s="296">
        <v>28000</v>
      </c>
    </row>
    <row r="2762" spans="1:8" s="1" customFormat="1" ht="19.5" customHeight="1">
      <c r="A2762" s="2"/>
      <c r="B2762" s="2"/>
      <c r="C2762" s="2"/>
      <c r="D2762" s="332" t="s">
        <v>1</v>
      </c>
      <c r="E2762" s="337"/>
      <c r="F2762" s="337"/>
      <c r="G2762" s="296"/>
      <c r="H2762" s="296">
        <v>48000</v>
      </c>
    </row>
    <row r="2763" spans="1:8" s="1" customFormat="1" ht="19.5" customHeight="1">
      <c r="A2763" s="2"/>
      <c r="B2763" s="2"/>
      <c r="C2763" s="2"/>
      <c r="D2763" s="332" t="s">
        <v>2</v>
      </c>
      <c r="E2763" s="337"/>
      <c r="F2763" s="337"/>
      <c r="G2763" s="296"/>
      <c r="H2763" s="296">
        <v>11000</v>
      </c>
    </row>
    <row r="2764" spans="1:8" s="1" customFormat="1" ht="19.5" customHeight="1">
      <c r="A2764" s="2"/>
      <c r="B2764" s="2"/>
      <c r="C2764" s="2"/>
      <c r="D2764" s="332" t="s">
        <v>3</v>
      </c>
      <c r="E2764" s="337"/>
      <c r="F2764" s="337"/>
      <c r="G2764" s="296"/>
      <c r="H2764" s="296">
        <v>13350</v>
      </c>
    </row>
    <row r="2765" spans="1:8" s="1" customFormat="1" ht="25.5">
      <c r="A2765" s="3"/>
      <c r="B2765" s="3"/>
      <c r="C2765" s="3"/>
      <c r="D2765" s="306" t="s">
        <v>4</v>
      </c>
      <c r="E2765" s="298"/>
      <c r="F2765" s="298"/>
      <c r="G2765" s="234"/>
      <c r="H2765" s="234">
        <v>3800</v>
      </c>
    </row>
    <row r="2766" spans="1:8" s="1" customFormat="1" ht="25.5">
      <c r="A2766" s="5"/>
      <c r="B2766" s="5"/>
      <c r="C2766" s="5"/>
      <c r="D2766" s="1045" t="s">
        <v>5</v>
      </c>
      <c r="E2766" s="1104"/>
      <c r="F2766" s="1104"/>
      <c r="G2766" s="180"/>
      <c r="H2766" s="180">
        <v>3000</v>
      </c>
    </row>
    <row r="2767" spans="1:8" s="1" customFormat="1" ht="25.5">
      <c r="A2767" s="2"/>
      <c r="B2767" s="2"/>
      <c r="C2767" s="2"/>
      <c r="D2767" s="332" t="s">
        <v>9</v>
      </c>
      <c r="E2767" s="337"/>
      <c r="F2767" s="337"/>
      <c r="G2767" s="296"/>
      <c r="H2767" s="296">
        <v>3000</v>
      </c>
    </row>
    <row r="2768" spans="1:8" s="1" customFormat="1" ht="19.5" customHeight="1">
      <c r="A2768" s="2"/>
      <c r="B2768" s="2"/>
      <c r="C2768" s="2"/>
      <c r="D2768" s="332" t="s">
        <v>6</v>
      </c>
      <c r="E2768" s="337"/>
      <c r="F2768" s="337"/>
      <c r="G2768" s="296"/>
      <c r="H2768" s="296">
        <v>16200</v>
      </c>
    </row>
    <row r="2769" spans="1:8" s="1" customFormat="1" ht="25.5">
      <c r="A2769" s="2"/>
      <c r="B2769" s="2"/>
      <c r="C2769" s="2"/>
      <c r="D2769" s="332" t="s">
        <v>7</v>
      </c>
      <c r="E2769" s="337"/>
      <c r="F2769" s="337"/>
      <c r="G2769" s="296"/>
      <c r="H2769" s="296">
        <v>2130</v>
      </c>
    </row>
    <row r="2770" spans="1:8" s="1" customFormat="1" ht="25.5">
      <c r="A2770" s="2"/>
      <c r="B2770" s="2"/>
      <c r="C2770" s="2"/>
      <c r="D2770" s="332" t="s">
        <v>8</v>
      </c>
      <c r="E2770" s="337"/>
      <c r="F2770" s="337"/>
      <c r="G2770" s="296"/>
      <c r="H2770" s="296">
        <v>10000</v>
      </c>
    </row>
    <row r="2771" spans="1:8" s="1" customFormat="1" ht="25.5">
      <c r="A2771" s="2"/>
      <c r="B2771" s="2"/>
      <c r="C2771" s="2"/>
      <c r="D2771" s="332" t="s">
        <v>10</v>
      </c>
      <c r="E2771" s="337"/>
      <c r="F2771" s="337"/>
      <c r="G2771" s="296"/>
      <c r="H2771" s="296">
        <v>15100</v>
      </c>
    </row>
    <row r="2772" spans="1:8" s="1" customFormat="1" ht="25.5">
      <c r="A2772" s="2"/>
      <c r="B2772" s="2"/>
      <c r="C2772" s="2"/>
      <c r="D2772" s="332" t="s">
        <v>11</v>
      </c>
      <c r="E2772" s="337"/>
      <c r="F2772" s="337"/>
      <c r="G2772" s="296"/>
      <c r="H2772" s="296">
        <v>5000</v>
      </c>
    </row>
    <row r="2773" spans="1:8" s="1" customFormat="1" ht="25.5">
      <c r="A2773" s="2"/>
      <c r="B2773" s="2"/>
      <c r="C2773" s="2"/>
      <c r="D2773" s="366" t="s">
        <v>12</v>
      </c>
      <c r="E2773" s="456"/>
      <c r="F2773" s="456"/>
      <c r="G2773" s="367"/>
      <c r="H2773" s="367">
        <v>8000</v>
      </c>
    </row>
    <row r="2774" spans="1:8" s="1" customFormat="1" ht="25.5">
      <c r="A2774" s="2"/>
      <c r="B2774" s="2"/>
      <c r="C2774" s="2"/>
      <c r="D2774" s="366" t="s">
        <v>732</v>
      </c>
      <c r="E2774" s="456"/>
      <c r="F2774" s="456"/>
      <c r="G2774" s="367"/>
      <c r="H2774" s="367">
        <v>100000</v>
      </c>
    </row>
    <row r="2775" spans="1:8" s="8" customFormat="1" ht="25.5">
      <c r="A2775" s="18"/>
      <c r="B2775" s="18"/>
      <c r="C2775" s="22">
        <v>2820</v>
      </c>
      <c r="D2775" s="20" t="s">
        <v>303</v>
      </c>
      <c r="E2775" s="6"/>
      <c r="F2775" s="6"/>
      <c r="G2775" s="6"/>
      <c r="H2775" s="6">
        <f>SUM(H2751:H2774)</f>
        <v>389000</v>
      </c>
    </row>
    <row r="2776" spans="1:8" s="1" customFormat="1" ht="25.5">
      <c r="A2776" s="2"/>
      <c r="B2776" s="2"/>
      <c r="C2776" s="2"/>
      <c r="D2776" s="366" t="s">
        <v>13</v>
      </c>
      <c r="E2776" s="456"/>
      <c r="F2776" s="456"/>
      <c r="G2776" s="367"/>
      <c r="H2776" s="367">
        <v>30000</v>
      </c>
    </row>
    <row r="2777" spans="1:8" s="8" customFormat="1" ht="25.5">
      <c r="A2777" s="18"/>
      <c r="B2777" s="18"/>
      <c r="C2777" s="22">
        <v>2830</v>
      </c>
      <c r="D2777" s="20" t="s">
        <v>278</v>
      </c>
      <c r="E2777" s="6"/>
      <c r="F2777" s="6"/>
      <c r="G2777" s="6"/>
      <c r="H2777" s="6">
        <f>H2776</f>
        <v>30000</v>
      </c>
    </row>
    <row r="2778" spans="1:8" s="1" customFormat="1" ht="19.5" customHeight="1">
      <c r="A2778" s="2"/>
      <c r="B2778" s="2"/>
      <c r="C2778" s="2"/>
      <c r="D2778" s="273" t="s">
        <v>922</v>
      </c>
      <c r="E2778" s="289"/>
      <c r="F2778" s="289"/>
      <c r="G2778" s="289"/>
      <c r="H2778" s="289">
        <f>H2782+H2784</f>
        <v>20000</v>
      </c>
    </row>
    <row r="2779" spans="1:8" s="1" customFormat="1" ht="25.5">
      <c r="A2779" s="2"/>
      <c r="B2779" s="2"/>
      <c r="C2779" s="2"/>
      <c r="D2779" s="356" t="s">
        <v>14</v>
      </c>
      <c r="E2779" s="358"/>
      <c r="F2779" s="358"/>
      <c r="G2779" s="358"/>
      <c r="H2779" s="358">
        <v>8000</v>
      </c>
    </row>
    <row r="2780" spans="1:8" s="1" customFormat="1" ht="19.5" customHeight="1">
      <c r="A2780" s="2"/>
      <c r="B2780" s="2"/>
      <c r="C2780" s="2"/>
      <c r="D2780" s="332" t="s">
        <v>15</v>
      </c>
      <c r="E2780" s="296"/>
      <c r="F2780" s="296"/>
      <c r="G2780" s="296"/>
      <c r="H2780" s="296">
        <v>5000</v>
      </c>
    </row>
    <row r="2781" spans="1:8" s="1" customFormat="1" ht="25.5">
      <c r="A2781" s="2"/>
      <c r="B2781" s="2"/>
      <c r="C2781" s="2"/>
      <c r="D2781" s="332" t="s">
        <v>4</v>
      </c>
      <c r="E2781" s="296"/>
      <c r="F2781" s="296"/>
      <c r="G2781" s="296"/>
      <c r="H2781" s="296">
        <v>4000</v>
      </c>
    </row>
    <row r="2782" spans="1:8" s="8" customFormat="1" ht="25.5">
      <c r="A2782" s="18"/>
      <c r="B2782" s="18"/>
      <c r="C2782" s="22">
        <v>2820</v>
      </c>
      <c r="D2782" s="20" t="s">
        <v>303</v>
      </c>
      <c r="E2782" s="6"/>
      <c r="F2782" s="6"/>
      <c r="G2782" s="6"/>
      <c r="H2782" s="6">
        <f>H2781+H2780+H2779</f>
        <v>17000</v>
      </c>
    </row>
    <row r="2783" spans="1:8" s="1" customFormat="1" ht="25.5">
      <c r="A2783" s="2"/>
      <c r="B2783" s="2"/>
      <c r="C2783" s="2"/>
      <c r="D2783" s="332" t="s">
        <v>84</v>
      </c>
      <c r="E2783" s="337"/>
      <c r="F2783" s="337"/>
      <c r="G2783" s="296"/>
      <c r="H2783" s="296">
        <v>3000</v>
      </c>
    </row>
    <row r="2784" spans="1:8" s="8" customFormat="1" ht="25.5">
      <c r="A2784" s="18"/>
      <c r="B2784" s="18"/>
      <c r="C2784" s="22">
        <v>2830</v>
      </c>
      <c r="D2784" s="20" t="s">
        <v>278</v>
      </c>
      <c r="E2784" s="6"/>
      <c r="F2784" s="6"/>
      <c r="G2784" s="6"/>
      <c r="H2784" s="6">
        <f>H2783</f>
        <v>3000</v>
      </c>
    </row>
    <row r="2785" spans="1:8" s="1" customFormat="1" ht="19.5" customHeight="1">
      <c r="A2785" s="2"/>
      <c r="B2785" s="2"/>
      <c r="C2785" s="2"/>
      <c r="D2785" s="273" t="s">
        <v>923</v>
      </c>
      <c r="E2785" s="289"/>
      <c r="F2785" s="289"/>
      <c r="G2785" s="289"/>
      <c r="H2785" s="289">
        <f>H2791</f>
        <v>25000</v>
      </c>
    </row>
    <row r="2786" spans="1:8" s="1" customFormat="1" ht="19.5" customHeight="1">
      <c r="A2786" s="2"/>
      <c r="B2786" s="2"/>
      <c r="C2786" s="2"/>
      <c r="D2786" s="332" t="s">
        <v>15</v>
      </c>
      <c r="E2786" s="358"/>
      <c r="F2786" s="358"/>
      <c r="G2786" s="358"/>
      <c r="H2786" s="358">
        <v>12000</v>
      </c>
    </row>
    <row r="2787" spans="1:8" s="1" customFormat="1" ht="25.5">
      <c r="A2787" s="2"/>
      <c r="B2787" s="2"/>
      <c r="C2787" s="2"/>
      <c r="D2787" s="332" t="s">
        <v>4</v>
      </c>
      <c r="E2787" s="296"/>
      <c r="F2787" s="296"/>
      <c r="G2787" s="296"/>
      <c r="H2787" s="296">
        <v>4000</v>
      </c>
    </row>
    <row r="2788" spans="1:8" s="1" customFormat="1" ht="25.5">
      <c r="A2788" s="3"/>
      <c r="B2788" s="3"/>
      <c r="C2788" s="3"/>
      <c r="D2788" s="1109" t="s">
        <v>14</v>
      </c>
      <c r="E2788" s="234"/>
      <c r="F2788" s="234"/>
      <c r="G2788" s="234"/>
      <c r="H2788" s="234">
        <v>4500</v>
      </c>
    </row>
    <row r="2789" spans="1:8" s="1" customFormat="1" ht="25.5">
      <c r="A2789" s="5"/>
      <c r="B2789" s="5"/>
      <c r="C2789" s="5"/>
      <c r="D2789" s="293" t="s">
        <v>539</v>
      </c>
      <c r="E2789" s="180"/>
      <c r="F2789" s="180"/>
      <c r="G2789" s="180"/>
      <c r="H2789" s="180">
        <v>4000</v>
      </c>
    </row>
    <row r="2790" spans="1:8" s="1" customFormat="1" ht="19.5" customHeight="1">
      <c r="A2790" s="2"/>
      <c r="B2790" s="2"/>
      <c r="C2790" s="2"/>
      <c r="D2790" s="323" t="s">
        <v>1071</v>
      </c>
      <c r="E2790" s="359"/>
      <c r="F2790" s="359"/>
      <c r="G2790" s="250"/>
      <c r="H2790" s="250">
        <v>500</v>
      </c>
    </row>
    <row r="2791" spans="1:8" s="1" customFormat="1" ht="25.5">
      <c r="A2791" s="18"/>
      <c r="B2791" s="18"/>
      <c r="C2791" s="22">
        <v>2820</v>
      </c>
      <c r="D2791" s="20" t="s">
        <v>303</v>
      </c>
      <c r="E2791" s="6"/>
      <c r="F2791" s="6"/>
      <c r="G2791" s="6"/>
      <c r="H2791" s="6">
        <f>H2790+H2789+H2788+H2787+H2786</f>
        <v>25000</v>
      </c>
    </row>
    <row r="2792" spans="1:8" s="1" customFormat="1" ht="19.5" customHeight="1">
      <c r="A2792" s="2"/>
      <c r="B2792" s="2"/>
      <c r="C2792" s="2"/>
      <c r="D2792" s="273" t="s">
        <v>612</v>
      </c>
      <c r="E2792" s="289"/>
      <c r="F2792" s="289"/>
      <c r="G2792" s="289"/>
      <c r="H2792" s="289">
        <f>H2794+H2798</f>
        <v>35000</v>
      </c>
    </row>
    <row r="2793" spans="1:8" s="1" customFormat="1" ht="19.5" customHeight="1">
      <c r="A2793" s="2"/>
      <c r="B2793" s="2"/>
      <c r="C2793" s="2"/>
      <c r="D2793" s="356" t="s">
        <v>16</v>
      </c>
      <c r="E2793" s="358"/>
      <c r="F2793" s="358"/>
      <c r="G2793" s="358"/>
      <c r="H2793" s="358">
        <v>11000</v>
      </c>
    </row>
    <row r="2794" spans="1:8" s="8" customFormat="1" ht="25.5" customHeight="1">
      <c r="A2794" s="18"/>
      <c r="B2794" s="18"/>
      <c r="C2794" s="22">
        <v>2810</v>
      </c>
      <c r="D2794" s="20" t="s">
        <v>279</v>
      </c>
      <c r="E2794" s="6"/>
      <c r="F2794" s="6"/>
      <c r="G2794" s="6"/>
      <c r="H2794" s="6">
        <f>H2793</f>
        <v>11000</v>
      </c>
    </row>
    <row r="2795" spans="1:8" s="8" customFormat="1" ht="20.25" customHeight="1">
      <c r="A2795" s="18"/>
      <c r="B2795" s="18"/>
      <c r="C2795" s="18"/>
      <c r="D2795" s="293" t="s">
        <v>17</v>
      </c>
      <c r="E2795" s="178"/>
      <c r="F2795" s="178"/>
      <c r="G2795" s="178"/>
      <c r="H2795" s="178">
        <v>11000</v>
      </c>
    </row>
    <row r="2796" spans="1:8" s="8" customFormat="1" ht="25.5" customHeight="1">
      <c r="A2796" s="18"/>
      <c r="B2796" s="18"/>
      <c r="C2796" s="18"/>
      <c r="D2796" s="294" t="s">
        <v>610</v>
      </c>
      <c r="E2796" s="11"/>
      <c r="F2796" s="11"/>
      <c r="G2796" s="11"/>
      <c r="H2796" s="11">
        <v>11200</v>
      </c>
    </row>
    <row r="2797" spans="1:8" s="8" customFormat="1" ht="25.5" customHeight="1">
      <c r="A2797" s="18"/>
      <c r="B2797" s="18"/>
      <c r="C2797" s="18"/>
      <c r="D2797" s="294" t="s">
        <v>3</v>
      </c>
      <c r="E2797" s="11"/>
      <c r="F2797" s="11"/>
      <c r="G2797" s="11"/>
      <c r="H2797" s="11">
        <v>1800</v>
      </c>
    </row>
    <row r="2798" spans="1:8" s="8" customFormat="1" ht="25.5">
      <c r="A2798" s="18"/>
      <c r="B2798" s="18"/>
      <c r="C2798" s="22">
        <v>2820</v>
      </c>
      <c r="D2798" s="20" t="s">
        <v>303</v>
      </c>
      <c r="E2798" s="6"/>
      <c r="F2798" s="6"/>
      <c r="G2798" s="6"/>
      <c r="H2798" s="6">
        <f>H2797+H2796+H2795</f>
        <v>24000</v>
      </c>
    </row>
    <row r="2799" spans="1:8" s="1" customFormat="1" ht="19.5" customHeight="1">
      <c r="A2799" s="2"/>
      <c r="B2799" s="2"/>
      <c r="C2799" s="2"/>
      <c r="D2799" s="314" t="s">
        <v>219</v>
      </c>
      <c r="E2799" s="289"/>
      <c r="F2799" s="289"/>
      <c r="G2799" s="289"/>
      <c r="H2799" s="289">
        <f>SUM(H2800:H2802)</f>
        <v>260000</v>
      </c>
    </row>
    <row r="2800" spans="1:8" s="8" customFormat="1" ht="19.5" customHeight="1">
      <c r="A2800" s="18"/>
      <c r="B2800" s="18"/>
      <c r="C2800" s="22">
        <v>3040</v>
      </c>
      <c r="D2800" s="20" t="s">
        <v>56</v>
      </c>
      <c r="E2800" s="6"/>
      <c r="F2800" s="6"/>
      <c r="G2800" s="6"/>
      <c r="H2800" s="6">
        <v>40000</v>
      </c>
    </row>
    <row r="2801" spans="1:8" s="1" customFormat="1" ht="19.5" customHeight="1">
      <c r="A2801" s="18"/>
      <c r="B2801" s="18"/>
      <c r="C2801" s="22">
        <v>4210</v>
      </c>
      <c r="D2801" s="20" t="s">
        <v>748</v>
      </c>
      <c r="E2801" s="6"/>
      <c r="F2801" s="6"/>
      <c r="G2801" s="6"/>
      <c r="H2801" s="6">
        <v>10000</v>
      </c>
    </row>
    <row r="2802" spans="1:8" s="1" customFormat="1" ht="19.5" customHeight="1">
      <c r="A2802" s="18"/>
      <c r="B2802" s="18"/>
      <c r="C2802" s="22">
        <v>4300</v>
      </c>
      <c r="D2802" s="20" t="s">
        <v>815</v>
      </c>
      <c r="E2802" s="6"/>
      <c r="F2802" s="6"/>
      <c r="G2802" s="6"/>
      <c r="H2802" s="6">
        <v>210000</v>
      </c>
    </row>
    <row r="2803" spans="1:8" s="1" customFormat="1" ht="19.5" customHeight="1">
      <c r="A2803" s="86"/>
      <c r="B2803" s="86"/>
      <c r="C2803" s="18"/>
      <c r="D2803" s="316" t="s">
        <v>521</v>
      </c>
      <c r="E2803" s="17"/>
      <c r="F2803" s="17"/>
      <c r="G2803" s="17"/>
      <c r="H2803" s="17">
        <f>H2804</f>
        <v>35000</v>
      </c>
    </row>
    <row r="2804" spans="1:8" s="1" customFormat="1" ht="19.5" customHeight="1">
      <c r="A2804" s="86"/>
      <c r="B2804" s="86"/>
      <c r="C2804" s="22">
        <v>3240</v>
      </c>
      <c r="D2804" s="22" t="s">
        <v>57</v>
      </c>
      <c r="E2804" s="88"/>
      <c r="F2804" s="88"/>
      <c r="G2804" s="88"/>
      <c r="H2804" s="88">
        <v>35000</v>
      </c>
    </row>
    <row r="2805" spans="1:8" s="1" customFormat="1" ht="19.5" customHeight="1">
      <c r="A2805" s="86"/>
      <c r="B2805" s="86"/>
      <c r="C2805" s="18"/>
      <c r="D2805" s="316" t="s">
        <v>930</v>
      </c>
      <c r="E2805" s="17"/>
      <c r="F2805" s="17"/>
      <c r="G2805" s="17"/>
      <c r="H2805" s="17">
        <f>H2806</f>
        <v>40000</v>
      </c>
    </row>
    <row r="2806" spans="1:8" s="1" customFormat="1" ht="19.5" customHeight="1">
      <c r="A2806" s="86"/>
      <c r="B2806" s="86"/>
      <c r="C2806" s="22">
        <v>3040</v>
      </c>
      <c r="D2806" s="22" t="s">
        <v>56</v>
      </c>
      <c r="E2806" s="88"/>
      <c r="F2806" s="88"/>
      <c r="G2806" s="88"/>
      <c r="H2806" s="88">
        <v>40000</v>
      </c>
    </row>
    <row r="2807" spans="1:8" s="1" customFormat="1" ht="19.5" customHeight="1">
      <c r="A2807" s="86"/>
      <c r="B2807" s="86"/>
      <c r="C2807" s="18"/>
      <c r="D2807" s="316" t="s">
        <v>343</v>
      </c>
      <c r="E2807" s="17"/>
      <c r="F2807" s="17"/>
      <c r="G2807" s="17"/>
      <c r="H2807" s="17">
        <f>H2808+H2809+H2810+H2811</f>
        <v>20000</v>
      </c>
    </row>
    <row r="2808" spans="1:8" s="1" customFormat="1" ht="19.5" customHeight="1">
      <c r="A2808" s="86"/>
      <c r="B2808" s="86"/>
      <c r="C2808" s="22">
        <v>4170</v>
      </c>
      <c r="D2808" s="22" t="s">
        <v>58</v>
      </c>
      <c r="E2808" s="88"/>
      <c r="F2808" s="88"/>
      <c r="G2808" s="88"/>
      <c r="H2808" s="88">
        <v>12000</v>
      </c>
    </row>
    <row r="2809" spans="1:8" s="1" customFormat="1" ht="19.5" customHeight="1">
      <c r="A2809" s="86"/>
      <c r="B2809" s="86"/>
      <c r="C2809" s="144">
        <v>4300</v>
      </c>
      <c r="D2809" s="144" t="s">
        <v>815</v>
      </c>
      <c r="E2809" s="315"/>
      <c r="F2809" s="315"/>
      <c r="G2809" s="65"/>
      <c r="H2809" s="65">
        <f>8000-2702</f>
        <v>5298</v>
      </c>
    </row>
    <row r="2810" spans="1:8" ht="18" customHeight="1">
      <c r="A2810" s="994"/>
      <c r="B2810" s="994"/>
      <c r="C2810" s="181">
        <v>4350</v>
      </c>
      <c r="D2810" s="181" t="s">
        <v>853</v>
      </c>
      <c r="E2810" s="1000"/>
      <c r="F2810" s="1000"/>
      <c r="G2810" s="1000"/>
      <c r="H2810" s="1000">
        <v>702</v>
      </c>
    </row>
    <row r="2811" spans="1:8" ht="18" customHeight="1">
      <c r="A2811" s="994"/>
      <c r="B2811" s="994"/>
      <c r="C2811" s="255">
        <v>4380</v>
      </c>
      <c r="D2811" s="255" t="s">
        <v>199</v>
      </c>
      <c r="E2811" s="1000"/>
      <c r="F2811" s="1000"/>
      <c r="G2811" s="1000"/>
      <c r="H2811" s="1000">
        <v>2000</v>
      </c>
    </row>
    <row r="2812" spans="1:8" s="1" customFormat="1" ht="19.5" customHeight="1">
      <c r="A2812" s="2"/>
      <c r="B2812" s="13">
        <v>92106</v>
      </c>
      <c r="C2812" s="45"/>
      <c r="D2812" s="67" t="s">
        <v>223</v>
      </c>
      <c r="E2812" s="4"/>
      <c r="F2812" s="4"/>
      <c r="G2812" s="4"/>
      <c r="H2812" s="4">
        <f>H2813</f>
        <v>2950000</v>
      </c>
    </row>
    <row r="2813" spans="1:8" s="1" customFormat="1" ht="18.75" customHeight="1">
      <c r="A2813" s="86"/>
      <c r="B2813" s="122"/>
      <c r="C2813" s="128"/>
      <c r="D2813" s="348" t="s">
        <v>59</v>
      </c>
      <c r="E2813" s="17"/>
      <c r="F2813" s="243"/>
      <c r="G2813" s="243"/>
      <c r="H2813" s="243">
        <f>H2815+H2817</f>
        <v>2950000</v>
      </c>
    </row>
    <row r="2814" spans="1:8" s="1" customFormat="1" ht="18.75" customHeight="1">
      <c r="A2814" s="107"/>
      <c r="B2814" s="107"/>
      <c r="C2814" s="22"/>
      <c r="D2814" s="147" t="s">
        <v>153</v>
      </c>
      <c r="E2814" s="88"/>
      <c r="F2814" s="88"/>
      <c r="G2814" s="88"/>
      <c r="H2814" s="88">
        <v>170000</v>
      </c>
    </row>
    <row r="2815" spans="1:8" s="1" customFormat="1" ht="18.75" customHeight="1">
      <c r="A2815" s="128"/>
      <c r="B2815" s="128"/>
      <c r="C2815" s="144">
        <v>2480</v>
      </c>
      <c r="D2815" s="252" t="s">
        <v>744</v>
      </c>
      <c r="E2815" s="65"/>
      <c r="F2815" s="65"/>
      <c r="G2815" s="65"/>
      <c r="H2815" s="65">
        <v>2890000</v>
      </c>
    </row>
    <row r="2816" spans="1:8" s="1" customFormat="1" ht="18.75" customHeight="1">
      <c r="A2816" s="18"/>
      <c r="B2816" s="18"/>
      <c r="C2816" s="128"/>
      <c r="D2816" s="317" t="s">
        <v>419</v>
      </c>
      <c r="E2816" s="178"/>
      <c r="F2816" s="231"/>
      <c r="G2816" s="231"/>
      <c r="H2816" s="231">
        <v>60000</v>
      </c>
    </row>
    <row r="2817" spans="1:8" s="1" customFormat="1" ht="25.5">
      <c r="A2817" s="18"/>
      <c r="B2817" s="22"/>
      <c r="C2817" s="22">
        <v>6220</v>
      </c>
      <c r="D2817" s="20" t="s">
        <v>65</v>
      </c>
      <c r="E2817" s="6"/>
      <c r="F2817" s="6"/>
      <c r="G2817" s="228"/>
      <c r="H2817" s="228">
        <f>H2816</f>
        <v>60000</v>
      </c>
    </row>
    <row r="2818" spans="1:8" s="1" customFormat="1" ht="19.5" customHeight="1">
      <c r="A2818" s="86"/>
      <c r="B2818" s="3">
        <v>92109</v>
      </c>
      <c r="C2818" s="45"/>
      <c r="D2818" s="67" t="s">
        <v>1043</v>
      </c>
      <c r="E2818" s="4"/>
      <c r="F2818" s="4"/>
      <c r="G2818" s="4"/>
      <c r="H2818" s="4">
        <f>H2819+H2824+H2829+H2835</f>
        <v>2939242</v>
      </c>
    </row>
    <row r="2819" spans="1:8" s="1" customFormat="1" ht="16.5" customHeight="1">
      <c r="A2819" s="86"/>
      <c r="B2819" s="86"/>
      <c r="C2819" s="18"/>
      <c r="D2819" s="16" t="s">
        <v>549</v>
      </c>
      <c r="E2819" s="17"/>
      <c r="F2819" s="17"/>
      <c r="G2819" s="17"/>
      <c r="H2819" s="17">
        <f>H2821+H2823</f>
        <v>670000</v>
      </c>
    </row>
    <row r="2820" spans="1:8" s="1" customFormat="1" ht="15.75" customHeight="1">
      <c r="A2820" s="86"/>
      <c r="B2820" s="86"/>
      <c r="C2820" s="18"/>
      <c r="D2820" s="253" t="s">
        <v>154</v>
      </c>
      <c r="E2820" s="10"/>
      <c r="F2820" s="10"/>
      <c r="G2820" s="10"/>
      <c r="H2820" s="10">
        <v>70000</v>
      </c>
    </row>
    <row r="2821" spans="1:8" s="1" customFormat="1" ht="15.75" customHeight="1">
      <c r="A2821" s="18"/>
      <c r="B2821" s="18"/>
      <c r="C2821" s="22">
        <v>2480</v>
      </c>
      <c r="D2821" s="20" t="s">
        <v>744</v>
      </c>
      <c r="E2821" s="6"/>
      <c r="F2821" s="6"/>
      <c r="G2821" s="6"/>
      <c r="H2821" s="6">
        <v>640000</v>
      </c>
    </row>
    <row r="2822" spans="1:8" s="1" customFormat="1" ht="18.75" customHeight="1">
      <c r="A2822" s="18"/>
      <c r="B2822" s="18"/>
      <c r="C2822" s="128"/>
      <c r="D2822" s="293" t="s">
        <v>155</v>
      </c>
      <c r="E2822" s="231"/>
      <c r="F2822" s="231"/>
      <c r="G2822" s="231"/>
      <c r="H2822" s="231">
        <v>30000</v>
      </c>
    </row>
    <row r="2823" spans="1:8" s="1" customFormat="1" ht="25.5">
      <c r="A2823" s="18"/>
      <c r="B2823" s="18"/>
      <c r="C2823" s="18">
        <v>6220</v>
      </c>
      <c r="D2823" s="221" t="s">
        <v>65</v>
      </c>
      <c r="E2823" s="230"/>
      <c r="F2823" s="230"/>
      <c r="G2823" s="230"/>
      <c r="H2823" s="230">
        <f>H2822</f>
        <v>30000</v>
      </c>
    </row>
    <row r="2824" spans="1:8" s="1" customFormat="1" ht="18.75" customHeight="1">
      <c r="A2824" s="86"/>
      <c r="B2824" s="86"/>
      <c r="C2824" s="128"/>
      <c r="D2824" s="16" t="s">
        <v>462</v>
      </c>
      <c r="E2824" s="17"/>
      <c r="F2824" s="17"/>
      <c r="G2824" s="17"/>
      <c r="H2824" s="17">
        <f>H2826+H2828</f>
        <v>1170000</v>
      </c>
    </row>
    <row r="2825" spans="1:8" s="1" customFormat="1" ht="18.75" customHeight="1">
      <c r="A2825" s="86"/>
      <c r="B2825" s="86"/>
      <c r="C2825" s="18"/>
      <c r="D2825" s="253" t="s">
        <v>51</v>
      </c>
      <c r="E2825" s="10"/>
      <c r="F2825" s="10"/>
      <c r="G2825" s="10"/>
      <c r="H2825" s="10">
        <v>70000</v>
      </c>
    </row>
    <row r="2826" spans="1:8" s="1" customFormat="1" ht="18.75" customHeight="1">
      <c r="A2826" s="18"/>
      <c r="B2826" s="18"/>
      <c r="C2826" s="22">
        <v>2480</v>
      </c>
      <c r="D2826" s="20" t="s">
        <v>744</v>
      </c>
      <c r="E2826" s="6"/>
      <c r="F2826" s="6"/>
      <c r="G2826" s="6"/>
      <c r="H2826" s="6">
        <v>1150000</v>
      </c>
    </row>
    <row r="2827" spans="1:8" s="1" customFormat="1" ht="18.75" customHeight="1">
      <c r="A2827" s="18"/>
      <c r="B2827" s="18"/>
      <c r="C2827" s="128"/>
      <c r="D2827" s="293" t="s">
        <v>156</v>
      </c>
      <c r="E2827" s="231"/>
      <c r="F2827" s="231"/>
      <c r="G2827" s="231"/>
      <c r="H2827" s="231">
        <v>20000</v>
      </c>
    </row>
    <row r="2828" spans="1:8" s="1" customFormat="1" ht="25.5">
      <c r="A2828" s="18"/>
      <c r="B2828" s="18"/>
      <c r="C2828" s="22">
        <v>6220</v>
      </c>
      <c r="D2828" s="20" t="s">
        <v>65</v>
      </c>
      <c r="E2828" s="228"/>
      <c r="F2828" s="228"/>
      <c r="G2828" s="228"/>
      <c r="H2828" s="228">
        <f>H2827</f>
        <v>20000</v>
      </c>
    </row>
    <row r="2829" spans="1:8" s="1" customFormat="1" ht="16.5" customHeight="1">
      <c r="A2829" s="86"/>
      <c r="B2829" s="86"/>
      <c r="C2829" s="18"/>
      <c r="D2829" s="316" t="s">
        <v>346</v>
      </c>
      <c r="E2829" s="152"/>
      <c r="F2829" s="152"/>
      <c r="G2829" s="152"/>
      <c r="H2829" s="152">
        <f>H2831+H2834</f>
        <v>1094700</v>
      </c>
    </row>
    <row r="2830" spans="1:8" s="1" customFormat="1" ht="15.75" customHeight="1">
      <c r="A2830" s="86"/>
      <c r="B2830" s="86"/>
      <c r="C2830" s="18"/>
      <c r="D2830" s="253" t="s">
        <v>157</v>
      </c>
      <c r="E2830" s="10"/>
      <c r="F2830" s="10"/>
      <c r="G2830" s="10"/>
      <c r="H2830" s="10">
        <v>110000</v>
      </c>
    </row>
    <row r="2831" spans="1:8" s="1" customFormat="1" ht="15" customHeight="1">
      <c r="A2831" s="18"/>
      <c r="B2831" s="18"/>
      <c r="C2831" s="22">
        <v>2480</v>
      </c>
      <c r="D2831" s="20" t="s">
        <v>744</v>
      </c>
      <c r="E2831" s="6"/>
      <c r="F2831" s="6"/>
      <c r="G2831" s="6"/>
      <c r="H2831" s="6">
        <f>993000+16700</f>
        <v>1009700</v>
      </c>
    </row>
    <row r="2832" spans="1:8" s="1" customFormat="1" ht="18.75" customHeight="1">
      <c r="A2832" s="18"/>
      <c r="B2832" s="18"/>
      <c r="C2832" s="18"/>
      <c r="D2832" s="379" t="s">
        <v>93</v>
      </c>
      <c r="E2832" s="231"/>
      <c r="F2832" s="231"/>
      <c r="G2832" s="231"/>
      <c r="H2832" s="231">
        <v>50000</v>
      </c>
    </row>
    <row r="2833" spans="1:8" s="1" customFormat="1" ht="18.75" customHeight="1">
      <c r="A2833" s="18"/>
      <c r="B2833" s="18"/>
      <c r="C2833" s="18"/>
      <c r="D2833" s="331" t="s">
        <v>158</v>
      </c>
      <c r="E2833" s="11"/>
      <c r="F2833" s="11"/>
      <c r="G2833" s="11"/>
      <c r="H2833" s="11">
        <v>35000</v>
      </c>
    </row>
    <row r="2834" spans="1:8" s="1" customFormat="1" ht="25.5">
      <c r="A2834" s="18"/>
      <c r="B2834" s="18"/>
      <c r="C2834" s="22">
        <v>6220</v>
      </c>
      <c r="D2834" s="20" t="s">
        <v>65</v>
      </c>
      <c r="E2834" s="6"/>
      <c r="F2834" s="6"/>
      <c r="G2834" s="6"/>
      <c r="H2834" s="6">
        <f>SUM(H2832:H2833)</f>
        <v>85000</v>
      </c>
    </row>
    <row r="2835" spans="1:8" s="1" customFormat="1" ht="25.5">
      <c r="A2835" s="86"/>
      <c r="B2835" s="86"/>
      <c r="C2835" s="18"/>
      <c r="D2835" s="16" t="s">
        <v>159</v>
      </c>
      <c r="E2835" s="17"/>
      <c r="F2835" s="17"/>
      <c r="G2835" s="17"/>
      <c r="H2835" s="17">
        <v>4542</v>
      </c>
    </row>
    <row r="2836" spans="1:8" s="1" customFormat="1" ht="25.5">
      <c r="A2836" s="86"/>
      <c r="B2836" s="107"/>
      <c r="C2836" s="22">
        <v>2807</v>
      </c>
      <c r="D2836" s="147" t="s">
        <v>160</v>
      </c>
      <c r="E2836" s="88"/>
      <c r="F2836" s="88"/>
      <c r="G2836" s="88"/>
      <c r="H2836" s="88">
        <v>4542</v>
      </c>
    </row>
    <row r="2837" spans="1:8" s="1" customFormat="1" ht="19.5" customHeight="1">
      <c r="A2837" s="2"/>
      <c r="B2837" s="3">
        <v>92110</v>
      </c>
      <c r="C2837" s="45"/>
      <c r="D2837" s="67" t="s">
        <v>1044</v>
      </c>
      <c r="E2837" s="4"/>
      <c r="F2837" s="4"/>
      <c r="G2837" s="4"/>
      <c r="H2837" s="4">
        <f>H2838</f>
        <v>786000</v>
      </c>
    </row>
    <row r="2838" spans="1:8" s="1" customFormat="1" ht="18.75" customHeight="1">
      <c r="A2838" s="86"/>
      <c r="B2838" s="86"/>
      <c r="C2838" s="18"/>
      <c r="D2838" s="316" t="s">
        <v>550</v>
      </c>
      <c r="E2838" s="152"/>
      <c r="F2838" s="152"/>
      <c r="G2838" s="152"/>
      <c r="H2838" s="152">
        <f>H2840+H2842</f>
        <v>786000</v>
      </c>
    </row>
    <row r="2839" spans="1:8" s="1" customFormat="1" ht="18.75" customHeight="1">
      <c r="A2839" s="86"/>
      <c r="B2839" s="86"/>
      <c r="C2839" s="18"/>
      <c r="D2839" s="253" t="s">
        <v>161</v>
      </c>
      <c r="E2839" s="10"/>
      <c r="F2839" s="10"/>
      <c r="G2839" s="10"/>
      <c r="H2839" s="10">
        <v>5000</v>
      </c>
    </row>
    <row r="2840" spans="1:8" s="1" customFormat="1" ht="18.75" customHeight="1">
      <c r="A2840" s="18"/>
      <c r="B2840" s="18"/>
      <c r="C2840" s="22">
        <v>2480</v>
      </c>
      <c r="D2840" s="20" t="s">
        <v>744</v>
      </c>
      <c r="E2840" s="6"/>
      <c r="F2840" s="6"/>
      <c r="G2840" s="6"/>
      <c r="H2840" s="6">
        <v>778000</v>
      </c>
    </row>
    <row r="2841" spans="1:8" s="1" customFormat="1" ht="18.75" customHeight="1">
      <c r="A2841" s="18"/>
      <c r="B2841" s="18"/>
      <c r="C2841" s="128"/>
      <c r="D2841" s="293" t="s">
        <v>162</v>
      </c>
      <c r="E2841" s="231"/>
      <c r="F2841" s="231"/>
      <c r="G2841" s="231"/>
      <c r="H2841" s="231">
        <v>8000</v>
      </c>
    </row>
    <row r="2842" spans="1:8" s="1" customFormat="1" ht="25.5">
      <c r="A2842" s="22"/>
      <c r="B2842" s="22"/>
      <c r="C2842" s="22">
        <v>6220</v>
      </c>
      <c r="D2842" s="20" t="s">
        <v>65</v>
      </c>
      <c r="E2842" s="228"/>
      <c r="F2842" s="228"/>
      <c r="G2842" s="228"/>
      <c r="H2842" s="228">
        <f>H2841</f>
        <v>8000</v>
      </c>
    </row>
    <row r="2843" spans="1:8" s="1" customFormat="1" ht="19.5" customHeight="1">
      <c r="A2843" s="5"/>
      <c r="B2843" s="13">
        <v>92113</v>
      </c>
      <c r="C2843" s="123"/>
      <c r="D2843" s="14" t="s">
        <v>398</v>
      </c>
      <c r="E2843" s="15"/>
      <c r="F2843" s="15"/>
      <c r="G2843" s="15"/>
      <c r="H2843" s="15">
        <f>H2844+H2848</f>
        <v>3471225</v>
      </c>
    </row>
    <row r="2844" spans="1:8" s="1" customFormat="1" ht="18.75" customHeight="1">
      <c r="A2844" s="86"/>
      <c r="B2844" s="86"/>
      <c r="C2844" s="18"/>
      <c r="D2844" s="16" t="s">
        <v>551</v>
      </c>
      <c r="E2844" s="17"/>
      <c r="F2844" s="17"/>
      <c r="G2844" s="17"/>
      <c r="H2844" s="17">
        <f>H2845+H2847</f>
        <v>3330000</v>
      </c>
    </row>
    <row r="2845" spans="1:8" s="1" customFormat="1" ht="18.75" customHeight="1">
      <c r="A2845" s="18"/>
      <c r="B2845" s="18"/>
      <c r="C2845" s="22">
        <v>2480</v>
      </c>
      <c r="D2845" s="20" t="s">
        <v>744</v>
      </c>
      <c r="E2845" s="6"/>
      <c r="F2845" s="6"/>
      <c r="G2845" s="6"/>
      <c r="H2845" s="6">
        <f>2505000+555000</f>
        <v>3060000</v>
      </c>
    </row>
    <row r="2846" spans="1:8" s="1" customFormat="1" ht="18.75" customHeight="1">
      <c r="A2846" s="18"/>
      <c r="B2846" s="18"/>
      <c r="C2846" s="128"/>
      <c r="D2846" s="293" t="s">
        <v>163</v>
      </c>
      <c r="E2846" s="231"/>
      <c r="F2846" s="231"/>
      <c r="G2846" s="231"/>
      <c r="H2846" s="231">
        <v>270000</v>
      </c>
    </row>
    <row r="2847" spans="1:8" s="1" customFormat="1" ht="25.5">
      <c r="A2847" s="18"/>
      <c r="B2847" s="18"/>
      <c r="C2847" s="22">
        <v>6220</v>
      </c>
      <c r="D2847" s="221" t="s">
        <v>65</v>
      </c>
      <c r="E2847" s="230"/>
      <c r="F2847" s="230"/>
      <c r="G2847" s="230"/>
      <c r="H2847" s="230">
        <f>H2846</f>
        <v>270000</v>
      </c>
    </row>
    <row r="2848" spans="1:8" s="1" customFormat="1" ht="25.5">
      <c r="A2848" s="86"/>
      <c r="B2848" s="86"/>
      <c r="C2848" s="18"/>
      <c r="D2848" s="16" t="s">
        <v>655</v>
      </c>
      <c r="E2848" s="17"/>
      <c r="F2848" s="17"/>
      <c r="G2848" s="17"/>
      <c r="H2848" s="17">
        <f>H2849</f>
        <v>141225</v>
      </c>
    </row>
    <row r="2849" spans="1:8" s="1" customFormat="1" ht="18.75" customHeight="1">
      <c r="A2849" s="18"/>
      <c r="B2849" s="18"/>
      <c r="C2849" s="22">
        <v>2480</v>
      </c>
      <c r="D2849" s="20" t="s">
        <v>744</v>
      </c>
      <c r="E2849" s="6"/>
      <c r="F2849" s="6"/>
      <c r="G2849" s="6"/>
      <c r="H2849" s="6">
        <v>141225</v>
      </c>
    </row>
    <row r="2850" spans="1:8" s="1" customFormat="1" ht="19.5" customHeight="1">
      <c r="A2850" s="2"/>
      <c r="B2850" s="13">
        <v>92116</v>
      </c>
      <c r="C2850" s="123"/>
      <c r="D2850" s="14" t="s">
        <v>399</v>
      </c>
      <c r="E2850" s="15"/>
      <c r="F2850" s="15"/>
      <c r="G2850" s="15"/>
      <c r="H2850" s="15">
        <f>H2851+H2856+H2859</f>
        <v>6919660</v>
      </c>
    </row>
    <row r="2851" spans="1:8" s="1" customFormat="1" ht="18.75" customHeight="1">
      <c r="A2851" s="86"/>
      <c r="B2851" s="86"/>
      <c r="C2851" s="18"/>
      <c r="D2851" s="16" t="s">
        <v>165</v>
      </c>
      <c r="E2851" s="17"/>
      <c r="F2851" s="17"/>
      <c r="G2851" s="17"/>
      <c r="H2851" s="17">
        <f>H2853+H2855</f>
        <v>6625000</v>
      </c>
    </row>
    <row r="2852" spans="1:8" s="1" customFormat="1" ht="18.75" customHeight="1">
      <c r="A2852" s="86"/>
      <c r="B2852" s="86"/>
      <c r="C2852" s="18"/>
      <c r="D2852" s="253" t="s">
        <v>229</v>
      </c>
      <c r="E2852" s="10"/>
      <c r="F2852" s="10"/>
      <c r="G2852" s="10"/>
      <c r="H2852" s="10">
        <v>100000</v>
      </c>
    </row>
    <row r="2853" spans="1:8" s="1" customFormat="1" ht="18.75" customHeight="1">
      <c r="A2853" s="18"/>
      <c r="B2853" s="18"/>
      <c r="C2853" s="22">
        <v>2480</v>
      </c>
      <c r="D2853" s="20" t="s">
        <v>744</v>
      </c>
      <c r="E2853" s="6"/>
      <c r="F2853" s="6"/>
      <c r="G2853" s="6"/>
      <c r="H2853" s="6">
        <v>6520000</v>
      </c>
    </row>
    <row r="2854" spans="1:8" s="1" customFormat="1" ht="18.75" customHeight="1">
      <c r="A2854" s="18"/>
      <c r="B2854" s="18"/>
      <c r="C2854" s="128"/>
      <c r="D2854" s="293" t="s">
        <v>164</v>
      </c>
      <c r="E2854" s="231"/>
      <c r="F2854" s="231"/>
      <c r="G2854" s="231"/>
      <c r="H2854" s="231">
        <v>105000</v>
      </c>
    </row>
    <row r="2855" spans="1:8" s="1" customFormat="1" ht="25.5">
      <c r="A2855" s="18"/>
      <c r="B2855" s="18"/>
      <c r="C2855" s="22">
        <v>6220</v>
      </c>
      <c r="D2855" s="20" t="s">
        <v>65</v>
      </c>
      <c r="E2855" s="228"/>
      <c r="F2855" s="228"/>
      <c r="G2855" s="228"/>
      <c r="H2855" s="228">
        <f>H2854</f>
        <v>105000</v>
      </c>
    </row>
    <row r="2856" spans="1:8" s="1" customFormat="1" ht="51">
      <c r="A2856" s="86"/>
      <c r="B2856" s="86"/>
      <c r="C2856" s="18"/>
      <c r="D2856" s="316" t="s">
        <v>166</v>
      </c>
      <c r="E2856" s="152"/>
      <c r="F2856" s="152"/>
      <c r="G2856" s="152"/>
      <c r="H2856" s="152">
        <f>H2858</f>
        <v>254660</v>
      </c>
    </row>
    <row r="2857" spans="1:8" s="1" customFormat="1" ht="28.5" customHeight="1">
      <c r="A2857" s="86"/>
      <c r="B2857" s="86"/>
      <c r="C2857" s="18"/>
      <c r="D2857" s="421" t="s">
        <v>66</v>
      </c>
      <c r="E2857" s="10"/>
      <c r="F2857" s="10"/>
      <c r="G2857" s="10"/>
      <c r="H2857" s="10">
        <v>254660</v>
      </c>
    </row>
    <row r="2858" spans="1:8" s="1" customFormat="1" ht="28.5" customHeight="1">
      <c r="A2858" s="86"/>
      <c r="B2858" s="86"/>
      <c r="C2858" s="22">
        <v>6220</v>
      </c>
      <c r="D2858" s="20" t="s">
        <v>65</v>
      </c>
      <c r="E2858" s="298"/>
      <c r="F2858" s="298"/>
      <c r="G2858" s="298"/>
      <c r="H2858" s="298">
        <f>H2857</f>
        <v>254660</v>
      </c>
    </row>
    <row r="2859" spans="1:8" s="1" customFormat="1" ht="19.5" customHeight="1">
      <c r="A2859" s="86"/>
      <c r="B2859" s="86"/>
      <c r="C2859" s="18"/>
      <c r="D2859" s="93" t="s">
        <v>400</v>
      </c>
      <c r="E2859" s="66"/>
      <c r="F2859" s="66"/>
      <c r="G2859" s="66"/>
      <c r="H2859" s="66">
        <f>H2860</f>
        <v>40000</v>
      </c>
    </row>
    <row r="2860" spans="1:8" s="1" customFormat="1" ht="28.5" customHeight="1">
      <c r="A2860" s="86"/>
      <c r="B2860" s="86"/>
      <c r="C2860" s="22">
        <v>2310</v>
      </c>
      <c r="D2860" s="147" t="s">
        <v>772</v>
      </c>
      <c r="E2860" s="88"/>
      <c r="F2860" s="88"/>
      <c r="G2860" s="88"/>
      <c r="H2860" s="88">
        <v>40000</v>
      </c>
    </row>
    <row r="2861" spans="1:8" ht="21.75" customHeight="1" thickBot="1">
      <c r="A2861" s="158"/>
      <c r="B2861" s="158"/>
      <c r="C2861" s="158"/>
      <c r="D2861" s="192" t="s">
        <v>523</v>
      </c>
      <c r="E2861" s="160"/>
      <c r="F2861" s="160"/>
      <c r="G2861" s="160"/>
      <c r="H2861" s="160">
        <f>H2862</f>
        <v>34000</v>
      </c>
    </row>
    <row r="2862" spans="1:8" ht="23.25" customHeight="1" thickBot="1" thickTop="1">
      <c r="A2862" s="382">
        <v>921</v>
      </c>
      <c r="B2862" s="382"/>
      <c r="C2862" s="382"/>
      <c r="D2862" s="382" t="s">
        <v>401</v>
      </c>
      <c r="E2862" s="384"/>
      <c r="F2862" s="384"/>
      <c r="G2862" s="384"/>
      <c r="H2862" s="384">
        <f>H2863</f>
        <v>34000</v>
      </c>
    </row>
    <row r="2863" spans="1:8" ht="18.75" customHeight="1">
      <c r="A2863" s="56"/>
      <c r="B2863" s="165">
        <v>92109</v>
      </c>
      <c r="C2863" s="165"/>
      <c r="D2863" s="165" t="s">
        <v>1043</v>
      </c>
      <c r="E2863" s="167"/>
      <c r="F2863" s="167"/>
      <c r="G2863" s="167"/>
      <c r="H2863" s="167">
        <f>H2864</f>
        <v>34000</v>
      </c>
    </row>
    <row r="2864" spans="1:8" ht="27.75" customHeight="1">
      <c r="A2864" s="86"/>
      <c r="B2864" s="122"/>
      <c r="C2864" s="128"/>
      <c r="D2864" s="16" t="s">
        <v>566</v>
      </c>
      <c r="E2864" s="17"/>
      <c r="F2864" s="17"/>
      <c r="G2864" s="17"/>
      <c r="H2864" s="17">
        <f>H2865</f>
        <v>34000</v>
      </c>
    </row>
    <row r="2865" spans="1:8" ht="25.5">
      <c r="A2865" s="107"/>
      <c r="B2865" s="107"/>
      <c r="C2865" s="22">
        <v>2800</v>
      </c>
      <c r="D2865" s="20" t="s">
        <v>160</v>
      </c>
      <c r="E2865" s="6"/>
      <c r="F2865" s="6"/>
      <c r="G2865" s="6"/>
      <c r="H2865" s="6">
        <v>34000</v>
      </c>
    </row>
    <row r="2866" spans="1:8" ht="20.25" customHeight="1">
      <c r="A2866" s="193"/>
      <c r="B2866" s="193"/>
      <c r="C2866" s="193"/>
      <c r="D2866" s="1096" t="s">
        <v>205</v>
      </c>
      <c r="E2866" s="1097"/>
      <c r="F2866" s="1097">
        <f>F2867</f>
        <v>200</v>
      </c>
      <c r="G2866" s="1097"/>
      <c r="H2866" s="1097">
        <f>H2872</f>
        <v>9233500</v>
      </c>
    </row>
    <row r="2867" spans="1:8" s="8" customFormat="1" ht="21" customHeight="1" thickBot="1">
      <c r="A2867" s="18"/>
      <c r="B2867" s="92"/>
      <c r="C2867" s="92"/>
      <c r="D2867" s="84" t="s">
        <v>101</v>
      </c>
      <c r="E2867" s="85"/>
      <c r="F2867" s="85">
        <f>F2868</f>
        <v>200</v>
      </c>
      <c r="G2867" s="85"/>
      <c r="H2867" s="85"/>
    </row>
    <row r="2868" spans="1:8" s="8" customFormat="1" ht="19.5" customHeight="1" thickBot="1" thickTop="1">
      <c r="A2868" s="394">
        <v>630</v>
      </c>
      <c r="B2868" s="428"/>
      <c r="C2868" s="428"/>
      <c r="D2868" s="395" t="s">
        <v>430</v>
      </c>
      <c r="E2868" s="377"/>
      <c r="F2868" s="377">
        <f>F2869</f>
        <v>200</v>
      </c>
      <c r="G2868" s="377"/>
      <c r="H2868" s="377"/>
    </row>
    <row r="2869" spans="1:8" s="8" customFormat="1" ht="19.5" customHeight="1">
      <c r="A2869" s="18"/>
      <c r="B2869" s="63">
        <v>63001</v>
      </c>
      <c r="C2869" s="19"/>
      <c r="D2869" s="37" t="s">
        <v>431</v>
      </c>
      <c r="E2869" s="4"/>
      <c r="F2869" s="4">
        <f>F2870</f>
        <v>200</v>
      </c>
      <c r="G2869" s="4"/>
      <c r="H2869" s="4"/>
    </row>
    <row r="2870" spans="1:8" s="8" customFormat="1" ht="25.5">
      <c r="A2870" s="18"/>
      <c r="B2870" s="92"/>
      <c r="C2870" s="92"/>
      <c r="D2870" s="74" t="s">
        <v>168</v>
      </c>
      <c r="E2870" s="17"/>
      <c r="F2870" s="17">
        <f>F2871</f>
        <v>200</v>
      </c>
      <c r="G2870" s="17"/>
      <c r="H2870" s="17"/>
    </row>
    <row r="2871" spans="1:8" s="8" customFormat="1" ht="19.5" customHeight="1">
      <c r="A2871" s="18"/>
      <c r="B2871" s="92"/>
      <c r="C2871" s="19" t="s">
        <v>1080</v>
      </c>
      <c r="D2871" s="20" t="s">
        <v>282</v>
      </c>
      <c r="E2871" s="6"/>
      <c r="F2871" s="6">
        <v>200</v>
      </c>
      <c r="G2871" s="6"/>
      <c r="H2871" s="6"/>
    </row>
    <row r="2872" spans="1:8" ht="21" customHeight="1" thickBot="1">
      <c r="A2872" s="158"/>
      <c r="B2872" s="158"/>
      <c r="C2872" s="1078"/>
      <c r="D2872" s="349" t="s">
        <v>646</v>
      </c>
      <c r="E2872" s="267"/>
      <c r="F2872" s="267"/>
      <c r="G2872" s="267"/>
      <c r="H2872" s="267">
        <f>H2873+H2885+H2925</f>
        <v>9233500</v>
      </c>
    </row>
    <row r="2873" spans="1:8" ht="19.5" customHeight="1" thickBot="1" thickTop="1">
      <c r="A2873" s="375">
        <v>630</v>
      </c>
      <c r="B2873" s="375"/>
      <c r="C2873" s="375"/>
      <c r="D2873" s="375" t="s">
        <v>430</v>
      </c>
      <c r="E2873" s="378"/>
      <c r="F2873" s="378"/>
      <c r="G2873" s="378"/>
      <c r="H2873" s="378">
        <f>H2874+H2877</f>
        <v>344000</v>
      </c>
    </row>
    <row r="2874" spans="1:8" ht="19.5" customHeight="1">
      <c r="A2874" s="86"/>
      <c r="B2874" s="3">
        <v>63001</v>
      </c>
      <c r="C2874" s="3"/>
      <c r="D2874" s="3" t="s">
        <v>431</v>
      </c>
      <c r="E2874" s="4"/>
      <c r="F2874" s="4"/>
      <c r="G2874" s="4"/>
      <c r="H2874" s="4">
        <f>H2875</f>
        <v>194000</v>
      </c>
    </row>
    <row r="2875" spans="1:8" ht="19.5" customHeight="1">
      <c r="A2875" s="86"/>
      <c r="B2875" s="86"/>
      <c r="C2875" s="86"/>
      <c r="D2875" s="87" t="s">
        <v>756</v>
      </c>
      <c r="E2875" s="236"/>
      <c r="F2875" s="236"/>
      <c r="G2875" s="17"/>
      <c r="H2875" s="17">
        <f>H2876</f>
        <v>194000</v>
      </c>
    </row>
    <row r="2876" spans="1:8" ht="19.5" customHeight="1">
      <c r="A2876" s="86"/>
      <c r="B2876" s="107"/>
      <c r="C2876" s="237">
        <v>2650</v>
      </c>
      <c r="D2876" s="238" t="s">
        <v>393</v>
      </c>
      <c r="E2876" s="239"/>
      <c r="F2876" s="239"/>
      <c r="G2876" s="228"/>
      <c r="H2876" s="228">
        <v>194000</v>
      </c>
    </row>
    <row r="2877" spans="1:8" ht="19.5" customHeight="1">
      <c r="A2877" s="56"/>
      <c r="B2877" s="3">
        <v>63003</v>
      </c>
      <c r="C2877" s="3"/>
      <c r="D2877" s="3" t="s">
        <v>432</v>
      </c>
      <c r="E2877" s="4"/>
      <c r="F2877" s="4"/>
      <c r="G2877" s="4"/>
      <c r="H2877" s="4">
        <f>H2878+H2883</f>
        <v>150000</v>
      </c>
    </row>
    <row r="2878" spans="1:8" ht="19.5" customHeight="1">
      <c r="A2878" s="56"/>
      <c r="B2878" s="86"/>
      <c r="C2878" s="86"/>
      <c r="D2878" s="16" t="s">
        <v>189</v>
      </c>
      <c r="E2878" s="17"/>
      <c r="F2878" s="17"/>
      <c r="G2878" s="17"/>
      <c r="H2878" s="17">
        <f>SUM(H2881:H2882)</f>
        <v>50000</v>
      </c>
    </row>
    <row r="2879" spans="1:8" ht="19.5" customHeight="1">
      <c r="A2879" s="56"/>
      <c r="B2879" s="86"/>
      <c r="C2879" s="86"/>
      <c r="D2879" s="248" t="s">
        <v>556</v>
      </c>
      <c r="E2879" s="249"/>
      <c r="F2879" s="249"/>
      <c r="G2879" s="249"/>
      <c r="H2879" s="249">
        <v>21000</v>
      </c>
    </row>
    <row r="2880" spans="1:8" ht="19.5" customHeight="1">
      <c r="A2880" s="56"/>
      <c r="B2880" s="86"/>
      <c r="C2880" s="86"/>
      <c r="D2880" s="332" t="s">
        <v>86</v>
      </c>
      <c r="E2880" s="296"/>
      <c r="F2880" s="296"/>
      <c r="G2880" s="296"/>
      <c r="H2880" s="296">
        <v>7000</v>
      </c>
    </row>
    <row r="2881" spans="1:8" ht="30" customHeight="1">
      <c r="A2881" s="56"/>
      <c r="B2881" s="56"/>
      <c r="C2881" s="201">
        <v>2820</v>
      </c>
      <c r="D2881" s="189" t="s">
        <v>303</v>
      </c>
      <c r="E2881" s="176"/>
      <c r="F2881" s="176"/>
      <c r="G2881" s="176"/>
      <c r="H2881" s="176">
        <f>H2879+H2880</f>
        <v>28000</v>
      </c>
    </row>
    <row r="2882" spans="1:8" ht="19.5" customHeight="1">
      <c r="A2882" s="56"/>
      <c r="B2882" s="56"/>
      <c r="C2882" s="181">
        <v>4300</v>
      </c>
      <c r="D2882" s="181" t="s">
        <v>815</v>
      </c>
      <c r="E2882" s="176"/>
      <c r="F2882" s="176"/>
      <c r="G2882" s="176"/>
      <c r="H2882" s="176">
        <v>22000</v>
      </c>
    </row>
    <row r="2883" spans="1:8" ht="18.75" customHeight="1">
      <c r="A2883" s="86"/>
      <c r="B2883" s="86"/>
      <c r="C2883" s="254"/>
      <c r="D2883" s="186" t="s">
        <v>1060</v>
      </c>
      <c r="E2883" s="17"/>
      <c r="F2883" s="17"/>
      <c r="G2883" s="17"/>
      <c r="H2883" s="17">
        <f>H2884</f>
        <v>100000</v>
      </c>
    </row>
    <row r="2884" spans="1:8" s="1" customFormat="1" ht="18.75" customHeight="1">
      <c r="A2884" s="107"/>
      <c r="B2884" s="107"/>
      <c r="C2884" s="22">
        <v>4300</v>
      </c>
      <c r="D2884" s="20" t="s">
        <v>815</v>
      </c>
      <c r="E2884" s="88"/>
      <c r="F2884" s="88"/>
      <c r="G2884" s="88"/>
      <c r="H2884" s="88">
        <v>100000</v>
      </c>
    </row>
    <row r="2885" spans="1:8" s="1" customFormat="1" ht="19.5" customHeight="1" thickBot="1">
      <c r="A2885" s="394">
        <v>854</v>
      </c>
      <c r="B2885" s="394"/>
      <c r="C2885" s="414"/>
      <c r="D2885" s="394" t="s">
        <v>618</v>
      </c>
      <c r="E2885" s="377"/>
      <c r="F2885" s="377"/>
      <c r="G2885" s="377"/>
      <c r="H2885" s="377">
        <f>H2886</f>
        <v>180000</v>
      </c>
    </row>
    <row r="2886" spans="1:8" ht="27.75" customHeight="1">
      <c r="A2886" s="193"/>
      <c r="B2886" s="319">
        <v>85412</v>
      </c>
      <c r="C2886" s="320"/>
      <c r="D2886" s="321" t="s">
        <v>929</v>
      </c>
      <c r="E2886" s="183"/>
      <c r="F2886" s="183"/>
      <c r="G2886" s="183"/>
      <c r="H2886" s="183">
        <f>SUM(H2887:H2887)</f>
        <v>180000</v>
      </c>
    </row>
    <row r="2887" spans="1:8" ht="27" customHeight="1">
      <c r="A2887" s="301"/>
      <c r="B2887" s="322"/>
      <c r="C2887" s="193"/>
      <c r="D2887" s="186" t="s">
        <v>64</v>
      </c>
      <c r="E2887" s="169"/>
      <c r="F2887" s="169"/>
      <c r="G2887" s="169"/>
      <c r="H2887" s="169">
        <f>H2888+H2890+H2921+H2923</f>
        <v>180000</v>
      </c>
    </row>
    <row r="2888" spans="1:8" ht="19.5" customHeight="1">
      <c r="A2888" s="301"/>
      <c r="B2888" s="301"/>
      <c r="C2888" s="56"/>
      <c r="D2888" s="1073" t="s">
        <v>758</v>
      </c>
      <c r="E2888" s="345"/>
      <c r="F2888" s="345"/>
      <c r="G2888" s="345"/>
      <c r="H2888" s="345">
        <f>H2889</f>
        <v>12660</v>
      </c>
    </row>
    <row r="2889" spans="1:8" ht="19.5" customHeight="1">
      <c r="A2889" s="301"/>
      <c r="B2889" s="301"/>
      <c r="C2889" s="181">
        <v>4300</v>
      </c>
      <c r="D2889" s="189" t="s">
        <v>815</v>
      </c>
      <c r="E2889" s="176"/>
      <c r="F2889" s="176"/>
      <c r="G2889" s="176"/>
      <c r="H2889" s="176">
        <v>12660</v>
      </c>
    </row>
    <row r="2890" spans="1:8" ht="19.5" customHeight="1">
      <c r="A2890" s="301"/>
      <c r="B2890" s="301"/>
      <c r="C2890" s="56"/>
      <c r="D2890" s="1079" t="s">
        <v>1082</v>
      </c>
      <c r="E2890" s="1080"/>
      <c r="F2890" s="1080"/>
      <c r="G2890" s="1080"/>
      <c r="H2890" s="1080">
        <f>H2919+H2920</f>
        <v>130340</v>
      </c>
    </row>
    <row r="2891" spans="1:8" s="174" customFormat="1" ht="18" customHeight="1">
      <c r="A2891" s="990"/>
      <c r="B2891" s="990"/>
      <c r="C2891" s="990"/>
      <c r="D2891" s="1001" t="s">
        <v>812</v>
      </c>
      <c r="E2891" s="1001"/>
      <c r="F2891" s="1001"/>
      <c r="G2891" s="1110"/>
      <c r="H2891" s="1110">
        <v>2500</v>
      </c>
    </row>
    <row r="2892" spans="1:8" s="174" customFormat="1" ht="18" customHeight="1">
      <c r="A2892" s="1101"/>
      <c r="B2892" s="1101"/>
      <c r="C2892" s="1101"/>
      <c r="D2892" s="1102" t="s">
        <v>78</v>
      </c>
      <c r="E2892" s="1102"/>
      <c r="F2892" s="1102"/>
      <c r="G2892" s="1103"/>
      <c r="H2892" s="1103">
        <v>3500</v>
      </c>
    </row>
    <row r="2893" spans="1:8" s="174" customFormat="1" ht="18" customHeight="1">
      <c r="A2893" s="994"/>
      <c r="B2893" s="994"/>
      <c r="C2893" s="994"/>
      <c r="D2893" s="996" t="s">
        <v>813</v>
      </c>
      <c r="E2893" s="996"/>
      <c r="F2893" s="996"/>
      <c r="G2893" s="997"/>
      <c r="H2893" s="997">
        <v>3500</v>
      </c>
    </row>
    <row r="2894" spans="1:8" s="174" customFormat="1" ht="18" customHeight="1">
      <c r="A2894" s="994"/>
      <c r="B2894" s="994"/>
      <c r="C2894" s="994"/>
      <c r="D2894" s="996" t="s">
        <v>527</v>
      </c>
      <c r="E2894" s="996"/>
      <c r="F2894" s="996"/>
      <c r="G2894" s="997"/>
      <c r="H2894" s="997">
        <v>1500</v>
      </c>
    </row>
    <row r="2895" spans="1:8" s="174" customFormat="1" ht="25.5">
      <c r="A2895" s="994"/>
      <c r="B2895" s="994"/>
      <c r="C2895" s="994"/>
      <c r="D2895" s="996" t="s">
        <v>79</v>
      </c>
      <c r="E2895" s="996"/>
      <c r="F2895" s="996"/>
      <c r="G2895" s="997"/>
      <c r="H2895" s="997">
        <v>4000</v>
      </c>
    </row>
    <row r="2896" spans="1:8" s="174" customFormat="1" ht="18" customHeight="1">
      <c r="A2896" s="994"/>
      <c r="B2896" s="994"/>
      <c r="C2896" s="994"/>
      <c r="D2896" s="996" t="s">
        <v>80</v>
      </c>
      <c r="E2896" s="996"/>
      <c r="F2896" s="996"/>
      <c r="G2896" s="997"/>
      <c r="H2896" s="997">
        <v>4000</v>
      </c>
    </row>
    <row r="2897" spans="1:8" s="174" customFormat="1" ht="18" customHeight="1">
      <c r="A2897" s="994"/>
      <c r="B2897" s="994"/>
      <c r="C2897" s="994"/>
      <c r="D2897" s="996" t="s">
        <v>528</v>
      </c>
      <c r="E2897" s="996"/>
      <c r="F2897" s="996"/>
      <c r="G2897" s="997"/>
      <c r="H2897" s="997">
        <v>2500</v>
      </c>
    </row>
    <row r="2898" spans="1:8" s="174" customFormat="1" ht="18" customHeight="1">
      <c r="A2898" s="994"/>
      <c r="B2898" s="994"/>
      <c r="C2898" s="994"/>
      <c r="D2898" s="996" t="s">
        <v>529</v>
      </c>
      <c r="E2898" s="996"/>
      <c r="F2898" s="996"/>
      <c r="G2898" s="997"/>
      <c r="H2898" s="997">
        <v>4000</v>
      </c>
    </row>
    <row r="2899" spans="1:8" s="174" customFormat="1" ht="25.5">
      <c r="A2899" s="994"/>
      <c r="B2899" s="994"/>
      <c r="C2899" s="994"/>
      <c r="D2899" s="996" t="s">
        <v>530</v>
      </c>
      <c r="E2899" s="996"/>
      <c r="F2899" s="996"/>
      <c r="G2899" s="997"/>
      <c r="H2899" s="997">
        <v>2000</v>
      </c>
    </row>
    <row r="2900" spans="1:8" s="174" customFormat="1" ht="18" customHeight="1">
      <c r="A2900" s="994"/>
      <c r="B2900" s="994"/>
      <c r="C2900" s="994"/>
      <c r="D2900" s="996" t="s">
        <v>531</v>
      </c>
      <c r="E2900" s="996"/>
      <c r="F2900" s="996"/>
      <c r="G2900" s="997"/>
      <c r="H2900" s="997">
        <v>4500</v>
      </c>
    </row>
    <row r="2901" spans="1:8" s="174" customFormat="1" ht="18" customHeight="1">
      <c r="A2901" s="994"/>
      <c r="B2901" s="994"/>
      <c r="C2901" s="994"/>
      <c r="D2901" s="996" t="s">
        <v>532</v>
      </c>
      <c r="E2901" s="996"/>
      <c r="F2901" s="996"/>
      <c r="G2901" s="997"/>
      <c r="H2901" s="997">
        <v>2500</v>
      </c>
    </row>
    <row r="2902" spans="1:8" s="174" customFormat="1" ht="18" customHeight="1">
      <c r="A2902" s="994"/>
      <c r="B2902" s="994"/>
      <c r="C2902" s="994"/>
      <c r="D2902" s="996" t="s">
        <v>81</v>
      </c>
      <c r="E2902" s="996"/>
      <c r="F2902" s="996"/>
      <c r="G2902" s="997"/>
      <c r="H2902" s="997">
        <v>3500</v>
      </c>
    </row>
    <row r="2903" spans="1:8" s="174" customFormat="1" ht="18" customHeight="1">
      <c r="A2903" s="994"/>
      <c r="B2903" s="994"/>
      <c r="C2903" s="994"/>
      <c r="D2903" s="996" t="s">
        <v>82</v>
      </c>
      <c r="E2903" s="996"/>
      <c r="F2903" s="996"/>
      <c r="G2903" s="997"/>
      <c r="H2903" s="997">
        <v>3500</v>
      </c>
    </row>
    <row r="2904" spans="1:8" s="174" customFormat="1" ht="18" customHeight="1">
      <c r="A2904" s="994"/>
      <c r="B2904" s="994"/>
      <c r="C2904" s="994"/>
      <c r="D2904" s="998" t="s">
        <v>533</v>
      </c>
      <c r="E2904" s="998"/>
      <c r="F2904" s="998"/>
      <c r="G2904" s="999"/>
      <c r="H2904" s="999">
        <v>2000</v>
      </c>
    </row>
    <row r="2905" spans="1:8" s="174" customFormat="1" ht="18" customHeight="1">
      <c r="A2905" s="994"/>
      <c r="B2905" s="994"/>
      <c r="C2905" s="994"/>
      <c r="D2905" s="996" t="s">
        <v>534</v>
      </c>
      <c r="E2905" s="996"/>
      <c r="F2905" s="996"/>
      <c r="G2905" s="997"/>
      <c r="H2905" s="997">
        <v>3500</v>
      </c>
    </row>
    <row r="2906" spans="1:8" s="174" customFormat="1" ht="18" customHeight="1">
      <c r="A2906" s="994"/>
      <c r="B2906" s="994"/>
      <c r="C2906" s="994"/>
      <c r="D2906" s="996" t="s">
        <v>855</v>
      </c>
      <c r="E2906" s="996"/>
      <c r="F2906" s="996"/>
      <c r="G2906" s="997"/>
      <c r="H2906" s="997">
        <v>3000</v>
      </c>
    </row>
    <row r="2907" spans="1:8" s="174" customFormat="1" ht="18" customHeight="1">
      <c r="A2907" s="994"/>
      <c r="B2907" s="994"/>
      <c r="C2907" s="994"/>
      <c r="D2907" s="996" t="s">
        <v>535</v>
      </c>
      <c r="E2907" s="996"/>
      <c r="F2907" s="996"/>
      <c r="G2907" s="997"/>
      <c r="H2907" s="997">
        <v>3000</v>
      </c>
    </row>
    <row r="2908" spans="1:8" s="174" customFormat="1" ht="18" customHeight="1">
      <c r="A2908" s="994"/>
      <c r="B2908" s="994"/>
      <c r="C2908" s="994"/>
      <c r="D2908" s="996" t="s">
        <v>536</v>
      </c>
      <c r="E2908" s="996"/>
      <c r="F2908" s="996"/>
      <c r="G2908" s="997"/>
      <c r="H2908" s="997">
        <v>3500</v>
      </c>
    </row>
    <row r="2909" spans="1:8" s="174" customFormat="1" ht="18" customHeight="1">
      <c r="A2909" s="994"/>
      <c r="B2909" s="994"/>
      <c r="C2909" s="994"/>
      <c r="D2909" s="996" t="s">
        <v>482</v>
      </c>
      <c r="E2909" s="996"/>
      <c r="F2909" s="996"/>
      <c r="G2909" s="997"/>
      <c r="H2909" s="997">
        <v>5500</v>
      </c>
    </row>
    <row r="2910" spans="1:8" s="174" customFormat="1" ht="25.5">
      <c r="A2910" s="994"/>
      <c r="B2910" s="994"/>
      <c r="C2910" s="994"/>
      <c r="D2910" s="996" t="s">
        <v>483</v>
      </c>
      <c r="E2910" s="996"/>
      <c r="F2910" s="996"/>
      <c r="G2910" s="997"/>
      <c r="H2910" s="997">
        <v>1500</v>
      </c>
    </row>
    <row r="2911" spans="1:8" s="174" customFormat="1" ht="18" customHeight="1">
      <c r="A2911" s="994"/>
      <c r="B2911" s="994"/>
      <c r="C2911" s="994"/>
      <c r="D2911" s="996" t="s">
        <v>484</v>
      </c>
      <c r="E2911" s="996"/>
      <c r="F2911" s="996"/>
      <c r="G2911" s="997"/>
      <c r="H2911" s="997">
        <v>17000</v>
      </c>
    </row>
    <row r="2912" spans="1:8" s="174" customFormat="1" ht="25.5">
      <c r="A2912" s="994"/>
      <c r="B2912" s="994"/>
      <c r="C2912" s="994"/>
      <c r="D2912" s="996" t="s">
        <v>83</v>
      </c>
      <c r="E2912" s="996"/>
      <c r="F2912" s="996"/>
      <c r="G2912" s="997"/>
      <c r="H2912" s="997">
        <v>5000</v>
      </c>
    </row>
    <row r="2913" spans="1:8" s="174" customFormat="1" ht="25.5">
      <c r="A2913" s="994"/>
      <c r="B2913" s="994"/>
      <c r="C2913" s="994"/>
      <c r="D2913" s="248" t="s">
        <v>20</v>
      </c>
      <c r="E2913" s="996"/>
      <c r="F2913" s="996"/>
      <c r="G2913" s="997"/>
      <c r="H2913" s="997">
        <v>3000</v>
      </c>
    </row>
    <row r="2914" spans="1:8" s="174" customFormat="1" ht="18" customHeight="1">
      <c r="A2914" s="994"/>
      <c r="B2914" s="994"/>
      <c r="C2914" s="994"/>
      <c r="D2914" s="996" t="s">
        <v>485</v>
      </c>
      <c r="E2914" s="996"/>
      <c r="F2914" s="996"/>
      <c r="G2914" s="997"/>
      <c r="H2914" s="997">
        <v>2000</v>
      </c>
    </row>
    <row r="2915" spans="1:8" s="174" customFormat="1" ht="18" customHeight="1">
      <c r="A2915" s="994"/>
      <c r="B2915" s="994"/>
      <c r="C2915" s="994"/>
      <c r="D2915" s="996" t="s">
        <v>486</v>
      </c>
      <c r="E2915" s="996"/>
      <c r="F2915" s="996"/>
      <c r="G2915" s="997"/>
      <c r="H2915" s="997">
        <v>2500</v>
      </c>
    </row>
    <row r="2916" spans="1:8" s="174" customFormat="1" ht="25.5">
      <c r="A2916" s="994"/>
      <c r="B2916" s="994"/>
      <c r="C2916" s="994"/>
      <c r="D2916" s="996" t="s">
        <v>487</v>
      </c>
      <c r="E2916" s="996"/>
      <c r="F2916" s="996"/>
      <c r="G2916" s="997"/>
      <c r="H2916" s="997">
        <v>2000</v>
      </c>
    </row>
    <row r="2917" spans="1:8" s="174" customFormat="1" ht="18" customHeight="1">
      <c r="A2917" s="994"/>
      <c r="B2917" s="994"/>
      <c r="C2917" s="994"/>
      <c r="D2917" s="996" t="s">
        <v>488</v>
      </c>
      <c r="E2917" s="996"/>
      <c r="F2917" s="996"/>
      <c r="G2917" s="997"/>
      <c r="H2917" s="997">
        <v>4000</v>
      </c>
    </row>
    <row r="2918" spans="1:8" s="174" customFormat="1" ht="25.5">
      <c r="A2918" s="990"/>
      <c r="B2918" s="990"/>
      <c r="C2918" s="990"/>
      <c r="D2918" s="1099" t="s">
        <v>852</v>
      </c>
      <c r="E2918" s="1099"/>
      <c r="F2918" s="1099"/>
      <c r="G2918" s="1100"/>
      <c r="H2918" s="1100">
        <v>7000</v>
      </c>
    </row>
    <row r="2919" spans="1:8" ht="24.75" customHeight="1">
      <c r="A2919" s="322"/>
      <c r="B2919" s="322"/>
      <c r="C2919" s="255">
        <v>2820</v>
      </c>
      <c r="D2919" s="1111" t="s">
        <v>303</v>
      </c>
      <c r="E2919" s="232"/>
      <c r="F2919" s="232"/>
      <c r="G2919" s="232"/>
      <c r="H2919" s="232">
        <f>SUM(H2891:H2918)</f>
        <v>106000</v>
      </c>
    </row>
    <row r="2920" spans="1:8" ht="19.5" customHeight="1">
      <c r="A2920" s="301"/>
      <c r="B2920" s="301"/>
      <c r="C2920" s="181">
        <v>4300</v>
      </c>
      <c r="D2920" s="189" t="s">
        <v>815</v>
      </c>
      <c r="E2920" s="232"/>
      <c r="F2920" s="232"/>
      <c r="G2920" s="232"/>
      <c r="H2920" s="232">
        <v>24340</v>
      </c>
    </row>
    <row r="2921" spans="1:8" ht="19.5" customHeight="1">
      <c r="A2921" s="301"/>
      <c r="B2921" s="301"/>
      <c r="C2921" s="56"/>
      <c r="D2921" s="1079" t="s">
        <v>767</v>
      </c>
      <c r="E2921" s="1080"/>
      <c r="F2921" s="1080"/>
      <c r="G2921" s="1080"/>
      <c r="H2921" s="1080">
        <f>H2922</f>
        <v>14460</v>
      </c>
    </row>
    <row r="2922" spans="1:8" ht="19.5" customHeight="1">
      <c r="A2922" s="301"/>
      <c r="B2922" s="301"/>
      <c r="C2922" s="181">
        <v>4300</v>
      </c>
      <c r="D2922" s="189" t="s">
        <v>815</v>
      </c>
      <c r="E2922" s="176"/>
      <c r="F2922" s="176"/>
      <c r="G2922" s="176"/>
      <c r="H2922" s="176">
        <v>14460</v>
      </c>
    </row>
    <row r="2923" spans="1:8" ht="19.5" customHeight="1">
      <c r="A2923" s="301"/>
      <c r="B2923" s="301"/>
      <c r="C2923" s="56"/>
      <c r="D2923" s="1079" t="s">
        <v>768</v>
      </c>
      <c r="E2923" s="1080"/>
      <c r="F2923" s="1080"/>
      <c r="G2923" s="1080"/>
      <c r="H2923" s="1080">
        <f>H2924</f>
        <v>22540</v>
      </c>
    </row>
    <row r="2924" spans="1:8" ht="19.5" customHeight="1">
      <c r="A2924" s="302"/>
      <c r="B2924" s="302"/>
      <c r="C2924" s="181">
        <v>4300</v>
      </c>
      <c r="D2924" s="189" t="s">
        <v>815</v>
      </c>
      <c r="E2924" s="176"/>
      <c r="F2924" s="176"/>
      <c r="G2924" s="176"/>
      <c r="H2924" s="176">
        <v>22540</v>
      </c>
    </row>
    <row r="2925" spans="1:8" s="1" customFormat="1" ht="18.75" customHeight="1" thickBot="1">
      <c r="A2925" s="394">
        <v>926</v>
      </c>
      <c r="B2925" s="394"/>
      <c r="C2925" s="394"/>
      <c r="D2925" s="394" t="s">
        <v>1045</v>
      </c>
      <c r="E2925" s="377"/>
      <c r="F2925" s="377"/>
      <c r="G2925" s="377"/>
      <c r="H2925" s="377">
        <f>H2926+H2935+H2939</f>
        <v>8709500</v>
      </c>
    </row>
    <row r="2926" spans="1:8" s="1" customFormat="1" ht="18.75" customHeight="1">
      <c r="A2926" s="2"/>
      <c r="B2926" s="3">
        <v>92601</v>
      </c>
      <c r="C2926" s="3"/>
      <c r="D2926" s="3" t="s">
        <v>1046</v>
      </c>
      <c r="E2926" s="4"/>
      <c r="F2926" s="4"/>
      <c r="G2926" s="4"/>
      <c r="H2926" s="4">
        <f>H2927+H2931+H2933</f>
        <v>400000</v>
      </c>
    </row>
    <row r="2927" spans="1:8" s="1" customFormat="1" ht="38.25">
      <c r="A2927" s="86"/>
      <c r="B2927" s="122"/>
      <c r="C2927" s="122"/>
      <c r="D2927" s="16" t="s">
        <v>846</v>
      </c>
      <c r="E2927" s="17"/>
      <c r="F2927" s="17"/>
      <c r="G2927" s="17"/>
      <c r="H2927" s="17">
        <f>H2930</f>
        <v>210000</v>
      </c>
    </row>
    <row r="2928" spans="1:8" s="1" customFormat="1" ht="18" customHeight="1">
      <c r="A2928" s="86"/>
      <c r="B2928" s="86"/>
      <c r="C2928" s="86"/>
      <c r="D2928" s="431" t="s">
        <v>18</v>
      </c>
      <c r="E2928" s="249"/>
      <c r="F2928" s="249"/>
      <c r="G2928" s="249"/>
      <c r="H2928" s="249">
        <v>193000</v>
      </c>
    </row>
    <row r="2929" spans="1:8" s="1" customFormat="1" ht="20.25" customHeight="1">
      <c r="A2929" s="86"/>
      <c r="B2929" s="86"/>
      <c r="C2929" s="86"/>
      <c r="D2929" s="432" t="s">
        <v>19</v>
      </c>
      <c r="E2929" s="296"/>
      <c r="F2929" s="296"/>
      <c r="G2929" s="296"/>
      <c r="H2929" s="296">
        <v>17000</v>
      </c>
    </row>
    <row r="2930" spans="1:8" s="1" customFormat="1" ht="27" customHeight="1">
      <c r="A2930" s="86"/>
      <c r="B2930" s="86"/>
      <c r="C2930" s="22">
        <v>2820</v>
      </c>
      <c r="D2930" s="20" t="s">
        <v>303</v>
      </c>
      <c r="E2930" s="228"/>
      <c r="F2930" s="228"/>
      <c r="G2930" s="228"/>
      <c r="H2930" s="228">
        <f>H2928+H2929</f>
        <v>210000</v>
      </c>
    </row>
    <row r="2931" spans="1:8" ht="18.75" customHeight="1">
      <c r="A2931" s="56"/>
      <c r="B2931" s="56"/>
      <c r="C2931" s="193"/>
      <c r="D2931" s="195" t="s">
        <v>847</v>
      </c>
      <c r="E2931" s="169"/>
      <c r="F2931" s="169"/>
      <c r="G2931" s="169"/>
      <c r="H2931" s="169">
        <f>H2932</f>
        <v>100000</v>
      </c>
    </row>
    <row r="2932" spans="1:8" ht="18.75" customHeight="1">
      <c r="A2932" s="56"/>
      <c r="B2932" s="56"/>
      <c r="C2932" s="181">
        <v>4300</v>
      </c>
      <c r="D2932" s="189" t="s">
        <v>815</v>
      </c>
      <c r="E2932" s="176"/>
      <c r="F2932" s="176"/>
      <c r="G2932" s="176"/>
      <c r="H2932" s="176">
        <v>100000</v>
      </c>
    </row>
    <row r="2933" spans="1:8" s="1" customFormat="1" ht="18.75" customHeight="1">
      <c r="A2933" s="86"/>
      <c r="B2933" s="86"/>
      <c r="C2933" s="18"/>
      <c r="D2933" s="316" t="s">
        <v>848</v>
      </c>
      <c r="E2933" s="17"/>
      <c r="F2933" s="17"/>
      <c r="G2933" s="17"/>
      <c r="H2933" s="17">
        <f>H2934</f>
        <v>90000</v>
      </c>
    </row>
    <row r="2934" spans="1:8" s="1" customFormat="1" ht="18.75" customHeight="1">
      <c r="A2934" s="86"/>
      <c r="B2934" s="107"/>
      <c r="C2934" s="22">
        <v>4210</v>
      </c>
      <c r="D2934" s="20" t="s">
        <v>748</v>
      </c>
      <c r="E2934" s="6"/>
      <c r="F2934" s="6"/>
      <c r="G2934" s="6"/>
      <c r="H2934" s="6">
        <v>90000</v>
      </c>
    </row>
    <row r="2935" spans="1:8" ht="19.5" customHeight="1">
      <c r="A2935" s="56"/>
      <c r="B2935" s="165">
        <v>92604</v>
      </c>
      <c r="C2935" s="165"/>
      <c r="D2935" s="165" t="s">
        <v>1047</v>
      </c>
      <c r="E2935" s="167"/>
      <c r="F2935" s="167"/>
      <c r="G2935" s="167"/>
      <c r="H2935" s="167">
        <f>H2936</f>
        <v>3650000</v>
      </c>
    </row>
    <row r="2936" spans="1:8" ht="18.75" customHeight="1">
      <c r="A2936" s="86"/>
      <c r="B2936" s="86"/>
      <c r="C2936" s="18"/>
      <c r="D2936" s="16" t="s">
        <v>522</v>
      </c>
      <c r="E2936" s="17"/>
      <c r="F2936" s="17"/>
      <c r="G2936" s="17"/>
      <c r="H2936" s="17">
        <f>H2938</f>
        <v>3650000</v>
      </c>
    </row>
    <row r="2937" spans="1:8" ht="18.75" customHeight="1">
      <c r="A2937" s="86"/>
      <c r="B2937" s="86"/>
      <c r="C2937" s="18"/>
      <c r="D2937" s="253" t="s">
        <v>849</v>
      </c>
      <c r="E2937" s="10"/>
      <c r="F2937" s="10"/>
      <c r="G2937" s="10"/>
      <c r="H2937" s="10">
        <v>350000</v>
      </c>
    </row>
    <row r="2938" spans="1:8" ht="18.75" customHeight="1">
      <c r="A2938" s="18"/>
      <c r="B2938" s="22"/>
      <c r="C2938" s="22">
        <v>2650</v>
      </c>
      <c r="D2938" s="20" t="s">
        <v>393</v>
      </c>
      <c r="E2938" s="6"/>
      <c r="F2938" s="6"/>
      <c r="G2938" s="6"/>
      <c r="H2938" s="6">
        <f>3150000+500000</f>
        <v>3650000</v>
      </c>
    </row>
    <row r="2939" spans="1:8" ht="19.5" customHeight="1">
      <c r="A2939" s="56"/>
      <c r="B2939" s="165">
        <v>92605</v>
      </c>
      <c r="C2939" s="165"/>
      <c r="D2939" s="165" t="s">
        <v>402</v>
      </c>
      <c r="E2939" s="167"/>
      <c r="F2939" s="167"/>
      <c r="G2939" s="167"/>
      <c r="H2939" s="167">
        <f>H2940+H2993+H3015+H3019+H3028</f>
        <v>4659500</v>
      </c>
    </row>
    <row r="2940" spans="1:8" ht="18.75" customHeight="1">
      <c r="A2940" s="56"/>
      <c r="B2940" s="56"/>
      <c r="C2940" s="56"/>
      <c r="D2940" s="195" t="s">
        <v>769</v>
      </c>
      <c r="E2940" s="169"/>
      <c r="F2940" s="169"/>
      <c r="G2940" s="169"/>
      <c r="H2940" s="169">
        <f>H2990+H2991+H2992</f>
        <v>1930000</v>
      </c>
    </row>
    <row r="2941" spans="1:8" ht="25.5">
      <c r="A2941" s="56"/>
      <c r="B2941" s="56"/>
      <c r="C2941" s="56"/>
      <c r="D2941" s="248" t="s">
        <v>20</v>
      </c>
      <c r="E2941" s="249"/>
      <c r="F2941" s="249"/>
      <c r="G2941" s="249"/>
      <c r="H2941" s="249">
        <v>100000</v>
      </c>
    </row>
    <row r="2942" spans="1:8" ht="18.75" customHeight="1">
      <c r="A2942" s="56"/>
      <c r="B2942" s="56"/>
      <c r="C2942" s="56"/>
      <c r="D2942" s="446" t="s">
        <v>21</v>
      </c>
      <c r="E2942" s="296"/>
      <c r="F2942" s="296"/>
      <c r="G2942" s="296"/>
      <c r="H2942" s="296">
        <f>30000+6500</f>
        <v>36500</v>
      </c>
    </row>
    <row r="2943" spans="1:8" ht="18.75" customHeight="1">
      <c r="A2943" s="56"/>
      <c r="B2943" s="56"/>
      <c r="C2943" s="56"/>
      <c r="D2943" s="446" t="s">
        <v>22</v>
      </c>
      <c r="E2943" s="296"/>
      <c r="F2943" s="296"/>
      <c r="G2943" s="296"/>
      <c r="H2943" s="296">
        <v>30000</v>
      </c>
    </row>
    <row r="2944" spans="1:8" ht="25.5">
      <c r="A2944" s="158"/>
      <c r="B2944" s="158"/>
      <c r="C2944" s="158"/>
      <c r="D2944" s="306" t="s">
        <v>23</v>
      </c>
      <c r="E2944" s="234"/>
      <c r="F2944" s="234"/>
      <c r="G2944" s="234"/>
      <c r="H2944" s="234">
        <v>40000</v>
      </c>
    </row>
    <row r="2945" spans="1:8" s="174" customFormat="1" ht="18" customHeight="1">
      <c r="A2945" s="1101"/>
      <c r="B2945" s="1101"/>
      <c r="C2945" s="1101"/>
      <c r="D2945" s="1102" t="s">
        <v>855</v>
      </c>
      <c r="E2945" s="1102"/>
      <c r="F2945" s="1102"/>
      <c r="G2945" s="1103"/>
      <c r="H2945" s="1103">
        <v>1500</v>
      </c>
    </row>
    <row r="2946" spans="1:8" ht="18.75" customHeight="1">
      <c r="A2946" s="56"/>
      <c r="B2946" s="56"/>
      <c r="C2946" s="56"/>
      <c r="D2946" s="446" t="s">
        <v>24</v>
      </c>
      <c r="E2946" s="296"/>
      <c r="F2946" s="296"/>
      <c r="G2946" s="296"/>
      <c r="H2946" s="296">
        <f>60000+7000</f>
        <v>67000</v>
      </c>
    </row>
    <row r="2947" spans="1:8" ht="18.75" customHeight="1">
      <c r="A2947" s="56"/>
      <c r="B2947" s="56"/>
      <c r="C2947" s="56"/>
      <c r="D2947" s="446" t="s">
        <v>25</v>
      </c>
      <c r="E2947" s="296"/>
      <c r="F2947" s="296"/>
      <c r="G2947" s="296"/>
      <c r="H2947" s="296">
        <f>60000+6000</f>
        <v>66000</v>
      </c>
    </row>
    <row r="2948" spans="1:8" ht="18.75" customHeight="1">
      <c r="A2948" s="56"/>
      <c r="B2948" s="56"/>
      <c r="C2948" s="56"/>
      <c r="D2948" s="446" t="s">
        <v>902</v>
      </c>
      <c r="E2948" s="296"/>
      <c r="F2948" s="296"/>
      <c r="G2948" s="296"/>
      <c r="H2948" s="296">
        <v>20000</v>
      </c>
    </row>
    <row r="2949" spans="1:8" ht="18.75" customHeight="1">
      <c r="A2949" s="56"/>
      <c r="B2949" s="56"/>
      <c r="C2949" s="56"/>
      <c r="D2949" s="446" t="s">
        <v>710</v>
      </c>
      <c r="E2949" s="296"/>
      <c r="F2949" s="296"/>
      <c r="G2949" s="296"/>
      <c r="H2949" s="296">
        <v>30000</v>
      </c>
    </row>
    <row r="2950" spans="1:8" ht="18.75" customHeight="1">
      <c r="A2950" s="56"/>
      <c r="B2950" s="56"/>
      <c r="C2950" s="56"/>
      <c r="D2950" s="446" t="s">
        <v>711</v>
      </c>
      <c r="E2950" s="296"/>
      <c r="F2950" s="296"/>
      <c r="G2950" s="296"/>
      <c r="H2950" s="296">
        <f>10000+7000</f>
        <v>17000</v>
      </c>
    </row>
    <row r="2951" spans="1:8" ht="25.5">
      <c r="A2951" s="56"/>
      <c r="B2951" s="56"/>
      <c r="C2951" s="56"/>
      <c r="D2951" s="332" t="s">
        <v>712</v>
      </c>
      <c r="E2951" s="296"/>
      <c r="F2951" s="296"/>
      <c r="G2951" s="296"/>
      <c r="H2951" s="296">
        <v>10000</v>
      </c>
    </row>
    <row r="2952" spans="1:8" ht="18.75" customHeight="1">
      <c r="A2952" s="56"/>
      <c r="B2952" s="56"/>
      <c r="C2952" s="56"/>
      <c r="D2952" s="446" t="s">
        <v>713</v>
      </c>
      <c r="E2952" s="296"/>
      <c r="F2952" s="296"/>
      <c r="G2952" s="296"/>
      <c r="H2952" s="296">
        <v>20000</v>
      </c>
    </row>
    <row r="2953" spans="1:8" ht="18.75" customHeight="1">
      <c r="A2953" s="56"/>
      <c r="B2953" s="56"/>
      <c r="C2953" s="56"/>
      <c r="D2953" s="446" t="s">
        <v>619</v>
      </c>
      <c r="E2953" s="296"/>
      <c r="F2953" s="296"/>
      <c r="G2953" s="296"/>
      <c r="H2953" s="296">
        <f>78500+8500</f>
        <v>87000</v>
      </c>
    </row>
    <row r="2954" spans="1:8" ht="18" customHeight="1">
      <c r="A2954" s="56"/>
      <c r="B2954" s="56"/>
      <c r="C2954" s="56"/>
      <c r="D2954" s="332" t="s">
        <v>531</v>
      </c>
      <c r="E2954" s="296"/>
      <c r="F2954" s="296"/>
      <c r="G2954" s="296"/>
      <c r="H2954" s="296">
        <v>79000</v>
      </c>
    </row>
    <row r="2955" spans="1:8" ht="25.5">
      <c r="A2955" s="56"/>
      <c r="B2955" s="56"/>
      <c r="C2955" s="56"/>
      <c r="D2955" s="332" t="s">
        <v>714</v>
      </c>
      <c r="E2955" s="296"/>
      <c r="F2955" s="296"/>
      <c r="G2955" s="296"/>
      <c r="H2955" s="296">
        <v>40000</v>
      </c>
    </row>
    <row r="2956" spans="1:8" ht="18.75" customHeight="1">
      <c r="A2956" s="56"/>
      <c r="B2956" s="56"/>
      <c r="C2956" s="56"/>
      <c r="D2956" s="446" t="s">
        <v>715</v>
      </c>
      <c r="E2956" s="296"/>
      <c r="F2956" s="296"/>
      <c r="G2956" s="296"/>
      <c r="H2956" s="296">
        <v>30000</v>
      </c>
    </row>
    <row r="2957" spans="1:8" ht="18.75" customHeight="1">
      <c r="A2957" s="56"/>
      <c r="B2957" s="56"/>
      <c r="C2957" s="56"/>
      <c r="D2957" s="446" t="s">
        <v>716</v>
      </c>
      <c r="E2957" s="296"/>
      <c r="F2957" s="296"/>
      <c r="G2957" s="296"/>
      <c r="H2957" s="296">
        <v>30000</v>
      </c>
    </row>
    <row r="2958" spans="1:8" ht="18.75" customHeight="1">
      <c r="A2958" s="56"/>
      <c r="B2958" s="56"/>
      <c r="C2958" s="56"/>
      <c r="D2958" s="446" t="s">
        <v>717</v>
      </c>
      <c r="E2958" s="296"/>
      <c r="F2958" s="296"/>
      <c r="G2958" s="296"/>
      <c r="H2958" s="296">
        <v>30000</v>
      </c>
    </row>
    <row r="2959" spans="1:8" ht="25.5">
      <c r="A2959" s="56"/>
      <c r="B2959" s="56"/>
      <c r="C2959" s="56"/>
      <c r="D2959" s="332" t="s">
        <v>718</v>
      </c>
      <c r="E2959" s="296"/>
      <c r="F2959" s="296"/>
      <c r="G2959" s="296"/>
      <c r="H2959" s="296">
        <v>20000</v>
      </c>
    </row>
    <row r="2960" spans="1:8" ht="25.5">
      <c r="A2960" s="56"/>
      <c r="B2960" s="56"/>
      <c r="C2960" s="56"/>
      <c r="D2960" s="332" t="s">
        <v>719</v>
      </c>
      <c r="E2960" s="296"/>
      <c r="F2960" s="296"/>
      <c r="G2960" s="296"/>
      <c r="H2960" s="296">
        <f>48000+4000</f>
        <v>52000</v>
      </c>
    </row>
    <row r="2961" spans="1:8" ht="18.75" customHeight="1">
      <c r="A2961" s="56"/>
      <c r="B2961" s="56"/>
      <c r="C2961" s="56"/>
      <c r="D2961" s="446" t="s">
        <v>720</v>
      </c>
      <c r="E2961" s="296"/>
      <c r="F2961" s="296"/>
      <c r="G2961" s="296"/>
      <c r="H2961" s="296">
        <v>11000</v>
      </c>
    </row>
    <row r="2962" spans="1:8" ht="18.75" customHeight="1">
      <c r="A2962" s="56"/>
      <c r="B2962" s="56"/>
      <c r="C2962" s="56"/>
      <c r="D2962" s="446" t="s">
        <v>721</v>
      </c>
      <c r="E2962" s="296"/>
      <c r="F2962" s="296"/>
      <c r="G2962" s="296"/>
      <c r="H2962" s="296">
        <f>38000+2000</f>
        <v>40000</v>
      </c>
    </row>
    <row r="2963" spans="1:8" ht="18.75" customHeight="1">
      <c r="A2963" s="56"/>
      <c r="B2963" s="56"/>
      <c r="C2963" s="56"/>
      <c r="D2963" s="332" t="s">
        <v>640</v>
      </c>
      <c r="E2963" s="296"/>
      <c r="F2963" s="296"/>
      <c r="G2963" s="296"/>
      <c r="H2963" s="296">
        <f>20000+9000</f>
        <v>29000</v>
      </c>
    </row>
    <row r="2964" spans="1:8" ht="18.75" customHeight="1">
      <c r="A2964" s="56"/>
      <c r="B2964" s="56"/>
      <c r="C2964" s="56"/>
      <c r="D2964" s="332" t="s">
        <v>18</v>
      </c>
      <c r="E2964" s="296"/>
      <c r="F2964" s="296"/>
      <c r="G2964" s="296"/>
      <c r="H2964" s="296">
        <f>185000+8500</f>
        <v>193500</v>
      </c>
    </row>
    <row r="2965" spans="1:8" ht="18.75" customHeight="1">
      <c r="A2965" s="56"/>
      <c r="B2965" s="56"/>
      <c r="C2965" s="56"/>
      <c r="D2965" s="332" t="s">
        <v>675</v>
      </c>
      <c r="E2965" s="296"/>
      <c r="F2965" s="296"/>
      <c r="G2965" s="296"/>
      <c r="H2965" s="296">
        <v>90000</v>
      </c>
    </row>
    <row r="2966" spans="1:8" ht="25.5">
      <c r="A2966" s="56"/>
      <c r="B2966" s="56"/>
      <c r="C2966" s="56"/>
      <c r="D2966" s="332" t="s">
        <v>1007</v>
      </c>
      <c r="E2966" s="296"/>
      <c r="F2966" s="296"/>
      <c r="G2966" s="296"/>
      <c r="H2966" s="296">
        <v>40000</v>
      </c>
    </row>
    <row r="2967" spans="1:8" ht="18.75" customHeight="1">
      <c r="A2967" s="56"/>
      <c r="B2967" s="56"/>
      <c r="C2967" s="56"/>
      <c r="D2967" s="332" t="s">
        <v>641</v>
      </c>
      <c r="E2967" s="296"/>
      <c r="F2967" s="296"/>
      <c r="G2967" s="296"/>
      <c r="H2967" s="296">
        <f>20000+3000</f>
        <v>23000</v>
      </c>
    </row>
    <row r="2968" spans="1:8" ht="25.5">
      <c r="A2968" s="56"/>
      <c r="B2968" s="56"/>
      <c r="C2968" s="56"/>
      <c r="D2968" s="332" t="s">
        <v>1008</v>
      </c>
      <c r="E2968" s="296"/>
      <c r="F2968" s="296"/>
      <c r="G2968" s="296"/>
      <c r="H2968" s="296">
        <v>10000</v>
      </c>
    </row>
    <row r="2969" spans="1:8" ht="18.75" customHeight="1">
      <c r="A2969" s="56"/>
      <c r="B2969" s="56"/>
      <c r="C2969" s="56"/>
      <c r="D2969" s="332" t="s">
        <v>1009</v>
      </c>
      <c r="E2969" s="296"/>
      <c r="F2969" s="296"/>
      <c r="G2969" s="296"/>
      <c r="H2969" s="296">
        <v>20000</v>
      </c>
    </row>
    <row r="2970" spans="1:8" ht="18.75" customHeight="1">
      <c r="A2970" s="56"/>
      <c r="B2970" s="56"/>
      <c r="C2970" s="56"/>
      <c r="D2970" s="332" t="s">
        <v>642</v>
      </c>
      <c r="E2970" s="296"/>
      <c r="F2970" s="296"/>
      <c r="G2970" s="296"/>
      <c r="H2970" s="296">
        <v>8000</v>
      </c>
    </row>
    <row r="2971" spans="1:8" ht="25.5">
      <c r="A2971" s="158"/>
      <c r="B2971" s="158"/>
      <c r="C2971" s="158"/>
      <c r="D2971" s="306" t="s">
        <v>1010</v>
      </c>
      <c r="E2971" s="234"/>
      <c r="F2971" s="234"/>
      <c r="G2971" s="234"/>
      <c r="H2971" s="234">
        <f>4000+3000</f>
        <v>7000</v>
      </c>
    </row>
    <row r="2972" spans="1:8" ht="25.5">
      <c r="A2972" s="193"/>
      <c r="B2972" s="193"/>
      <c r="C2972" s="193"/>
      <c r="D2972" s="1045" t="s">
        <v>85</v>
      </c>
      <c r="E2972" s="180"/>
      <c r="F2972" s="180"/>
      <c r="G2972" s="180"/>
      <c r="H2972" s="180">
        <f>60000+19500</f>
        <v>79500</v>
      </c>
    </row>
    <row r="2973" spans="1:8" ht="25.5">
      <c r="A2973" s="56"/>
      <c r="B2973" s="56"/>
      <c r="C2973" s="56"/>
      <c r="D2973" s="332" t="s">
        <v>643</v>
      </c>
      <c r="E2973" s="296"/>
      <c r="F2973" s="296"/>
      <c r="G2973" s="296"/>
      <c r="H2973" s="296">
        <f>50000+9000</f>
        <v>59000</v>
      </c>
    </row>
    <row r="2974" spans="1:8" ht="25.5">
      <c r="A2974" s="56"/>
      <c r="B2974" s="56"/>
      <c r="C2974" s="56"/>
      <c r="D2974" s="332" t="s">
        <v>602</v>
      </c>
      <c r="E2974" s="296"/>
      <c r="F2974" s="296"/>
      <c r="G2974" s="296"/>
      <c r="H2974" s="296">
        <f>3000+7500</f>
        <v>10500</v>
      </c>
    </row>
    <row r="2975" spans="1:8" ht="19.5" customHeight="1">
      <c r="A2975" s="56"/>
      <c r="B2975" s="56"/>
      <c r="C2975" s="56"/>
      <c r="D2975" s="332" t="s">
        <v>1011</v>
      </c>
      <c r="E2975" s="296"/>
      <c r="F2975" s="296"/>
      <c r="G2975" s="296"/>
      <c r="H2975" s="296">
        <v>46000</v>
      </c>
    </row>
    <row r="2976" spans="1:8" ht="17.25" customHeight="1">
      <c r="A2976" s="56"/>
      <c r="B2976" s="56"/>
      <c r="C2976" s="56"/>
      <c r="D2976" s="332" t="s">
        <v>19</v>
      </c>
      <c r="E2976" s="296"/>
      <c r="F2976" s="296"/>
      <c r="G2976" s="296"/>
      <c r="H2976" s="296">
        <v>14500</v>
      </c>
    </row>
    <row r="2977" spans="1:8" ht="17.25" customHeight="1">
      <c r="A2977" s="56"/>
      <c r="B2977" s="56"/>
      <c r="C2977" s="56"/>
      <c r="D2977" s="332" t="s">
        <v>854</v>
      </c>
      <c r="E2977" s="296"/>
      <c r="F2977" s="296"/>
      <c r="G2977" s="296"/>
      <c r="H2977" s="296">
        <v>25000</v>
      </c>
    </row>
    <row r="2978" spans="1:8" ht="18.75" customHeight="1">
      <c r="A2978" s="56"/>
      <c r="B2978" s="56"/>
      <c r="C2978" s="56"/>
      <c r="D2978" s="332" t="s">
        <v>1012</v>
      </c>
      <c r="E2978" s="296"/>
      <c r="F2978" s="296"/>
      <c r="G2978" s="296"/>
      <c r="H2978" s="296">
        <v>20000</v>
      </c>
    </row>
    <row r="2979" spans="1:8" s="174" customFormat="1" ht="18" customHeight="1">
      <c r="A2979" s="994"/>
      <c r="B2979" s="994"/>
      <c r="C2979" s="994"/>
      <c r="D2979" s="996" t="s">
        <v>535</v>
      </c>
      <c r="E2979" s="996"/>
      <c r="F2979" s="996"/>
      <c r="G2979" s="997"/>
      <c r="H2979" s="997">
        <v>3500</v>
      </c>
    </row>
    <row r="2980" spans="1:8" ht="18.75" customHeight="1">
      <c r="A2980" s="56"/>
      <c r="B2980" s="56"/>
      <c r="C2980" s="56"/>
      <c r="D2980" s="332" t="s">
        <v>1013</v>
      </c>
      <c r="E2980" s="296"/>
      <c r="F2980" s="296"/>
      <c r="G2980" s="296"/>
      <c r="H2980" s="296">
        <f>15000+8500</f>
        <v>23500</v>
      </c>
    </row>
    <row r="2981" spans="1:8" ht="18.75" customHeight="1">
      <c r="A2981" s="56"/>
      <c r="B2981" s="56"/>
      <c r="C2981" s="56"/>
      <c r="D2981" s="332" t="s">
        <v>1014</v>
      </c>
      <c r="E2981" s="296"/>
      <c r="F2981" s="296"/>
      <c r="G2981" s="296"/>
      <c r="H2981" s="296">
        <v>70000</v>
      </c>
    </row>
    <row r="2982" spans="1:8" ht="18.75" customHeight="1">
      <c r="A2982" s="56"/>
      <c r="B2982" s="56"/>
      <c r="C2982" s="56"/>
      <c r="D2982" s="332" t="s">
        <v>1015</v>
      </c>
      <c r="E2982" s="296"/>
      <c r="F2982" s="296"/>
      <c r="G2982" s="296"/>
      <c r="H2982" s="296">
        <v>25000</v>
      </c>
    </row>
    <row r="2983" spans="1:8" ht="25.5">
      <c r="A2983" s="56"/>
      <c r="B2983" s="56"/>
      <c r="C2983" s="56"/>
      <c r="D2983" s="332" t="s">
        <v>600</v>
      </c>
      <c r="E2983" s="296"/>
      <c r="F2983" s="296"/>
      <c r="G2983" s="296"/>
      <c r="H2983" s="296">
        <f>30000+5000</f>
        <v>35000</v>
      </c>
    </row>
    <row r="2984" spans="1:8" ht="25.5">
      <c r="A2984" s="56"/>
      <c r="B2984" s="56"/>
      <c r="C2984" s="56"/>
      <c r="D2984" s="332" t="s">
        <v>1016</v>
      </c>
      <c r="E2984" s="296"/>
      <c r="F2984" s="296"/>
      <c r="G2984" s="296"/>
      <c r="H2984" s="296">
        <f>30000+2000</f>
        <v>32000</v>
      </c>
    </row>
    <row r="2985" spans="1:8" ht="25.5">
      <c r="A2985" s="56"/>
      <c r="B2985" s="56"/>
      <c r="C2985" s="56"/>
      <c r="D2985" s="332" t="s">
        <v>473</v>
      </c>
      <c r="E2985" s="296"/>
      <c r="F2985" s="296"/>
      <c r="G2985" s="296"/>
      <c r="H2985" s="296">
        <v>95000</v>
      </c>
    </row>
    <row r="2986" spans="1:8" ht="25.5">
      <c r="A2986" s="56"/>
      <c r="B2986" s="56"/>
      <c r="C2986" s="56"/>
      <c r="D2986" s="332" t="s">
        <v>474</v>
      </c>
      <c r="E2986" s="296"/>
      <c r="F2986" s="296"/>
      <c r="G2986" s="296"/>
      <c r="H2986" s="296">
        <v>34000</v>
      </c>
    </row>
    <row r="2987" spans="1:8" ht="25.5">
      <c r="A2987" s="56"/>
      <c r="B2987" s="56"/>
      <c r="C2987" s="56"/>
      <c r="D2987" s="332" t="s">
        <v>123</v>
      </c>
      <c r="E2987" s="296"/>
      <c r="F2987" s="296"/>
      <c r="G2987" s="296"/>
      <c r="H2987" s="296">
        <v>30000</v>
      </c>
    </row>
    <row r="2988" spans="1:8" ht="18.75" customHeight="1">
      <c r="A2988" s="56"/>
      <c r="B2988" s="56"/>
      <c r="C2988" s="56"/>
      <c r="D2988" s="332" t="s">
        <v>489</v>
      </c>
      <c r="E2988" s="296"/>
      <c r="F2988" s="296"/>
      <c r="G2988" s="296"/>
      <c r="H2988" s="296">
        <v>20000</v>
      </c>
    </row>
    <row r="2989" spans="1:8" ht="18.75" customHeight="1">
      <c r="A2989" s="56"/>
      <c r="B2989" s="56"/>
      <c r="C2989" s="56"/>
      <c r="D2989" s="332" t="s">
        <v>1071</v>
      </c>
      <c r="E2989" s="296"/>
      <c r="F2989" s="296"/>
      <c r="G2989" s="296"/>
      <c r="H2989" s="296">
        <f>245000-225000</f>
        <v>20000</v>
      </c>
    </row>
    <row r="2990" spans="1:8" ht="26.25" customHeight="1">
      <c r="A2990" s="56"/>
      <c r="B2990" s="56"/>
      <c r="C2990" s="201">
        <v>2820</v>
      </c>
      <c r="D2990" s="189" t="s">
        <v>303</v>
      </c>
      <c r="E2990" s="176"/>
      <c r="F2990" s="176"/>
      <c r="G2990" s="176"/>
      <c r="H2990" s="176">
        <f>SUM(H2941:H2989)</f>
        <v>1920000</v>
      </c>
    </row>
    <row r="2991" spans="1:8" ht="18.75" customHeight="1">
      <c r="A2991" s="56"/>
      <c r="B2991" s="56"/>
      <c r="C2991" s="201">
        <v>4210</v>
      </c>
      <c r="D2991" s="189" t="s">
        <v>748</v>
      </c>
      <c r="E2991" s="334"/>
      <c r="F2991" s="334"/>
      <c r="G2991" s="334"/>
      <c r="H2991" s="334">
        <v>8000</v>
      </c>
    </row>
    <row r="2992" spans="1:8" ht="18.75" customHeight="1">
      <c r="A2992" s="56"/>
      <c r="B2992" s="56"/>
      <c r="C2992" s="333">
        <v>4300</v>
      </c>
      <c r="D2992" s="333" t="s">
        <v>815</v>
      </c>
      <c r="E2992" s="268"/>
      <c r="F2992" s="268"/>
      <c r="G2992" s="268"/>
      <c r="H2992" s="268">
        <v>2000</v>
      </c>
    </row>
    <row r="2993" spans="1:8" ht="18.75" customHeight="1">
      <c r="A2993" s="56"/>
      <c r="B2993" s="56"/>
      <c r="C2993" s="335"/>
      <c r="D2993" s="200" t="s">
        <v>1005</v>
      </c>
      <c r="E2993" s="336"/>
      <c r="F2993" s="336"/>
      <c r="G2993" s="336"/>
      <c r="H2993" s="336">
        <f>SUM(H3012:H3014)</f>
        <v>2000000</v>
      </c>
    </row>
    <row r="2994" spans="1:8" ht="25.5">
      <c r="A2994" s="56"/>
      <c r="B2994" s="56"/>
      <c r="C2994" s="335"/>
      <c r="D2994" s="248" t="s">
        <v>20</v>
      </c>
      <c r="E2994" s="448"/>
      <c r="F2994" s="448"/>
      <c r="G2994" s="448"/>
      <c r="H2994" s="448">
        <f>55000+19000</f>
        <v>74000</v>
      </c>
    </row>
    <row r="2995" spans="1:8" ht="18.75" customHeight="1">
      <c r="A2995" s="56"/>
      <c r="B2995" s="56"/>
      <c r="C2995" s="335"/>
      <c r="D2995" s="447" t="s">
        <v>25</v>
      </c>
      <c r="E2995" s="438"/>
      <c r="F2995" s="438"/>
      <c r="G2995" s="438"/>
      <c r="H2995" s="438">
        <f>20000+4000</f>
        <v>24000</v>
      </c>
    </row>
    <row r="2996" spans="1:8" ht="18.75" customHeight="1">
      <c r="A2996" s="56"/>
      <c r="B2996" s="56"/>
      <c r="C2996" s="335"/>
      <c r="D2996" s="447" t="s">
        <v>710</v>
      </c>
      <c r="E2996" s="438"/>
      <c r="F2996" s="438"/>
      <c r="G2996" s="438"/>
      <c r="H2996" s="438">
        <v>20000</v>
      </c>
    </row>
    <row r="2997" spans="1:8" s="174" customFormat="1" ht="18" customHeight="1">
      <c r="A2997" s="990"/>
      <c r="B2997" s="990"/>
      <c r="C2997" s="990"/>
      <c r="D2997" s="1099" t="s">
        <v>856</v>
      </c>
      <c r="E2997" s="1099"/>
      <c r="F2997" s="1099"/>
      <c r="G2997" s="1100"/>
      <c r="H2997" s="1100">
        <v>20000</v>
      </c>
    </row>
    <row r="2998" spans="1:8" ht="18.75" customHeight="1">
      <c r="A2998" s="193"/>
      <c r="B2998" s="193"/>
      <c r="C2998" s="1106"/>
      <c r="D2998" s="1107" t="s">
        <v>711</v>
      </c>
      <c r="E2998" s="1108"/>
      <c r="F2998" s="1108"/>
      <c r="G2998" s="1108"/>
      <c r="H2998" s="1108">
        <v>15000</v>
      </c>
    </row>
    <row r="2999" spans="1:8" ht="18.75" customHeight="1">
      <c r="A2999" s="56"/>
      <c r="B2999" s="56"/>
      <c r="C2999" s="335"/>
      <c r="D2999" s="447" t="s">
        <v>713</v>
      </c>
      <c r="E2999" s="438"/>
      <c r="F2999" s="438"/>
      <c r="G2999" s="438"/>
      <c r="H2999" s="438">
        <v>10000</v>
      </c>
    </row>
    <row r="3000" spans="1:8" ht="18.75" customHeight="1">
      <c r="A3000" s="56"/>
      <c r="B3000" s="56"/>
      <c r="C3000" s="335"/>
      <c r="D3000" s="447" t="s">
        <v>531</v>
      </c>
      <c r="E3000" s="438"/>
      <c r="F3000" s="438"/>
      <c r="G3000" s="438"/>
      <c r="H3000" s="438">
        <v>75000</v>
      </c>
    </row>
    <row r="3001" spans="1:8" ht="18.75" customHeight="1">
      <c r="A3001" s="56"/>
      <c r="B3001" s="56"/>
      <c r="C3001" s="335"/>
      <c r="D3001" s="447" t="s">
        <v>715</v>
      </c>
      <c r="E3001" s="438"/>
      <c r="F3001" s="438"/>
      <c r="G3001" s="438"/>
      <c r="H3001" s="438">
        <v>15000</v>
      </c>
    </row>
    <row r="3002" spans="1:8" ht="18.75" customHeight="1">
      <c r="A3002" s="56"/>
      <c r="B3002" s="56"/>
      <c r="C3002" s="335"/>
      <c r="D3002" s="447" t="s">
        <v>716</v>
      </c>
      <c r="E3002" s="438"/>
      <c r="F3002" s="438"/>
      <c r="G3002" s="438"/>
      <c r="H3002" s="438">
        <v>10000</v>
      </c>
    </row>
    <row r="3003" spans="1:8" ht="18.75" customHeight="1">
      <c r="A3003" s="56"/>
      <c r="B3003" s="56"/>
      <c r="C3003" s="335"/>
      <c r="D3003" s="447" t="s">
        <v>717</v>
      </c>
      <c r="E3003" s="438"/>
      <c r="F3003" s="438"/>
      <c r="G3003" s="438"/>
      <c r="H3003" s="438">
        <v>10000</v>
      </c>
    </row>
    <row r="3004" spans="1:8" ht="25.5">
      <c r="A3004" s="56"/>
      <c r="B3004" s="56"/>
      <c r="C3004" s="335"/>
      <c r="D3004" s="332" t="s">
        <v>719</v>
      </c>
      <c r="E3004" s="438"/>
      <c r="F3004" s="438"/>
      <c r="G3004" s="438"/>
      <c r="H3004" s="438">
        <f>24000+5000</f>
        <v>29000</v>
      </c>
    </row>
    <row r="3005" spans="1:8" ht="25.5">
      <c r="A3005" s="56"/>
      <c r="B3005" s="56"/>
      <c r="C3005" s="335"/>
      <c r="D3005" s="332" t="s">
        <v>1124</v>
      </c>
      <c r="E3005" s="438"/>
      <c r="F3005" s="438"/>
      <c r="G3005" s="438"/>
      <c r="H3005" s="438">
        <v>15000</v>
      </c>
    </row>
    <row r="3006" spans="1:8" ht="18.75" customHeight="1">
      <c r="A3006" s="56"/>
      <c r="B3006" s="56"/>
      <c r="C3006" s="335"/>
      <c r="D3006" s="447" t="s">
        <v>721</v>
      </c>
      <c r="E3006" s="438"/>
      <c r="F3006" s="438"/>
      <c r="G3006" s="438"/>
      <c r="H3006" s="438">
        <f>10000+1000</f>
        <v>11000</v>
      </c>
    </row>
    <row r="3007" spans="1:8" ht="18.75" customHeight="1">
      <c r="A3007" s="56"/>
      <c r="B3007" s="56"/>
      <c r="C3007" s="335"/>
      <c r="D3007" s="447" t="s">
        <v>18</v>
      </c>
      <c r="E3007" s="438"/>
      <c r="F3007" s="438"/>
      <c r="G3007" s="438"/>
      <c r="H3007" s="438">
        <f>102000+60000</f>
        <v>162000</v>
      </c>
    </row>
    <row r="3008" spans="1:8" ht="18.75" customHeight="1">
      <c r="A3008" s="56"/>
      <c r="B3008" s="56"/>
      <c r="C3008" s="335"/>
      <c r="D3008" s="447" t="s">
        <v>644</v>
      </c>
      <c r="E3008" s="438"/>
      <c r="F3008" s="438"/>
      <c r="G3008" s="438"/>
      <c r="H3008" s="438">
        <v>20000</v>
      </c>
    </row>
    <row r="3009" spans="1:8" ht="18.75" customHeight="1">
      <c r="A3009" s="56"/>
      <c r="B3009" s="56"/>
      <c r="C3009" s="335"/>
      <c r="D3009" s="447" t="s">
        <v>1125</v>
      </c>
      <c r="E3009" s="438"/>
      <c r="F3009" s="438"/>
      <c r="G3009" s="438"/>
      <c r="H3009" s="438">
        <f>160000+175000</f>
        <v>335000</v>
      </c>
    </row>
    <row r="3010" spans="1:8" ht="17.25" customHeight="1">
      <c r="A3010" s="56"/>
      <c r="B3010" s="56"/>
      <c r="C3010" s="56"/>
      <c r="D3010" s="332" t="s">
        <v>854</v>
      </c>
      <c r="E3010" s="296"/>
      <c r="F3010" s="296"/>
      <c r="G3010" s="296"/>
      <c r="H3010" s="296">
        <v>60000</v>
      </c>
    </row>
    <row r="3011" spans="1:8" ht="18.75" customHeight="1">
      <c r="A3011" s="56"/>
      <c r="B3011" s="56"/>
      <c r="C3011" s="56"/>
      <c r="D3011" s="332" t="s">
        <v>1071</v>
      </c>
      <c r="E3011" s="296"/>
      <c r="F3011" s="296"/>
      <c r="G3011" s="296"/>
      <c r="H3011" s="296">
        <f>424000-419000</f>
        <v>5000</v>
      </c>
    </row>
    <row r="3012" spans="1:8" ht="25.5">
      <c r="A3012" s="56"/>
      <c r="B3012" s="56"/>
      <c r="C3012" s="201">
        <v>2820</v>
      </c>
      <c r="D3012" s="189" t="s">
        <v>303</v>
      </c>
      <c r="E3012" s="176"/>
      <c r="F3012" s="176"/>
      <c r="G3012" s="176"/>
      <c r="H3012" s="176">
        <f>SUM(H2994:H3011)</f>
        <v>910000</v>
      </c>
    </row>
    <row r="3013" spans="1:8" ht="18.75" customHeight="1">
      <c r="A3013" s="56"/>
      <c r="B3013" s="56"/>
      <c r="C3013" s="333">
        <v>3040</v>
      </c>
      <c r="D3013" s="333" t="s">
        <v>56</v>
      </c>
      <c r="E3013" s="268"/>
      <c r="F3013" s="268"/>
      <c r="G3013" s="268"/>
      <c r="H3013" s="268">
        <v>90000</v>
      </c>
    </row>
    <row r="3014" spans="1:8" ht="18.75" customHeight="1">
      <c r="A3014" s="56"/>
      <c r="B3014" s="56"/>
      <c r="C3014" s="201">
        <v>3250</v>
      </c>
      <c r="D3014" s="189" t="s">
        <v>245</v>
      </c>
      <c r="E3014" s="268"/>
      <c r="F3014" s="268"/>
      <c r="G3014" s="268"/>
      <c r="H3014" s="268">
        <f>500000+500000</f>
        <v>1000000</v>
      </c>
    </row>
    <row r="3015" spans="1:8" ht="19.5" customHeight="1">
      <c r="A3015" s="56"/>
      <c r="B3015" s="56"/>
      <c r="C3015" s="56"/>
      <c r="D3015" s="1081" t="s">
        <v>770</v>
      </c>
      <c r="E3015" s="1075"/>
      <c r="F3015" s="1075"/>
      <c r="G3015" s="1075"/>
      <c r="H3015" s="1075">
        <f>H3016+H3017+H3018</f>
        <v>639500</v>
      </c>
    </row>
    <row r="3016" spans="1:8" ht="19.5" customHeight="1">
      <c r="A3016" s="56"/>
      <c r="B3016" s="56"/>
      <c r="C3016" s="181">
        <v>4110</v>
      </c>
      <c r="D3016" s="189" t="s">
        <v>681</v>
      </c>
      <c r="E3016" s="173"/>
      <c r="F3016" s="173"/>
      <c r="G3016" s="173"/>
      <c r="H3016" s="173">
        <f>81391+15000</f>
        <v>96391</v>
      </c>
    </row>
    <row r="3017" spans="1:8" ht="19.5" customHeight="1">
      <c r="A3017" s="56"/>
      <c r="B3017" s="56"/>
      <c r="C3017" s="201">
        <v>4120</v>
      </c>
      <c r="D3017" s="189" t="s">
        <v>682</v>
      </c>
      <c r="E3017" s="232"/>
      <c r="F3017" s="232"/>
      <c r="G3017" s="232"/>
      <c r="H3017" s="232">
        <f>10955+2000</f>
        <v>12955</v>
      </c>
    </row>
    <row r="3018" spans="1:8" ht="19.5" customHeight="1">
      <c r="A3018" s="56"/>
      <c r="B3018" s="56"/>
      <c r="C3018" s="333">
        <v>4170</v>
      </c>
      <c r="D3018" s="333" t="s">
        <v>740</v>
      </c>
      <c r="E3018" s="232"/>
      <c r="F3018" s="232"/>
      <c r="G3018" s="232"/>
      <c r="H3018" s="232">
        <f>447154+83000</f>
        <v>530154</v>
      </c>
    </row>
    <row r="3019" spans="1:8" ht="20.25" customHeight="1">
      <c r="A3019" s="56"/>
      <c r="B3019" s="56"/>
      <c r="C3019" s="56"/>
      <c r="D3019" s="196" t="s">
        <v>94</v>
      </c>
      <c r="E3019" s="1075"/>
      <c r="F3019" s="1075"/>
      <c r="G3019" s="1075"/>
      <c r="H3019" s="1075">
        <f>H3026+H3027</f>
        <v>50000</v>
      </c>
    </row>
    <row r="3020" spans="1:8" ht="18.75" customHeight="1">
      <c r="A3020" s="56"/>
      <c r="B3020" s="56"/>
      <c r="C3020" s="56"/>
      <c r="D3020" s="248" t="s">
        <v>21</v>
      </c>
      <c r="E3020" s="249"/>
      <c r="F3020" s="249"/>
      <c r="G3020" s="249"/>
      <c r="H3020" s="249">
        <v>1800</v>
      </c>
    </row>
    <row r="3021" spans="1:8" ht="18.75" customHeight="1">
      <c r="A3021" s="56"/>
      <c r="B3021" s="56"/>
      <c r="C3021" s="56"/>
      <c r="D3021" s="332" t="s">
        <v>1148</v>
      </c>
      <c r="E3021" s="296"/>
      <c r="F3021" s="296"/>
      <c r="G3021" s="296"/>
      <c r="H3021" s="296">
        <v>5000</v>
      </c>
    </row>
    <row r="3022" spans="1:8" ht="18.75" customHeight="1">
      <c r="A3022" s="56"/>
      <c r="B3022" s="56"/>
      <c r="C3022" s="56"/>
      <c r="D3022" s="332" t="s">
        <v>1149</v>
      </c>
      <c r="E3022" s="296"/>
      <c r="F3022" s="296"/>
      <c r="G3022" s="296"/>
      <c r="H3022" s="296">
        <v>7000</v>
      </c>
    </row>
    <row r="3023" spans="1:8" ht="26.25" customHeight="1">
      <c r="A3023" s="56"/>
      <c r="B3023" s="56"/>
      <c r="C3023" s="56"/>
      <c r="D3023" s="332" t="s">
        <v>1010</v>
      </c>
      <c r="E3023" s="296"/>
      <c r="F3023" s="296"/>
      <c r="G3023" s="296"/>
      <c r="H3023" s="296">
        <v>6200</v>
      </c>
    </row>
    <row r="3024" spans="1:8" ht="27.75" customHeight="1">
      <c r="A3024" s="158"/>
      <c r="B3024" s="158"/>
      <c r="C3024" s="158"/>
      <c r="D3024" s="306" t="s">
        <v>602</v>
      </c>
      <c r="E3024" s="234"/>
      <c r="F3024" s="234"/>
      <c r="G3024" s="234"/>
      <c r="H3024" s="234">
        <v>5000</v>
      </c>
    </row>
    <row r="3025" spans="1:8" ht="25.5">
      <c r="A3025" s="193"/>
      <c r="B3025" s="193"/>
      <c r="C3025" s="193"/>
      <c r="D3025" s="1045" t="s">
        <v>1016</v>
      </c>
      <c r="E3025" s="180"/>
      <c r="F3025" s="180"/>
      <c r="G3025" s="180"/>
      <c r="H3025" s="180">
        <v>5000</v>
      </c>
    </row>
    <row r="3026" spans="1:8" ht="27" customHeight="1">
      <c r="A3026" s="56"/>
      <c r="B3026" s="56"/>
      <c r="C3026" s="201">
        <v>2820</v>
      </c>
      <c r="D3026" s="189" t="s">
        <v>303</v>
      </c>
      <c r="E3026" s="176"/>
      <c r="F3026" s="176"/>
      <c r="G3026" s="176"/>
      <c r="H3026" s="176">
        <f>H3020+H3021+H3022+H3023+H3024+H3025</f>
        <v>30000</v>
      </c>
    </row>
    <row r="3027" spans="1:8" ht="19.5" customHeight="1">
      <c r="A3027" s="56"/>
      <c r="B3027" s="56"/>
      <c r="C3027" s="181">
        <v>4300</v>
      </c>
      <c r="D3027" s="189" t="s">
        <v>815</v>
      </c>
      <c r="E3027" s="176"/>
      <c r="F3027" s="176"/>
      <c r="G3027" s="176"/>
      <c r="H3027" s="176">
        <v>20000</v>
      </c>
    </row>
    <row r="3028" spans="1:8" ht="19.5" customHeight="1">
      <c r="A3028" s="56"/>
      <c r="B3028" s="56"/>
      <c r="C3028" s="56"/>
      <c r="D3028" s="196" t="s">
        <v>95</v>
      </c>
      <c r="E3028" s="1075"/>
      <c r="F3028" s="1075"/>
      <c r="G3028" s="1075"/>
      <c r="H3028" s="1075">
        <f>H3029</f>
        <v>40000</v>
      </c>
    </row>
    <row r="3029" spans="1:8" ht="19.5" customHeight="1">
      <c r="A3029" s="56"/>
      <c r="B3029" s="56"/>
      <c r="C3029" s="181">
        <v>3040</v>
      </c>
      <c r="D3029" s="189" t="s">
        <v>56</v>
      </c>
      <c r="E3029" s="173"/>
      <c r="F3029" s="173"/>
      <c r="G3029" s="173"/>
      <c r="H3029" s="173">
        <v>40000</v>
      </c>
    </row>
    <row r="3030" spans="1:8" ht="22.5" customHeight="1">
      <c r="A3030" s="56"/>
      <c r="B3030" s="56"/>
      <c r="C3030" s="56"/>
      <c r="D3030" s="271" t="s">
        <v>206</v>
      </c>
      <c r="E3030" s="272"/>
      <c r="F3030" s="272">
        <f>F3031</f>
        <v>2500</v>
      </c>
      <c r="G3030" s="272"/>
      <c r="H3030" s="272">
        <f>H3040</f>
        <v>19186000</v>
      </c>
    </row>
    <row r="3031" spans="1:8" ht="22.5" customHeight="1" thickBot="1">
      <c r="A3031" s="158"/>
      <c r="B3031" s="158"/>
      <c r="C3031" s="158"/>
      <c r="D3031" s="159" t="s">
        <v>461</v>
      </c>
      <c r="E3031" s="160"/>
      <c r="F3031" s="160">
        <f>F3032+F3036</f>
        <v>2500</v>
      </c>
      <c r="G3031" s="160"/>
      <c r="H3031" s="160"/>
    </row>
    <row r="3032" spans="1:8" ht="24.75" customHeight="1" thickBot="1" thickTop="1">
      <c r="A3032" s="405">
        <v>700</v>
      </c>
      <c r="B3032" s="405"/>
      <c r="C3032" s="405"/>
      <c r="D3032" s="405" t="s">
        <v>433</v>
      </c>
      <c r="E3032" s="406"/>
      <c r="F3032" s="406">
        <f>F3033</f>
        <v>1500</v>
      </c>
      <c r="G3032" s="406"/>
      <c r="H3032" s="406"/>
    </row>
    <row r="3033" spans="1:8" s="174" customFormat="1" ht="19.5" customHeight="1">
      <c r="A3033" s="170"/>
      <c r="B3033" s="182">
        <v>70005</v>
      </c>
      <c r="C3033" s="182"/>
      <c r="D3033" s="182" t="s">
        <v>435</v>
      </c>
      <c r="E3033" s="183"/>
      <c r="F3033" s="183">
        <f>F3034</f>
        <v>1500</v>
      </c>
      <c r="G3033" s="183"/>
      <c r="H3033" s="183"/>
    </row>
    <row r="3034" spans="1:8" s="174" customFormat="1" ht="18" customHeight="1">
      <c r="A3034" s="170"/>
      <c r="B3034" s="170"/>
      <c r="C3034" s="170"/>
      <c r="D3034" s="186" t="s">
        <v>543</v>
      </c>
      <c r="E3034" s="169"/>
      <c r="F3034" s="169">
        <f>F3035</f>
        <v>1500</v>
      </c>
      <c r="G3034" s="212"/>
      <c r="H3034" s="212"/>
    </row>
    <row r="3035" spans="1:8" s="174" customFormat="1" ht="19.5" customHeight="1">
      <c r="A3035" s="181"/>
      <c r="B3035" s="188"/>
      <c r="C3035" s="188" t="s">
        <v>1064</v>
      </c>
      <c r="D3035" s="189" t="s">
        <v>882</v>
      </c>
      <c r="E3035" s="176"/>
      <c r="F3035" s="176">
        <v>1500</v>
      </c>
      <c r="G3035" s="176"/>
      <c r="H3035" s="176"/>
    </row>
    <row r="3036" spans="1:8" ht="21.75" customHeight="1" thickBot="1">
      <c r="A3036" s="405">
        <v>852</v>
      </c>
      <c r="B3036" s="405"/>
      <c r="C3036" s="405"/>
      <c r="D3036" s="426" t="s">
        <v>129</v>
      </c>
      <c r="E3036" s="406"/>
      <c r="F3036" s="406">
        <f>F3037</f>
        <v>1000</v>
      </c>
      <c r="G3036" s="406"/>
      <c r="H3036" s="406"/>
    </row>
    <row r="3037" spans="1:8" ht="24.75" customHeight="1">
      <c r="A3037" s="55"/>
      <c r="B3037" s="165">
        <v>85215</v>
      </c>
      <c r="C3037" s="165"/>
      <c r="D3037" s="213" t="s">
        <v>615</v>
      </c>
      <c r="E3037" s="214"/>
      <c r="F3037" s="214">
        <f>F3038</f>
        <v>1000</v>
      </c>
      <c r="G3037" s="214"/>
      <c r="H3037" s="214"/>
    </row>
    <row r="3038" spans="1:8" ht="19.5" customHeight="1">
      <c r="A3038" s="56"/>
      <c r="B3038" s="1076"/>
      <c r="C3038" s="1077"/>
      <c r="D3038" s="195" t="s">
        <v>283</v>
      </c>
      <c r="E3038" s="169"/>
      <c r="F3038" s="169">
        <f>F3039</f>
        <v>1000</v>
      </c>
      <c r="G3038" s="169"/>
      <c r="H3038" s="169"/>
    </row>
    <row r="3039" spans="1:8" ht="19.5" customHeight="1">
      <c r="A3039" s="170"/>
      <c r="B3039" s="170"/>
      <c r="C3039" s="76" t="s">
        <v>1064</v>
      </c>
      <c r="D3039" s="77" t="s">
        <v>882</v>
      </c>
      <c r="E3039" s="190"/>
      <c r="F3039" s="190">
        <v>1000</v>
      </c>
      <c r="G3039" s="190"/>
      <c r="H3039" s="190"/>
    </row>
    <row r="3040" spans="1:8" ht="21" customHeight="1" thickBot="1">
      <c r="A3040" s="158"/>
      <c r="B3040" s="158"/>
      <c r="C3040" s="1078"/>
      <c r="D3040" s="349" t="s">
        <v>646</v>
      </c>
      <c r="E3040" s="267"/>
      <c r="F3040" s="267"/>
      <c r="G3040" s="267"/>
      <c r="H3040" s="267">
        <f>H3041+H3050</f>
        <v>19186000</v>
      </c>
    </row>
    <row r="3041" spans="1:8" s="1" customFormat="1" ht="19.5" customHeight="1" thickBot="1" thickTop="1">
      <c r="A3041" s="394">
        <v>700</v>
      </c>
      <c r="B3041" s="394"/>
      <c r="C3041" s="394"/>
      <c r="D3041" s="394" t="s">
        <v>433</v>
      </c>
      <c r="E3041" s="377"/>
      <c r="F3041" s="377"/>
      <c r="G3041" s="377"/>
      <c r="H3041" s="377">
        <f>H3042</f>
        <v>186000</v>
      </c>
    </row>
    <row r="3042" spans="1:8" ht="19.5" customHeight="1">
      <c r="A3042" s="86"/>
      <c r="B3042" s="25">
        <v>70004</v>
      </c>
      <c r="C3042" s="146"/>
      <c r="D3042" s="67" t="s">
        <v>190</v>
      </c>
      <c r="E3042" s="4"/>
      <c r="F3042" s="4"/>
      <c r="G3042" s="4"/>
      <c r="H3042" s="4">
        <f>H3043+H3045+H3047</f>
        <v>186000</v>
      </c>
    </row>
    <row r="3043" spans="1:8" ht="19.5" customHeight="1">
      <c r="A3043" s="86"/>
      <c r="B3043" s="86"/>
      <c r="C3043" s="86"/>
      <c r="D3043" s="87" t="s">
        <v>274</v>
      </c>
      <c r="E3043" s="17"/>
      <c r="F3043" s="17"/>
      <c r="G3043" s="17"/>
      <c r="H3043" s="17">
        <f>H3044</f>
        <v>100000</v>
      </c>
    </row>
    <row r="3044" spans="1:8" ht="19.5" customHeight="1">
      <c r="A3044" s="86"/>
      <c r="B3044" s="86"/>
      <c r="C3044" s="22">
        <v>4300</v>
      </c>
      <c r="D3044" s="22" t="s">
        <v>815</v>
      </c>
      <c r="E3044" s="6"/>
      <c r="F3044" s="6"/>
      <c r="G3044" s="6"/>
      <c r="H3044" s="6">
        <v>100000</v>
      </c>
    </row>
    <row r="3045" spans="1:8" ht="28.5" customHeight="1">
      <c r="A3045" s="86"/>
      <c r="B3045" s="86"/>
      <c r="C3045" s="86"/>
      <c r="D3045" s="16" t="s">
        <v>408</v>
      </c>
      <c r="E3045" s="17"/>
      <c r="F3045" s="17"/>
      <c r="G3045" s="17"/>
      <c r="H3045" s="17">
        <f>H3046</f>
        <v>26000</v>
      </c>
    </row>
    <row r="3046" spans="1:8" ht="19.5" customHeight="1">
      <c r="A3046" s="86"/>
      <c r="B3046" s="86"/>
      <c r="C3046" s="22">
        <v>4300</v>
      </c>
      <c r="D3046" s="22" t="s">
        <v>815</v>
      </c>
      <c r="E3046" s="6"/>
      <c r="F3046" s="6"/>
      <c r="G3046" s="6"/>
      <c r="H3046" s="6">
        <v>26000</v>
      </c>
    </row>
    <row r="3047" spans="1:8" s="1" customFormat="1" ht="19.5" customHeight="1">
      <c r="A3047" s="86"/>
      <c r="B3047" s="86"/>
      <c r="C3047" s="86"/>
      <c r="D3047" s="87" t="s">
        <v>394</v>
      </c>
      <c r="E3047" s="236"/>
      <c r="F3047" s="236"/>
      <c r="G3047" s="17"/>
      <c r="H3047" s="17">
        <f>SUM(H3048:H3049)</f>
        <v>60000</v>
      </c>
    </row>
    <row r="3048" spans="1:8" s="1" customFormat="1" ht="19.5" customHeight="1">
      <c r="A3048" s="86"/>
      <c r="B3048" s="86"/>
      <c r="C3048" s="22">
        <v>4590</v>
      </c>
      <c r="D3048" s="22" t="s">
        <v>1003</v>
      </c>
      <c r="E3048" s="342"/>
      <c r="F3048" s="342"/>
      <c r="G3048" s="88"/>
      <c r="H3048" s="88">
        <v>35000</v>
      </c>
    </row>
    <row r="3049" spans="1:8" s="1" customFormat="1" ht="25.5">
      <c r="A3049" s="107"/>
      <c r="B3049" s="107"/>
      <c r="C3049" s="144">
        <v>4600</v>
      </c>
      <c r="D3049" s="252" t="s">
        <v>928</v>
      </c>
      <c r="E3049" s="343"/>
      <c r="F3049" s="343"/>
      <c r="G3049" s="6"/>
      <c r="H3049" s="6">
        <v>25000</v>
      </c>
    </row>
    <row r="3050" spans="1:8" s="1" customFormat="1" ht="23.25" customHeight="1" thickBot="1">
      <c r="A3050" s="394">
        <v>852</v>
      </c>
      <c r="B3050" s="394"/>
      <c r="C3050" s="409"/>
      <c r="D3050" s="395" t="s">
        <v>129</v>
      </c>
      <c r="E3050" s="377"/>
      <c r="F3050" s="377"/>
      <c r="G3050" s="377"/>
      <c r="H3050" s="377">
        <f>H3051</f>
        <v>19000000</v>
      </c>
    </row>
    <row r="3051" spans="1:8" s="1" customFormat="1" ht="19.5" customHeight="1">
      <c r="A3051" s="86"/>
      <c r="B3051" s="3">
        <v>85215</v>
      </c>
      <c r="C3051" s="3"/>
      <c r="D3051" s="3" t="s">
        <v>615</v>
      </c>
      <c r="E3051" s="4"/>
      <c r="F3051" s="4"/>
      <c r="G3051" s="4"/>
      <c r="H3051" s="4">
        <f>H3052</f>
        <v>19000000</v>
      </c>
    </row>
    <row r="3052" spans="1:8" s="1" customFormat="1" ht="19.5" customHeight="1">
      <c r="A3052" s="86"/>
      <c r="B3052" s="86"/>
      <c r="C3052" s="86"/>
      <c r="D3052" s="87" t="s">
        <v>292</v>
      </c>
      <c r="E3052" s="17"/>
      <c r="F3052" s="17"/>
      <c r="G3052" s="17"/>
      <c r="H3052" s="17">
        <f>H3053</f>
        <v>19000000</v>
      </c>
    </row>
    <row r="3053" spans="1:8" s="1" customFormat="1" ht="19.5" customHeight="1">
      <c r="A3053" s="86"/>
      <c r="B3053" s="86"/>
      <c r="C3053" s="22">
        <v>3110</v>
      </c>
      <c r="D3053" s="22" t="s">
        <v>301</v>
      </c>
      <c r="E3053" s="6"/>
      <c r="F3053" s="6"/>
      <c r="G3053" s="6"/>
      <c r="H3053" s="6">
        <v>19000000</v>
      </c>
    </row>
    <row r="3054" spans="1:8" ht="20.25" customHeight="1">
      <c r="A3054" s="56"/>
      <c r="B3054" s="56"/>
      <c r="C3054" s="56"/>
      <c r="D3054" s="271" t="s">
        <v>207</v>
      </c>
      <c r="E3054" s="272"/>
      <c r="F3054" s="272">
        <f>F3055</f>
        <v>25000</v>
      </c>
      <c r="G3054" s="272"/>
      <c r="H3054" s="272">
        <f>H3060+H3216</f>
        <v>6024315</v>
      </c>
    </row>
    <row r="3055" spans="1:8" s="8" customFormat="1" ht="21" customHeight="1" thickBot="1">
      <c r="A3055" s="18"/>
      <c r="B3055" s="92"/>
      <c r="C3055" s="92"/>
      <c r="D3055" s="84" t="s">
        <v>101</v>
      </c>
      <c r="E3055" s="85"/>
      <c r="F3055" s="85">
        <f>F3056</f>
        <v>25000</v>
      </c>
      <c r="G3055" s="85"/>
      <c r="H3055" s="85"/>
    </row>
    <row r="3056" spans="1:8" s="8" customFormat="1" ht="27" thickBot="1" thickTop="1">
      <c r="A3056" s="287">
        <v>756</v>
      </c>
      <c r="B3056" s="395"/>
      <c r="C3056" s="395"/>
      <c r="D3056" s="429" t="s">
        <v>380</v>
      </c>
      <c r="E3056" s="388"/>
      <c r="F3056" s="388">
        <f>F3057</f>
        <v>25000</v>
      </c>
      <c r="G3056" s="388"/>
      <c r="H3056" s="388"/>
    </row>
    <row r="3057" spans="1:8" s="8" customFormat="1" ht="25.5">
      <c r="A3057" s="215"/>
      <c r="B3057" s="67">
        <v>75618</v>
      </c>
      <c r="C3057" s="67"/>
      <c r="D3057" s="216" t="s">
        <v>989</v>
      </c>
      <c r="E3057" s="34"/>
      <c r="F3057" s="34">
        <f>F3058</f>
        <v>25000</v>
      </c>
      <c r="G3057" s="34"/>
      <c r="H3057" s="34"/>
    </row>
    <row r="3058" spans="1:8" s="8" customFormat="1" ht="19.5" customHeight="1">
      <c r="A3058" s="217"/>
      <c r="B3058" s="218"/>
      <c r="C3058" s="219"/>
      <c r="D3058" s="74" t="s">
        <v>579</v>
      </c>
      <c r="E3058" s="96"/>
      <c r="F3058" s="96">
        <f>F3059</f>
        <v>25000</v>
      </c>
      <c r="G3058" s="96"/>
      <c r="H3058" s="96"/>
    </row>
    <row r="3059" spans="1:8" s="8" customFormat="1" ht="19.5" customHeight="1">
      <c r="A3059" s="220"/>
      <c r="B3059" s="221"/>
      <c r="C3059" s="92" t="s">
        <v>728</v>
      </c>
      <c r="D3059" s="354" t="s">
        <v>512</v>
      </c>
      <c r="E3059" s="353"/>
      <c r="F3059" s="353">
        <v>25000</v>
      </c>
      <c r="G3059" s="353"/>
      <c r="H3059" s="353"/>
    </row>
    <row r="3060" spans="1:8" ht="21" customHeight="1" thickBot="1">
      <c r="A3060" s="158"/>
      <c r="B3060" s="158"/>
      <c r="C3060" s="1078"/>
      <c r="D3060" s="349" t="s">
        <v>646</v>
      </c>
      <c r="E3060" s="267"/>
      <c r="F3060" s="267"/>
      <c r="G3060" s="267"/>
      <c r="H3060" s="267">
        <f>H3061+H3198+H3206</f>
        <v>5496315</v>
      </c>
    </row>
    <row r="3061" spans="1:8" s="1" customFormat="1" ht="19.5" customHeight="1" thickBot="1" thickTop="1">
      <c r="A3061" s="394">
        <v>851</v>
      </c>
      <c r="B3061" s="394"/>
      <c r="C3061" s="394"/>
      <c r="D3061" s="394" t="s">
        <v>106</v>
      </c>
      <c r="E3061" s="377"/>
      <c r="F3061" s="377"/>
      <c r="G3061" s="377"/>
      <c r="H3061" s="377">
        <f>H3062+H3068+H3071+H3099+H3193</f>
        <v>3718886</v>
      </c>
    </row>
    <row r="3062" spans="1:8" s="1" customFormat="1" ht="19.5" customHeight="1">
      <c r="A3062" s="2"/>
      <c r="B3062" s="3">
        <v>85121</v>
      </c>
      <c r="C3062" s="45"/>
      <c r="D3062" s="67" t="s">
        <v>105</v>
      </c>
      <c r="E3062" s="4"/>
      <c r="F3062" s="4"/>
      <c r="G3062" s="4"/>
      <c r="H3062" s="4">
        <f>H3063+H3066</f>
        <v>660000</v>
      </c>
    </row>
    <row r="3063" spans="1:8" s="1" customFormat="1" ht="19.5" customHeight="1">
      <c r="A3063" s="86"/>
      <c r="B3063" s="86"/>
      <c r="C3063" s="18"/>
      <c r="D3063" s="316" t="s">
        <v>771</v>
      </c>
      <c r="E3063" s="66"/>
      <c r="F3063" s="66"/>
      <c r="G3063" s="66"/>
      <c r="H3063" s="66">
        <f>H3064+H3065</f>
        <v>50000</v>
      </c>
    </row>
    <row r="3064" spans="1:8" s="1" customFormat="1" ht="18.75" customHeight="1">
      <c r="A3064" s="18"/>
      <c r="B3064" s="18"/>
      <c r="C3064" s="22">
        <v>3020</v>
      </c>
      <c r="D3064" s="20" t="s">
        <v>639</v>
      </c>
      <c r="E3064" s="228"/>
      <c r="F3064" s="228"/>
      <c r="G3064" s="228"/>
      <c r="H3064" s="228">
        <v>44585</v>
      </c>
    </row>
    <row r="3065" spans="1:8" s="1" customFormat="1" ht="25.5">
      <c r="A3065" s="18"/>
      <c r="B3065" s="18"/>
      <c r="C3065" s="22">
        <v>4600</v>
      </c>
      <c r="D3065" s="20" t="s">
        <v>928</v>
      </c>
      <c r="E3065" s="6"/>
      <c r="F3065" s="6"/>
      <c r="G3065" s="6"/>
      <c r="H3065" s="6">
        <v>5415</v>
      </c>
    </row>
    <row r="3066" spans="1:8" s="1" customFormat="1" ht="19.5" customHeight="1">
      <c r="A3066" s="86"/>
      <c r="B3066" s="86"/>
      <c r="C3066" s="18"/>
      <c r="D3066" s="316" t="s">
        <v>62</v>
      </c>
      <c r="E3066" s="66"/>
      <c r="F3066" s="66"/>
      <c r="G3066" s="66"/>
      <c r="H3066" s="66">
        <f>H3067</f>
        <v>610000</v>
      </c>
    </row>
    <row r="3067" spans="1:8" s="1" customFormat="1" ht="18.75" customHeight="1">
      <c r="A3067" s="18"/>
      <c r="B3067" s="22"/>
      <c r="C3067" s="22">
        <v>4280</v>
      </c>
      <c r="D3067" s="20" t="s">
        <v>304</v>
      </c>
      <c r="E3067" s="228"/>
      <c r="F3067" s="228"/>
      <c r="G3067" s="228"/>
      <c r="H3067" s="228">
        <v>610000</v>
      </c>
    </row>
    <row r="3068" spans="1:8" s="1" customFormat="1" ht="18.75" customHeight="1">
      <c r="A3068" s="2"/>
      <c r="B3068" s="3">
        <v>85131</v>
      </c>
      <c r="C3068" s="45"/>
      <c r="D3068" s="67" t="s">
        <v>422</v>
      </c>
      <c r="E3068" s="4"/>
      <c r="F3068" s="4"/>
      <c r="G3068" s="4"/>
      <c r="H3068" s="4">
        <f>H3069</f>
        <v>800000</v>
      </c>
    </row>
    <row r="3069" spans="1:8" s="1" customFormat="1" ht="18.75" customHeight="1">
      <c r="A3069" s="86"/>
      <c r="B3069" s="122"/>
      <c r="C3069" s="128"/>
      <c r="D3069" s="348" t="s">
        <v>723</v>
      </c>
      <c r="E3069" s="66"/>
      <c r="F3069" s="66"/>
      <c r="G3069" s="66"/>
      <c r="H3069" s="66">
        <f>H3070</f>
        <v>800000</v>
      </c>
    </row>
    <row r="3070" spans="1:8" s="1" customFormat="1" ht="18.75" customHeight="1">
      <c r="A3070" s="86"/>
      <c r="B3070" s="107"/>
      <c r="C3070" s="22">
        <v>4280</v>
      </c>
      <c r="D3070" s="147" t="s">
        <v>304</v>
      </c>
      <c r="E3070" s="228"/>
      <c r="F3070" s="228"/>
      <c r="G3070" s="228"/>
      <c r="H3070" s="228">
        <v>800000</v>
      </c>
    </row>
    <row r="3071" spans="1:8" s="1" customFormat="1" ht="19.5" customHeight="1">
      <c r="A3071" s="86"/>
      <c r="B3071" s="13">
        <v>85153</v>
      </c>
      <c r="C3071" s="13"/>
      <c r="D3071" s="13" t="s">
        <v>694</v>
      </c>
      <c r="E3071" s="15"/>
      <c r="F3071" s="15"/>
      <c r="G3071" s="15"/>
      <c r="H3071" s="15">
        <f>H3072</f>
        <v>195000</v>
      </c>
    </row>
    <row r="3072" spans="1:8" s="1" customFormat="1" ht="19.5" customHeight="1">
      <c r="A3072" s="277"/>
      <c r="B3072" s="292"/>
      <c r="C3072" s="122"/>
      <c r="D3072" s="16" t="s">
        <v>467</v>
      </c>
      <c r="E3072" s="17"/>
      <c r="F3072" s="17"/>
      <c r="G3072" s="17"/>
      <c r="H3072" s="17">
        <f>H3073+H3080+H3090+H3094</f>
        <v>195000</v>
      </c>
    </row>
    <row r="3073" spans="1:8" s="1" customFormat="1" ht="25.5">
      <c r="A3073" s="277"/>
      <c r="B3073" s="277"/>
      <c r="C3073" s="86"/>
      <c r="D3073" s="288" t="s">
        <v>468</v>
      </c>
      <c r="E3073" s="289"/>
      <c r="F3073" s="289"/>
      <c r="G3073" s="289"/>
      <c r="H3073" s="289">
        <f>H3075+H3077+H3078+H3079</f>
        <v>90000</v>
      </c>
    </row>
    <row r="3074" spans="1:8" s="1" customFormat="1" ht="19.5" customHeight="1">
      <c r="A3074" s="277"/>
      <c r="B3074" s="277"/>
      <c r="C3074" s="86"/>
      <c r="D3074" s="372" t="s">
        <v>537</v>
      </c>
      <c r="E3074" s="373"/>
      <c r="F3074" s="373"/>
      <c r="G3074" s="373"/>
      <c r="H3074" s="373">
        <v>30000</v>
      </c>
    </row>
    <row r="3075" spans="1:8" s="8" customFormat="1" ht="25.5" customHeight="1">
      <c r="A3075" s="291"/>
      <c r="B3075" s="291"/>
      <c r="C3075" s="22">
        <v>2820</v>
      </c>
      <c r="D3075" s="20" t="s">
        <v>303</v>
      </c>
      <c r="E3075" s="6"/>
      <c r="F3075" s="6"/>
      <c r="G3075" s="6"/>
      <c r="H3075" s="6">
        <f>H3074</f>
        <v>30000</v>
      </c>
    </row>
    <row r="3076" spans="1:8" s="8" customFormat="1" ht="18.75" customHeight="1">
      <c r="A3076" s="128"/>
      <c r="B3076" s="128"/>
      <c r="C3076" s="128"/>
      <c r="D3076" s="293" t="s">
        <v>735</v>
      </c>
      <c r="E3076" s="178"/>
      <c r="F3076" s="178"/>
      <c r="G3076" s="178"/>
      <c r="H3076" s="178">
        <v>8000</v>
      </c>
    </row>
    <row r="3077" spans="1:8" s="1" customFormat="1" ht="25.5">
      <c r="A3077" s="277"/>
      <c r="B3077" s="277"/>
      <c r="C3077" s="237">
        <v>2830</v>
      </c>
      <c r="D3077" s="20" t="s">
        <v>278</v>
      </c>
      <c r="E3077" s="6"/>
      <c r="F3077" s="6"/>
      <c r="G3077" s="6"/>
      <c r="H3077" s="6">
        <f>H3076</f>
        <v>8000</v>
      </c>
    </row>
    <row r="3078" spans="1:8" s="8" customFormat="1" ht="18.75" customHeight="1">
      <c r="A3078" s="18"/>
      <c r="B3078" s="18"/>
      <c r="C3078" s="22">
        <v>4280</v>
      </c>
      <c r="D3078" s="20" t="s">
        <v>304</v>
      </c>
      <c r="E3078" s="6"/>
      <c r="F3078" s="6"/>
      <c r="G3078" s="6"/>
      <c r="H3078" s="6">
        <v>36000</v>
      </c>
    </row>
    <row r="3079" spans="1:8" s="8" customFormat="1" ht="20.25" customHeight="1">
      <c r="A3079" s="277"/>
      <c r="B3079" s="277"/>
      <c r="C3079" s="22">
        <v>4300</v>
      </c>
      <c r="D3079" s="22" t="s">
        <v>815</v>
      </c>
      <c r="E3079" s="6"/>
      <c r="F3079" s="6"/>
      <c r="G3079" s="6"/>
      <c r="H3079" s="6">
        <v>16000</v>
      </c>
    </row>
    <row r="3080" spans="1:8" s="8" customFormat="1" ht="25.5">
      <c r="A3080" s="277"/>
      <c r="B3080" s="277"/>
      <c r="C3080" s="86"/>
      <c r="D3080" s="273" t="s">
        <v>895</v>
      </c>
      <c r="E3080" s="274"/>
      <c r="F3080" s="274"/>
      <c r="G3080" s="274"/>
      <c r="H3080" s="274">
        <f>H3082+H3085+H3086+H3087+H3088+H3089</f>
        <v>74900</v>
      </c>
    </row>
    <row r="3081" spans="1:8" s="8" customFormat="1" ht="25.5">
      <c r="A3081" s="18"/>
      <c r="B3081" s="18"/>
      <c r="C3081" s="18"/>
      <c r="D3081" s="290" t="s">
        <v>50</v>
      </c>
      <c r="E3081" s="231"/>
      <c r="F3081" s="231"/>
      <c r="G3081" s="231"/>
      <c r="H3081" s="231">
        <v>25000</v>
      </c>
    </row>
    <row r="3082" spans="1:8" s="8" customFormat="1" ht="25.5" customHeight="1">
      <c r="A3082" s="277"/>
      <c r="B3082" s="277"/>
      <c r="C3082" s="18">
        <v>2810</v>
      </c>
      <c r="D3082" s="221" t="s">
        <v>279</v>
      </c>
      <c r="E3082" s="279"/>
      <c r="F3082" s="279"/>
      <c r="G3082" s="279"/>
      <c r="H3082" s="279">
        <f>H3081</f>
        <v>25000</v>
      </c>
    </row>
    <row r="3083" spans="1:8" s="8" customFormat="1" ht="18.75" customHeight="1">
      <c r="A3083" s="18"/>
      <c r="B3083" s="18"/>
      <c r="C3083" s="128"/>
      <c r="D3083" s="293" t="s">
        <v>469</v>
      </c>
      <c r="E3083" s="178"/>
      <c r="F3083" s="178"/>
      <c r="G3083" s="178"/>
      <c r="H3083" s="178">
        <v>30000</v>
      </c>
    </row>
    <row r="3084" spans="1:8" s="1" customFormat="1" ht="19.5" customHeight="1">
      <c r="A3084" s="277"/>
      <c r="B3084" s="277"/>
      <c r="C3084" s="86"/>
      <c r="D3084" s="290" t="s">
        <v>580</v>
      </c>
      <c r="E3084" s="231"/>
      <c r="F3084" s="231"/>
      <c r="G3084" s="231"/>
      <c r="H3084" s="231">
        <v>10000</v>
      </c>
    </row>
    <row r="3085" spans="1:8" s="1" customFormat="1" ht="26.25" customHeight="1">
      <c r="A3085" s="277"/>
      <c r="B3085" s="277"/>
      <c r="C3085" s="22">
        <v>2820</v>
      </c>
      <c r="D3085" s="238" t="s">
        <v>303</v>
      </c>
      <c r="E3085" s="228"/>
      <c r="F3085" s="228"/>
      <c r="G3085" s="228"/>
      <c r="H3085" s="228">
        <f>SUM(H3083:H3084)</f>
        <v>40000</v>
      </c>
    </row>
    <row r="3086" spans="1:8" s="1" customFormat="1" ht="19.5" customHeight="1">
      <c r="A3086" s="277"/>
      <c r="B3086" s="277"/>
      <c r="C3086" s="22">
        <v>4110</v>
      </c>
      <c r="D3086" s="20" t="s">
        <v>681</v>
      </c>
      <c r="E3086" s="6"/>
      <c r="F3086" s="6"/>
      <c r="G3086" s="6"/>
      <c r="H3086" s="6">
        <v>150</v>
      </c>
    </row>
    <row r="3087" spans="1:8" s="1" customFormat="1" ht="19.5" customHeight="1">
      <c r="A3087" s="277"/>
      <c r="B3087" s="277"/>
      <c r="C3087" s="22">
        <v>4120</v>
      </c>
      <c r="D3087" s="20" t="s">
        <v>682</v>
      </c>
      <c r="E3087" s="6"/>
      <c r="F3087" s="6"/>
      <c r="G3087" s="6"/>
      <c r="H3087" s="6">
        <v>50</v>
      </c>
    </row>
    <row r="3088" spans="1:8" s="1" customFormat="1" ht="19.5" customHeight="1">
      <c r="A3088" s="277"/>
      <c r="B3088" s="277"/>
      <c r="C3088" s="237">
        <v>4170</v>
      </c>
      <c r="D3088" s="20" t="s">
        <v>740</v>
      </c>
      <c r="E3088" s="6"/>
      <c r="F3088" s="6"/>
      <c r="G3088" s="6"/>
      <c r="H3088" s="6">
        <f>5000-100</f>
        <v>4900</v>
      </c>
    </row>
    <row r="3089" spans="1:8" s="8" customFormat="1" ht="19.5" customHeight="1">
      <c r="A3089" s="277"/>
      <c r="B3089" s="277"/>
      <c r="C3089" s="144">
        <v>4300</v>
      </c>
      <c r="D3089" s="252" t="s">
        <v>815</v>
      </c>
      <c r="E3089" s="65"/>
      <c r="F3089" s="65"/>
      <c r="G3089" s="65"/>
      <c r="H3089" s="65">
        <v>4800</v>
      </c>
    </row>
    <row r="3090" spans="1:8" s="8" customFormat="1" ht="38.25">
      <c r="A3090" s="277"/>
      <c r="B3090" s="277"/>
      <c r="C3090" s="128"/>
      <c r="D3090" s="273" t="s">
        <v>896</v>
      </c>
      <c r="E3090" s="274"/>
      <c r="F3090" s="274"/>
      <c r="G3090" s="274"/>
      <c r="H3090" s="274">
        <f>H3092+H3093</f>
        <v>12100</v>
      </c>
    </row>
    <row r="3091" spans="1:8" s="8" customFormat="1" ht="20.25" customHeight="1">
      <c r="A3091" s="277"/>
      <c r="B3091" s="277"/>
      <c r="C3091" s="18"/>
      <c r="D3091" s="290" t="s">
        <v>580</v>
      </c>
      <c r="E3091" s="357"/>
      <c r="F3091" s="357"/>
      <c r="G3091" s="358"/>
      <c r="H3091" s="358">
        <v>12000</v>
      </c>
    </row>
    <row r="3092" spans="1:8" s="8" customFormat="1" ht="25.5">
      <c r="A3092" s="277"/>
      <c r="B3092" s="277"/>
      <c r="C3092" s="22">
        <v>2820</v>
      </c>
      <c r="D3092" s="20" t="s">
        <v>303</v>
      </c>
      <c r="E3092" s="6"/>
      <c r="F3092" s="6"/>
      <c r="G3092" s="6"/>
      <c r="H3092" s="6">
        <f>H3091</f>
        <v>12000</v>
      </c>
    </row>
    <row r="3093" spans="1:8" s="1" customFormat="1" ht="19.5" customHeight="1">
      <c r="A3093" s="277"/>
      <c r="B3093" s="277"/>
      <c r="C3093" s="237">
        <v>4170</v>
      </c>
      <c r="D3093" s="20" t="s">
        <v>740</v>
      </c>
      <c r="E3093" s="6"/>
      <c r="F3093" s="6"/>
      <c r="G3093" s="6"/>
      <c r="H3093" s="6">
        <v>100</v>
      </c>
    </row>
    <row r="3094" spans="1:8" s="8" customFormat="1" ht="18" customHeight="1">
      <c r="A3094" s="277"/>
      <c r="B3094" s="277"/>
      <c r="C3094" s="128"/>
      <c r="D3094" s="273" t="s">
        <v>1040</v>
      </c>
      <c r="E3094" s="274"/>
      <c r="F3094" s="274"/>
      <c r="G3094" s="274"/>
      <c r="H3094" s="274">
        <f>SUM(H3095:H3098)</f>
        <v>18000</v>
      </c>
    </row>
    <row r="3095" spans="1:8" s="8" customFormat="1" ht="19.5" customHeight="1">
      <c r="A3095" s="277"/>
      <c r="B3095" s="277"/>
      <c r="C3095" s="22">
        <v>4210</v>
      </c>
      <c r="D3095" s="20" t="s">
        <v>748</v>
      </c>
      <c r="E3095" s="6"/>
      <c r="F3095" s="6"/>
      <c r="G3095" s="6"/>
      <c r="H3095" s="6">
        <v>12000</v>
      </c>
    </row>
    <row r="3096" spans="1:8" s="8" customFormat="1" ht="19.5" customHeight="1">
      <c r="A3096" s="277"/>
      <c r="B3096" s="277"/>
      <c r="C3096" s="22">
        <v>4300</v>
      </c>
      <c r="D3096" s="20" t="s">
        <v>815</v>
      </c>
      <c r="E3096" s="6"/>
      <c r="F3096" s="6"/>
      <c r="G3096" s="6"/>
      <c r="H3096" s="6">
        <v>4000</v>
      </c>
    </row>
    <row r="3097" spans="1:8" s="8" customFormat="1" ht="19.5" customHeight="1">
      <c r="A3097" s="277"/>
      <c r="B3097" s="277"/>
      <c r="C3097" s="22">
        <v>4410</v>
      </c>
      <c r="D3097" s="20" t="s">
        <v>749</v>
      </c>
      <c r="E3097" s="6"/>
      <c r="F3097" s="6"/>
      <c r="G3097" s="6"/>
      <c r="H3097" s="6">
        <v>1000</v>
      </c>
    </row>
    <row r="3098" spans="1:8" s="8" customFormat="1" ht="19.5" customHeight="1">
      <c r="A3098" s="277"/>
      <c r="B3098" s="291"/>
      <c r="C3098" s="22">
        <v>4700</v>
      </c>
      <c r="D3098" s="20" t="s">
        <v>312</v>
      </c>
      <c r="E3098" s="6"/>
      <c r="F3098" s="6"/>
      <c r="G3098" s="6"/>
      <c r="H3098" s="6">
        <v>1000</v>
      </c>
    </row>
    <row r="3099" spans="1:8" s="1" customFormat="1" ht="19.5" customHeight="1">
      <c r="A3099" s="86"/>
      <c r="B3099" s="3">
        <v>85154</v>
      </c>
      <c r="C3099" s="3"/>
      <c r="D3099" s="3" t="s">
        <v>124</v>
      </c>
      <c r="E3099" s="4"/>
      <c r="F3099" s="4"/>
      <c r="G3099" s="4"/>
      <c r="H3099" s="4">
        <f>H3100</f>
        <v>1933886</v>
      </c>
    </row>
    <row r="3100" spans="1:8" s="1" customFormat="1" ht="19.5" customHeight="1">
      <c r="A3100" s="107"/>
      <c r="B3100" s="1024"/>
      <c r="C3100" s="1024"/>
      <c r="D3100" s="1065" t="s">
        <v>470</v>
      </c>
      <c r="E3100" s="1046"/>
      <c r="F3100" s="1046"/>
      <c r="G3100" s="1046"/>
      <c r="H3100" s="1046">
        <f>H3101+H3111+H3126+H3172+H3183</f>
        <v>1933886</v>
      </c>
    </row>
    <row r="3101" spans="1:8" s="1" customFormat="1" ht="26.25" customHeight="1">
      <c r="A3101" s="122"/>
      <c r="B3101" s="122"/>
      <c r="C3101" s="122"/>
      <c r="D3101" s="273" t="s">
        <v>67</v>
      </c>
      <c r="E3101" s="274"/>
      <c r="F3101" s="274"/>
      <c r="G3101" s="274"/>
      <c r="H3101" s="274">
        <f>H3108+H3109+H3110+H3103</f>
        <v>216400</v>
      </c>
    </row>
    <row r="3102" spans="1:8" s="1" customFormat="1" ht="26.25" customHeight="1">
      <c r="A3102" s="86"/>
      <c r="B3102" s="86"/>
      <c r="C3102" s="86"/>
      <c r="D3102" s="372" t="s">
        <v>87</v>
      </c>
      <c r="E3102" s="373"/>
      <c r="F3102" s="373"/>
      <c r="G3102" s="373"/>
      <c r="H3102" s="373">
        <v>15000</v>
      </c>
    </row>
    <row r="3103" spans="1:8" s="8" customFormat="1" ht="29.25" customHeight="1">
      <c r="A3103" s="18"/>
      <c r="B3103" s="18"/>
      <c r="C3103" s="22">
        <v>2560</v>
      </c>
      <c r="D3103" s="238" t="s">
        <v>792</v>
      </c>
      <c r="E3103" s="900"/>
      <c r="F3103" s="900"/>
      <c r="G3103" s="900"/>
      <c r="H3103" s="228">
        <f>H3102</f>
        <v>15000</v>
      </c>
    </row>
    <row r="3104" spans="1:8" s="1" customFormat="1" ht="26.25" customHeight="1">
      <c r="A3104" s="86"/>
      <c r="B3104" s="86"/>
      <c r="C3104" s="86"/>
      <c r="D3104" s="453" t="s">
        <v>538</v>
      </c>
      <c r="E3104" s="454"/>
      <c r="F3104" s="454"/>
      <c r="G3104" s="454"/>
      <c r="H3104" s="454">
        <v>68000</v>
      </c>
    </row>
    <row r="3105" spans="1:8" s="324" customFormat="1" ht="25.5">
      <c r="A3105" s="86"/>
      <c r="B3105" s="86"/>
      <c r="C3105" s="86"/>
      <c r="D3105" s="294" t="s">
        <v>63</v>
      </c>
      <c r="E3105" s="11"/>
      <c r="F3105" s="11"/>
      <c r="G3105" s="11"/>
      <c r="H3105" s="11">
        <v>16000</v>
      </c>
    </row>
    <row r="3106" spans="1:8" s="1" customFormat="1" ht="26.25" customHeight="1">
      <c r="A3106" s="86"/>
      <c r="B3106" s="86"/>
      <c r="C3106" s="86"/>
      <c r="D3106" s="294" t="s">
        <v>471</v>
      </c>
      <c r="E3106" s="11"/>
      <c r="F3106" s="11"/>
      <c r="G3106" s="11"/>
      <c r="H3106" s="11">
        <v>10000</v>
      </c>
    </row>
    <row r="3107" spans="1:8" s="1" customFormat="1" ht="26.25" customHeight="1">
      <c r="A3107" s="86"/>
      <c r="B3107" s="86"/>
      <c r="C3107" s="86"/>
      <c r="D3107" s="294" t="s">
        <v>88</v>
      </c>
      <c r="E3107" s="11"/>
      <c r="F3107" s="11"/>
      <c r="G3107" s="11"/>
      <c r="H3107" s="11">
        <v>2000</v>
      </c>
    </row>
    <row r="3108" spans="1:8" s="8" customFormat="1" ht="25.5" customHeight="1">
      <c r="A3108" s="86"/>
      <c r="B3108" s="86"/>
      <c r="C3108" s="22">
        <v>2820</v>
      </c>
      <c r="D3108" s="20" t="s">
        <v>303</v>
      </c>
      <c r="E3108" s="6"/>
      <c r="F3108" s="6"/>
      <c r="G3108" s="6"/>
      <c r="H3108" s="6">
        <f>H3107+H3106+H3105+H3104</f>
        <v>96000</v>
      </c>
    </row>
    <row r="3109" spans="1:8" s="8" customFormat="1" ht="19.5" customHeight="1">
      <c r="A3109" s="86"/>
      <c r="B3109" s="86"/>
      <c r="C3109" s="144">
        <v>4280</v>
      </c>
      <c r="D3109" s="252" t="s">
        <v>304</v>
      </c>
      <c r="E3109" s="65"/>
      <c r="F3109" s="65"/>
      <c r="G3109" s="65"/>
      <c r="H3109" s="65">
        <v>70000</v>
      </c>
    </row>
    <row r="3110" spans="1:8" s="8" customFormat="1" ht="19.5" customHeight="1">
      <c r="A3110" s="86"/>
      <c r="B3110" s="86"/>
      <c r="C3110" s="22">
        <v>4300</v>
      </c>
      <c r="D3110" s="20" t="s">
        <v>815</v>
      </c>
      <c r="E3110" s="6"/>
      <c r="F3110" s="6"/>
      <c r="G3110" s="6"/>
      <c r="H3110" s="6">
        <v>35400</v>
      </c>
    </row>
    <row r="3111" spans="1:8" s="8" customFormat="1" ht="25.5">
      <c r="A3111" s="86"/>
      <c r="B3111" s="86"/>
      <c r="C3111" s="86"/>
      <c r="D3111" s="273" t="s">
        <v>897</v>
      </c>
      <c r="E3111" s="274"/>
      <c r="F3111" s="274"/>
      <c r="G3111" s="274"/>
      <c r="H3111" s="274">
        <f>H3114+H3120+H3124+H3125</f>
        <v>322200</v>
      </c>
    </row>
    <row r="3112" spans="1:8" s="8" customFormat="1" ht="21.75" customHeight="1">
      <c r="A3112" s="86"/>
      <c r="B3112" s="86"/>
      <c r="C3112" s="86"/>
      <c r="D3112" s="221" t="s">
        <v>497</v>
      </c>
      <c r="E3112" s="279"/>
      <c r="F3112" s="279"/>
      <c r="G3112" s="279"/>
      <c r="H3112" s="279">
        <v>60000</v>
      </c>
    </row>
    <row r="3113" spans="1:8" s="8" customFormat="1" ht="25.5">
      <c r="A3113" s="86"/>
      <c r="B3113" s="86"/>
      <c r="C3113" s="86"/>
      <c r="D3113" s="294" t="s">
        <v>581</v>
      </c>
      <c r="E3113" s="11"/>
      <c r="F3113" s="11"/>
      <c r="G3113" s="11"/>
      <c r="H3113" s="11">
        <v>32000</v>
      </c>
    </row>
    <row r="3114" spans="1:8" s="8" customFormat="1" ht="27" customHeight="1">
      <c r="A3114" s="86"/>
      <c r="B3114" s="86"/>
      <c r="C3114" s="22">
        <v>2810</v>
      </c>
      <c r="D3114" s="20" t="s">
        <v>279</v>
      </c>
      <c r="E3114" s="6"/>
      <c r="F3114" s="6"/>
      <c r="G3114" s="6"/>
      <c r="H3114" s="6">
        <f>SUM(H3112:H3113)</f>
        <v>92000</v>
      </c>
    </row>
    <row r="3115" spans="1:8" s="8" customFormat="1" ht="25.5">
      <c r="A3115" s="86"/>
      <c r="B3115" s="86"/>
      <c r="C3115" s="18"/>
      <c r="D3115" s="293" t="s">
        <v>471</v>
      </c>
      <c r="E3115" s="178"/>
      <c r="F3115" s="178"/>
      <c r="G3115" s="178"/>
      <c r="H3115" s="178">
        <v>45000</v>
      </c>
    </row>
    <row r="3116" spans="1:8" s="8" customFormat="1" ht="38.25">
      <c r="A3116" s="86"/>
      <c r="B3116" s="86"/>
      <c r="C3116" s="18"/>
      <c r="D3116" s="221" t="s">
        <v>69</v>
      </c>
      <c r="E3116" s="231"/>
      <c r="F3116" s="231"/>
      <c r="G3116" s="231"/>
      <c r="H3116" s="231">
        <v>36000</v>
      </c>
    </row>
    <row r="3117" spans="1:8" s="8" customFormat="1" ht="25.5">
      <c r="A3117" s="86"/>
      <c r="B3117" s="86"/>
      <c r="C3117" s="18"/>
      <c r="D3117" s="294" t="s">
        <v>538</v>
      </c>
      <c r="E3117" s="231"/>
      <c r="F3117" s="231"/>
      <c r="G3117" s="231"/>
      <c r="H3117" s="231">
        <v>20000</v>
      </c>
    </row>
    <row r="3118" spans="1:8" s="8" customFormat="1" ht="25.5">
      <c r="A3118" s="86"/>
      <c r="B3118" s="86"/>
      <c r="C3118" s="18"/>
      <c r="D3118" s="290" t="s">
        <v>70</v>
      </c>
      <c r="E3118" s="231"/>
      <c r="F3118" s="231"/>
      <c r="G3118" s="231"/>
      <c r="H3118" s="231">
        <v>42000</v>
      </c>
    </row>
    <row r="3119" spans="1:8" s="8" customFormat="1" ht="25.5">
      <c r="A3119" s="86"/>
      <c r="B3119" s="86"/>
      <c r="C3119" s="18"/>
      <c r="D3119" s="290" t="s">
        <v>1033</v>
      </c>
      <c r="E3119" s="231"/>
      <c r="F3119" s="231"/>
      <c r="G3119" s="231"/>
      <c r="H3119" s="231">
        <v>6000</v>
      </c>
    </row>
    <row r="3120" spans="1:8" s="8" customFormat="1" ht="25.5" customHeight="1">
      <c r="A3120" s="86"/>
      <c r="B3120" s="86"/>
      <c r="C3120" s="22">
        <v>2820</v>
      </c>
      <c r="D3120" s="238" t="s">
        <v>303</v>
      </c>
      <c r="E3120" s="228"/>
      <c r="F3120" s="228"/>
      <c r="G3120" s="228"/>
      <c r="H3120" s="228">
        <f>SUM(H3115:H3119)</f>
        <v>149000</v>
      </c>
    </row>
    <row r="3121" spans="1:8" s="8" customFormat="1" ht="20.25" customHeight="1">
      <c r="A3121" s="107"/>
      <c r="B3121" s="107"/>
      <c r="C3121" s="22"/>
      <c r="D3121" s="238" t="s">
        <v>89</v>
      </c>
      <c r="E3121" s="228"/>
      <c r="F3121" s="228"/>
      <c r="G3121" s="228"/>
      <c r="H3121" s="228">
        <v>35000</v>
      </c>
    </row>
    <row r="3122" spans="1:8" s="8" customFormat="1" ht="25.5">
      <c r="A3122" s="122"/>
      <c r="B3122" s="122"/>
      <c r="C3122" s="128"/>
      <c r="D3122" s="293" t="s">
        <v>588</v>
      </c>
      <c r="E3122" s="178"/>
      <c r="F3122" s="178"/>
      <c r="G3122" s="178"/>
      <c r="H3122" s="178">
        <f>19000-6000</f>
        <v>13000</v>
      </c>
    </row>
    <row r="3123" spans="1:8" s="8" customFormat="1" ht="51">
      <c r="A3123" s="86"/>
      <c r="B3123" s="86"/>
      <c r="C3123" s="18"/>
      <c r="D3123" s="294" t="s">
        <v>90</v>
      </c>
      <c r="E3123" s="231"/>
      <c r="F3123" s="231"/>
      <c r="G3123" s="231"/>
      <c r="H3123" s="231">
        <v>14000</v>
      </c>
    </row>
    <row r="3124" spans="1:8" s="8" customFormat="1" ht="25.5">
      <c r="A3124" s="86"/>
      <c r="B3124" s="86"/>
      <c r="C3124" s="22">
        <v>2830</v>
      </c>
      <c r="D3124" s="20" t="s">
        <v>278</v>
      </c>
      <c r="E3124" s="6"/>
      <c r="F3124" s="6"/>
      <c r="G3124" s="6"/>
      <c r="H3124" s="6">
        <f>SUM(H3121:H3123)</f>
        <v>62000</v>
      </c>
    </row>
    <row r="3125" spans="1:8" s="1" customFormat="1" ht="19.5" customHeight="1">
      <c r="A3125" s="86"/>
      <c r="B3125" s="86"/>
      <c r="C3125" s="18">
        <v>4300</v>
      </c>
      <c r="D3125" s="221" t="s">
        <v>815</v>
      </c>
      <c r="E3125" s="279"/>
      <c r="F3125" s="279"/>
      <c r="G3125" s="279"/>
      <c r="H3125" s="279">
        <v>19200</v>
      </c>
    </row>
    <row r="3126" spans="1:8" s="1" customFormat="1" ht="63.75">
      <c r="A3126" s="86"/>
      <c r="B3126" s="86"/>
      <c r="C3126" s="122"/>
      <c r="D3126" s="273" t="s">
        <v>899</v>
      </c>
      <c r="E3126" s="274"/>
      <c r="F3126" s="274"/>
      <c r="G3126" s="274"/>
      <c r="H3126" s="274">
        <f>H3131+H3150+H3165+H3166+H3167+H3168+H3169+H3170+H3171</f>
        <v>952286</v>
      </c>
    </row>
    <row r="3127" spans="1:8" s="1" customFormat="1" ht="19.5" customHeight="1">
      <c r="A3127" s="86"/>
      <c r="B3127" s="86"/>
      <c r="C3127" s="86"/>
      <c r="D3127" s="290" t="s">
        <v>497</v>
      </c>
      <c r="E3127" s="231"/>
      <c r="F3127" s="231"/>
      <c r="G3127" s="231"/>
      <c r="H3127" s="231">
        <v>30600</v>
      </c>
    </row>
    <row r="3128" spans="1:8" s="1" customFormat="1" ht="25.5">
      <c r="A3128" s="86"/>
      <c r="B3128" s="86"/>
      <c r="C3128" s="86"/>
      <c r="D3128" s="294" t="s">
        <v>259</v>
      </c>
      <c r="E3128" s="230"/>
      <c r="F3128" s="230"/>
      <c r="G3128" s="230"/>
      <c r="H3128" s="230">
        <v>14175</v>
      </c>
    </row>
    <row r="3129" spans="1:8" ht="18" customHeight="1">
      <c r="A3129" s="56"/>
      <c r="B3129" s="56"/>
      <c r="C3129" s="56"/>
      <c r="D3129" s="208" t="s">
        <v>808</v>
      </c>
      <c r="E3129" s="991"/>
      <c r="F3129" s="991"/>
      <c r="G3129" s="296"/>
      <c r="H3129" s="296">
        <v>3000</v>
      </c>
    </row>
    <row r="3130" spans="1:8" s="1" customFormat="1" ht="19.5" customHeight="1">
      <c r="A3130" s="86"/>
      <c r="B3130" s="86"/>
      <c r="C3130" s="86"/>
      <c r="D3130" s="294" t="s">
        <v>472</v>
      </c>
      <c r="E3130" s="11"/>
      <c r="F3130" s="11"/>
      <c r="G3130" s="11"/>
      <c r="H3130" s="11">
        <v>34050</v>
      </c>
    </row>
    <row r="3131" spans="1:8" s="8" customFormat="1" ht="27" customHeight="1">
      <c r="A3131" s="86"/>
      <c r="B3131" s="86"/>
      <c r="C3131" s="22">
        <v>2810</v>
      </c>
      <c r="D3131" s="20" t="s">
        <v>279</v>
      </c>
      <c r="E3131" s="6"/>
      <c r="F3131" s="6"/>
      <c r="G3131" s="6"/>
      <c r="H3131" s="6">
        <f>SUM(H3127:H3130)</f>
        <v>81825</v>
      </c>
    </row>
    <row r="3132" spans="1:8" s="8" customFormat="1" ht="21" customHeight="1">
      <c r="A3132" s="86"/>
      <c r="B3132" s="86"/>
      <c r="C3132" s="18"/>
      <c r="D3132" s="293" t="s">
        <v>733</v>
      </c>
      <c r="E3132" s="178"/>
      <c r="F3132" s="178"/>
      <c r="G3132" s="178"/>
      <c r="H3132" s="178">
        <v>30000</v>
      </c>
    </row>
    <row r="3133" spans="1:8" s="8" customFormat="1" ht="25.5">
      <c r="A3133" s="86"/>
      <c r="B3133" s="86"/>
      <c r="C3133" s="18"/>
      <c r="D3133" s="290" t="s">
        <v>900</v>
      </c>
      <c r="E3133" s="231"/>
      <c r="F3133" s="231"/>
      <c r="G3133" s="231"/>
      <c r="H3133" s="231">
        <v>12000</v>
      </c>
    </row>
    <row r="3134" spans="1:8" s="8" customFormat="1" ht="25.5">
      <c r="A3134" s="86"/>
      <c r="B3134" s="86"/>
      <c r="C3134" s="18"/>
      <c r="D3134" s="221" t="s">
        <v>901</v>
      </c>
      <c r="E3134" s="279"/>
      <c r="F3134" s="279"/>
      <c r="G3134" s="279"/>
      <c r="H3134" s="279">
        <v>56000</v>
      </c>
    </row>
    <row r="3135" spans="1:8" s="8" customFormat="1" ht="21" customHeight="1">
      <c r="A3135" s="86"/>
      <c r="B3135" s="86"/>
      <c r="C3135" s="18"/>
      <c r="D3135" s="294" t="s">
        <v>902</v>
      </c>
      <c r="E3135" s="11"/>
      <c r="F3135" s="11"/>
      <c r="G3135" s="11"/>
      <c r="H3135" s="11">
        <f>12000+12000</f>
        <v>24000</v>
      </c>
    </row>
    <row r="3136" spans="1:8" s="8" customFormat="1" ht="25.5">
      <c r="A3136" s="86"/>
      <c r="B3136" s="86"/>
      <c r="C3136" s="18"/>
      <c r="D3136" s="290" t="s">
        <v>600</v>
      </c>
      <c r="E3136" s="231"/>
      <c r="F3136" s="231"/>
      <c r="G3136" s="231"/>
      <c r="H3136" s="231">
        <v>24000</v>
      </c>
    </row>
    <row r="3137" spans="1:8" s="8" customFormat="1" ht="21" customHeight="1">
      <c r="A3137" s="86"/>
      <c r="B3137" s="86"/>
      <c r="C3137" s="18"/>
      <c r="D3137" s="290" t="s">
        <v>601</v>
      </c>
      <c r="E3137" s="231"/>
      <c r="F3137" s="231"/>
      <c r="G3137" s="231"/>
      <c r="H3137" s="231">
        <v>12000</v>
      </c>
    </row>
    <row r="3138" spans="1:8" s="8" customFormat="1" ht="25.5">
      <c r="A3138" s="86"/>
      <c r="B3138" s="86"/>
      <c r="C3138" s="18"/>
      <c r="D3138" s="221" t="s">
        <v>602</v>
      </c>
      <c r="E3138" s="279"/>
      <c r="F3138" s="279"/>
      <c r="G3138" s="279"/>
      <c r="H3138" s="279">
        <f>16000+5000</f>
        <v>21000</v>
      </c>
    </row>
    <row r="3139" spans="1:8" s="8" customFormat="1" ht="25.5">
      <c r="A3139" s="86"/>
      <c r="B3139" s="86"/>
      <c r="C3139" s="18"/>
      <c r="D3139" s="318" t="s">
        <v>499</v>
      </c>
      <c r="E3139" s="230"/>
      <c r="F3139" s="230"/>
      <c r="G3139" s="230"/>
      <c r="H3139" s="230">
        <v>52600</v>
      </c>
    </row>
    <row r="3140" spans="1:8" s="8" customFormat="1" ht="19.5" customHeight="1">
      <c r="A3140" s="86"/>
      <c r="B3140" s="86"/>
      <c r="C3140" s="18"/>
      <c r="D3140" s="294" t="s">
        <v>469</v>
      </c>
      <c r="E3140" s="11"/>
      <c r="F3140" s="11"/>
      <c r="G3140" s="11"/>
      <c r="H3140" s="11">
        <v>18000</v>
      </c>
    </row>
    <row r="3141" spans="1:8" s="8" customFormat="1" ht="19.5" customHeight="1">
      <c r="A3141" s="86"/>
      <c r="B3141" s="86"/>
      <c r="C3141" s="18"/>
      <c r="D3141" s="221" t="s">
        <v>582</v>
      </c>
      <c r="E3141" s="279"/>
      <c r="F3141" s="279"/>
      <c r="G3141" s="279"/>
      <c r="H3141" s="279">
        <v>22000</v>
      </c>
    </row>
    <row r="3142" spans="1:8" s="8" customFormat="1" ht="19.5" customHeight="1">
      <c r="A3142" s="107"/>
      <c r="B3142" s="107"/>
      <c r="C3142" s="22"/>
      <c r="D3142" s="238" t="s">
        <v>583</v>
      </c>
      <c r="E3142" s="228"/>
      <c r="F3142" s="228"/>
      <c r="G3142" s="228"/>
      <c r="H3142" s="228">
        <v>20000</v>
      </c>
    </row>
    <row r="3143" spans="1:8" s="8" customFormat="1" ht="19.5" customHeight="1">
      <c r="A3143" s="122"/>
      <c r="B3143" s="122"/>
      <c r="C3143" s="128"/>
      <c r="D3143" s="1112" t="s">
        <v>934</v>
      </c>
      <c r="E3143" s="276"/>
      <c r="F3143" s="276"/>
      <c r="G3143" s="276"/>
      <c r="H3143" s="276">
        <v>26000</v>
      </c>
    </row>
    <row r="3144" spans="1:8" s="8" customFormat="1" ht="19.5" customHeight="1">
      <c r="A3144" s="86"/>
      <c r="B3144" s="86"/>
      <c r="C3144" s="18"/>
      <c r="D3144" s="294" t="s">
        <v>537</v>
      </c>
      <c r="E3144" s="11"/>
      <c r="F3144" s="11"/>
      <c r="G3144" s="11"/>
      <c r="H3144" s="11">
        <v>18000</v>
      </c>
    </row>
    <row r="3145" spans="1:8" s="8" customFormat="1" ht="25.5">
      <c r="A3145" s="86"/>
      <c r="B3145" s="86"/>
      <c r="C3145" s="18"/>
      <c r="D3145" s="290" t="s">
        <v>213</v>
      </c>
      <c r="E3145" s="231"/>
      <c r="F3145" s="231"/>
      <c r="G3145" s="231"/>
      <c r="H3145" s="231">
        <v>3600</v>
      </c>
    </row>
    <row r="3146" spans="1:8" s="8" customFormat="1" ht="25.5">
      <c r="A3146" s="86"/>
      <c r="B3146" s="86"/>
      <c r="C3146" s="18"/>
      <c r="D3146" s="294" t="s">
        <v>1034</v>
      </c>
      <c r="E3146" s="11"/>
      <c r="F3146" s="11"/>
      <c r="G3146" s="11"/>
      <c r="H3146" s="11">
        <v>10000</v>
      </c>
    </row>
    <row r="3147" spans="1:8" ht="25.5">
      <c r="A3147" s="56"/>
      <c r="B3147" s="56"/>
      <c r="C3147" s="170"/>
      <c r="D3147" s="208" t="s">
        <v>809</v>
      </c>
      <c r="E3147" s="992"/>
      <c r="F3147" s="992"/>
      <c r="G3147" s="233"/>
      <c r="H3147" s="233">
        <v>60000</v>
      </c>
    </row>
    <row r="3148" spans="1:8" ht="25.5">
      <c r="A3148" s="56"/>
      <c r="B3148" s="56"/>
      <c r="C3148" s="170"/>
      <c r="D3148" s="366" t="s">
        <v>810</v>
      </c>
      <c r="E3148" s="993"/>
      <c r="F3148" s="993"/>
      <c r="G3148" s="367"/>
      <c r="H3148" s="367">
        <v>4000</v>
      </c>
    </row>
    <row r="3149" spans="1:8" ht="25.5">
      <c r="A3149" s="56"/>
      <c r="B3149" s="56"/>
      <c r="C3149" s="170"/>
      <c r="D3149" s="332" t="s">
        <v>811</v>
      </c>
      <c r="E3149" s="991"/>
      <c r="F3149" s="991"/>
      <c r="G3149" s="296"/>
      <c r="H3149" s="296">
        <v>10000</v>
      </c>
    </row>
    <row r="3150" spans="1:8" s="8" customFormat="1" ht="25.5" customHeight="1">
      <c r="A3150" s="86"/>
      <c r="B3150" s="86"/>
      <c r="C3150" s="22">
        <v>2820</v>
      </c>
      <c r="D3150" s="238" t="s">
        <v>303</v>
      </c>
      <c r="E3150" s="228"/>
      <c r="F3150" s="228"/>
      <c r="G3150" s="228"/>
      <c r="H3150" s="228">
        <f>SUM(H3132:H3149)</f>
        <v>423200</v>
      </c>
    </row>
    <row r="3151" spans="1:8" s="8" customFormat="1" ht="25.5" customHeight="1">
      <c r="A3151" s="86"/>
      <c r="B3151" s="86"/>
      <c r="C3151" s="18"/>
      <c r="D3151" s="294" t="s">
        <v>588</v>
      </c>
      <c r="E3151" s="11"/>
      <c r="F3151" s="11"/>
      <c r="G3151" s="11"/>
      <c r="H3151" s="11">
        <v>29875</v>
      </c>
    </row>
    <row r="3152" spans="1:8" s="8" customFormat="1" ht="27.75" customHeight="1">
      <c r="A3152" s="86"/>
      <c r="B3152" s="86"/>
      <c r="C3152" s="18"/>
      <c r="D3152" s="290" t="s">
        <v>91</v>
      </c>
      <c r="E3152" s="231"/>
      <c r="F3152" s="231"/>
      <c r="G3152" s="231"/>
      <c r="H3152" s="231">
        <v>10080</v>
      </c>
    </row>
    <row r="3153" spans="1:8" s="8" customFormat="1" ht="51">
      <c r="A3153" s="86"/>
      <c r="B3153" s="86"/>
      <c r="C3153" s="18"/>
      <c r="D3153" s="294" t="s">
        <v>72</v>
      </c>
      <c r="E3153" s="231"/>
      <c r="F3153" s="231"/>
      <c r="G3153" s="231"/>
      <c r="H3153" s="231">
        <v>10615</v>
      </c>
    </row>
    <row r="3154" spans="1:8" s="8" customFormat="1" ht="51">
      <c r="A3154" s="86"/>
      <c r="B3154" s="86"/>
      <c r="C3154" s="18"/>
      <c r="D3154" s="294" t="s">
        <v>73</v>
      </c>
      <c r="E3154" s="231"/>
      <c r="F3154" s="231"/>
      <c r="G3154" s="231"/>
      <c r="H3154" s="231">
        <v>7875</v>
      </c>
    </row>
    <row r="3155" spans="1:8" s="8" customFormat="1" ht="51">
      <c r="A3155" s="86"/>
      <c r="B3155" s="86"/>
      <c r="C3155" s="18"/>
      <c r="D3155" s="294" t="s">
        <v>759</v>
      </c>
      <c r="E3155" s="231"/>
      <c r="F3155" s="231"/>
      <c r="G3155" s="231"/>
      <c r="H3155" s="231">
        <v>3780</v>
      </c>
    </row>
    <row r="3156" spans="1:8" s="8" customFormat="1" ht="51">
      <c r="A3156" s="86"/>
      <c r="B3156" s="86"/>
      <c r="C3156" s="18"/>
      <c r="D3156" s="294" t="s">
        <v>760</v>
      </c>
      <c r="E3156" s="231"/>
      <c r="F3156" s="231"/>
      <c r="G3156" s="231"/>
      <c r="H3156" s="231">
        <v>6300</v>
      </c>
    </row>
    <row r="3157" spans="1:8" s="8" customFormat="1" ht="19.5" customHeight="1">
      <c r="A3157" s="86"/>
      <c r="B3157" s="86"/>
      <c r="C3157" s="18"/>
      <c r="D3157" s="294" t="s">
        <v>589</v>
      </c>
      <c r="E3157" s="231"/>
      <c r="F3157" s="231"/>
      <c r="G3157" s="231"/>
      <c r="H3157" s="231">
        <v>20000</v>
      </c>
    </row>
    <row r="3158" spans="1:8" s="8" customFormat="1" ht="19.5" customHeight="1">
      <c r="A3158" s="86"/>
      <c r="B3158" s="86"/>
      <c r="C3158" s="18"/>
      <c r="D3158" s="221" t="s">
        <v>75</v>
      </c>
      <c r="E3158" s="279"/>
      <c r="F3158" s="279"/>
      <c r="G3158" s="279"/>
      <c r="H3158" s="279">
        <v>33000</v>
      </c>
    </row>
    <row r="3159" spans="1:8" s="8" customFormat="1" ht="25.5">
      <c r="A3159" s="86"/>
      <c r="B3159" s="86"/>
      <c r="C3159" s="18"/>
      <c r="D3159" s="294" t="s">
        <v>214</v>
      </c>
      <c r="E3159" s="11"/>
      <c r="F3159" s="11"/>
      <c r="G3159" s="11"/>
      <c r="H3159" s="11">
        <v>10400</v>
      </c>
    </row>
    <row r="3160" spans="1:8" s="8" customFormat="1" ht="25.5">
      <c r="A3160" s="107"/>
      <c r="B3160" s="107"/>
      <c r="C3160" s="22"/>
      <c r="D3160" s="20" t="s">
        <v>761</v>
      </c>
      <c r="E3160" s="6"/>
      <c r="F3160" s="6"/>
      <c r="G3160" s="6"/>
      <c r="H3160" s="6">
        <v>6000</v>
      </c>
    </row>
    <row r="3161" spans="1:8" s="8" customFormat="1" ht="38.25">
      <c r="A3161" s="122"/>
      <c r="B3161" s="122"/>
      <c r="C3161" s="128"/>
      <c r="D3161" s="293" t="s">
        <v>216</v>
      </c>
      <c r="E3161" s="178"/>
      <c r="F3161" s="178"/>
      <c r="G3161" s="178"/>
      <c r="H3161" s="178">
        <v>14000</v>
      </c>
    </row>
    <row r="3162" spans="1:8" s="8" customFormat="1" ht="38.25">
      <c r="A3162" s="86"/>
      <c r="B3162" s="86"/>
      <c r="C3162" s="18"/>
      <c r="D3162" s="294" t="s">
        <v>652</v>
      </c>
      <c r="E3162" s="231"/>
      <c r="F3162" s="231"/>
      <c r="G3162" s="231"/>
      <c r="H3162" s="231">
        <v>4320</v>
      </c>
    </row>
    <row r="3163" spans="1:8" s="8" customFormat="1" ht="19.5" customHeight="1">
      <c r="A3163" s="86"/>
      <c r="B3163" s="86"/>
      <c r="C3163" s="18"/>
      <c r="D3163" s="290" t="s">
        <v>653</v>
      </c>
      <c r="E3163" s="231"/>
      <c r="F3163" s="231"/>
      <c r="G3163" s="231"/>
      <c r="H3163" s="231">
        <v>9000</v>
      </c>
    </row>
    <row r="3164" spans="1:8" s="8" customFormat="1" ht="25.5">
      <c r="A3164" s="86"/>
      <c r="B3164" s="86"/>
      <c r="C3164" s="18"/>
      <c r="D3164" s="294" t="s">
        <v>77</v>
      </c>
      <c r="E3164" s="11"/>
      <c r="F3164" s="11"/>
      <c r="G3164" s="11"/>
      <c r="H3164" s="11">
        <v>10000</v>
      </c>
    </row>
    <row r="3165" spans="1:8" s="8" customFormat="1" ht="25.5">
      <c r="A3165" s="86"/>
      <c r="B3165" s="86"/>
      <c r="C3165" s="22">
        <v>2830</v>
      </c>
      <c r="D3165" s="238" t="s">
        <v>278</v>
      </c>
      <c r="E3165" s="228"/>
      <c r="F3165" s="228"/>
      <c r="G3165" s="228"/>
      <c r="H3165" s="228">
        <f>SUM(H3151:H3164)</f>
        <v>175245</v>
      </c>
    </row>
    <row r="3166" spans="1:8" s="8" customFormat="1" ht="19.5" customHeight="1">
      <c r="A3166" s="86"/>
      <c r="B3166" s="86"/>
      <c r="C3166" s="144">
        <v>3000</v>
      </c>
      <c r="D3166" s="252" t="s">
        <v>734</v>
      </c>
      <c r="E3166" s="6"/>
      <c r="F3166" s="6"/>
      <c r="G3166" s="6"/>
      <c r="H3166" s="6">
        <v>50000</v>
      </c>
    </row>
    <row r="3167" spans="1:8" s="8" customFormat="1" ht="19.5" customHeight="1">
      <c r="A3167" s="86"/>
      <c r="B3167" s="86"/>
      <c r="C3167" s="370">
        <v>4110</v>
      </c>
      <c r="D3167" s="221" t="s">
        <v>681</v>
      </c>
      <c r="E3167" s="279"/>
      <c r="F3167" s="279"/>
      <c r="G3167" s="279"/>
      <c r="H3167" s="279">
        <v>740</v>
      </c>
    </row>
    <row r="3168" spans="1:8" s="8" customFormat="1" ht="19.5" customHeight="1">
      <c r="A3168" s="86"/>
      <c r="B3168" s="86"/>
      <c r="C3168" s="32">
        <v>4120</v>
      </c>
      <c r="D3168" s="252" t="s">
        <v>682</v>
      </c>
      <c r="E3168" s="65"/>
      <c r="F3168" s="65"/>
      <c r="G3168" s="65"/>
      <c r="H3168" s="65">
        <v>106</v>
      </c>
    </row>
    <row r="3169" spans="1:8" s="8" customFormat="1" ht="19.5" customHeight="1">
      <c r="A3169" s="86"/>
      <c r="B3169" s="86"/>
      <c r="C3169" s="32">
        <v>4170</v>
      </c>
      <c r="D3169" s="252" t="s">
        <v>740</v>
      </c>
      <c r="E3169" s="65"/>
      <c r="F3169" s="65"/>
      <c r="G3169" s="65"/>
      <c r="H3169" s="65">
        <v>5300</v>
      </c>
    </row>
    <row r="3170" spans="1:8" s="8" customFormat="1" ht="19.5" customHeight="1">
      <c r="A3170" s="86"/>
      <c r="B3170" s="86"/>
      <c r="C3170" s="144">
        <v>4210</v>
      </c>
      <c r="D3170" s="252" t="s">
        <v>748</v>
      </c>
      <c r="E3170" s="65"/>
      <c r="F3170" s="65"/>
      <c r="G3170" s="65"/>
      <c r="H3170" s="65">
        <v>9254</v>
      </c>
    </row>
    <row r="3171" spans="1:8" s="1" customFormat="1" ht="19.5" customHeight="1">
      <c r="A3171" s="86"/>
      <c r="B3171" s="86"/>
      <c r="C3171" s="144">
        <v>4300</v>
      </c>
      <c r="D3171" s="252" t="s">
        <v>815</v>
      </c>
      <c r="E3171" s="65"/>
      <c r="F3171" s="65"/>
      <c r="G3171" s="65"/>
      <c r="H3171" s="65">
        <v>206616</v>
      </c>
    </row>
    <row r="3172" spans="1:8" s="8" customFormat="1" ht="19.5" customHeight="1">
      <c r="A3172" s="86"/>
      <c r="B3172" s="86"/>
      <c r="C3172" s="86"/>
      <c r="D3172" s="314" t="s">
        <v>218</v>
      </c>
      <c r="E3172" s="313"/>
      <c r="F3172" s="313"/>
      <c r="G3172" s="313"/>
      <c r="H3172" s="313">
        <f>SUM(H3173:H3182)</f>
        <v>370000</v>
      </c>
    </row>
    <row r="3173" spans="1:8" s="8" customFormat="1" ht="18.75" customHeight="1">
      <c r="A3173" s="86"/>
      <c r="B3173" s="86"/>
      <c r="C3173" s="237">
        <v>4110</v>
      </c>
      <c r="D3173" s="20" t="s">
        <v>681</v>
      </c>
      <c r="E3173" s="6"/>
      <c r="F3173" s="6"/>
      <c r="G3173" s="6"/>
      <c r="H3173" s="6">
        <v>10000</v>
      </c>
    </row>
    <row r="3174" spans="1:8" s="8" customFormat="1" ht="18.75" customHeight="1">
      <c r="A3174" s="86"/>
      <c r="B3174" s="86"/>
      <c r="C3174" s="237">
        <v>4120</v>
      </c>
      <c r="D3174" s="20" t="s">
        <v>682</v>
      </c>
      <c r="E3174" s="6"/>
      <c r="F3174" s="6"/>
      <c r="G3174" s="6"/>
      <c r="H3174" s="6">
        <v>2000</v>
      </c>
    </row>
    <row r="3175" spans="1:8" s="8" customFormat="1" ht="18.75" customHeight="1">
      <c r="A3175" s="86"/>
      <c r="B3175" s="86"/>
      <c r="C3175" s="237">
        <v>4170</v>
      </c>
      <c r="D3175" s="20" t="s">
        <v>740</v>
      </c>
      <c r="E3175" s="6"/>
      <c r="F3175" s="6"/>
      <c r="G3175" s="6"/>
      <c r="H3175" s="6">
        <v>300000</v>
      </c>
    </row>
    <row r="3176" spans="1:8" s="8" customFormat="1" ht="18.75" customHeight="1">
      <c r="A3176" s="86"/>
      <c r="B3176" s="86"/>
      <c r="C3176" s="32">
        <v>4210</v>
      </c>
      <c r="D3176" s="32" t="s">
        <v>748</v>
      </c>
      <c r="E3176" s="6"/>
      <c r="F3176" s="6"/>
      <c r="G3176" s="6"/>
      <c r="H3176" s="6">
        <v>10000</v>
      </c>
    </row>
    <row r="3177" spans="1:8" s="8" customFormat="1" ht="18.75" customHeight="1">
      <c r="A3177" s="86"/>
      <c r="B3177" s="86"/>
      <c r="C3177" s="32">
        <v>4300</v>
      </c>
      <c r="D3177" s="32" t="s">
        <v>815</v>
      </c>
      <c r="E3177" s="6"/>
      <c r="F3177" s="6"/>
      <c r="G3177" s="6"/>
      <c r="H3177" s="6">
        <v>10000</v>
      </c>
    </row>
    <row r="3178" spans="1:8" s="8" customFormat="1" ht="18.75" customHeight="1">
      <c r="A3178" s="86"/>
      <c r="B3178" s="86"/>
      <c r="C3178" s="32">
        <v>4430</v>
      </c>
      <c r="D3178" s="32" t="s">
        <v>750</v>
      </c>
      <c r="E3178" s="65"/>
      <c r="F3178" s="65"/>
      <c r="G3178" s="65"/>
      <c r="H3178" s="65">
        <f>20000-9000</f>
        <v>11000</v>
      </c>
    </row>
    <row r="3179" spans="1:8" s="8" customFormat="1" ht="18.75" customHeight="1">
      <c r="A3179" s="86"/>
      <c r="B3179" s="86"/>
      <c r="C3179" s="22">
        <v>4610</v>
      </c>
      <c r="D3179" s="20" t="s">
        <v>1004</v>
      </c>
      <c r="E3179" s="276"/>
      <c r="F3179" s="276"/>
      <c r="G3179" s="276"/>
      <c r="H3179" s="276">
        <v>9000</v>
      </c>
    </row>
    <row r="3180" spans="1:8" s="8" customFormat="1" ht="18.75" customHeight="1">
      <c r="A3180" s="86"/>
      <c r="B3180" s="86"/>
      <c r="C3180" s="22">
        <v>4700</v>
      </c>
      <c r="D3180" s="20" t="s">
        <v>312</v>
      </c>
      <c r="E3180" s="276"/>
      <c r="F3180" s="276"/>
      <c r="G3180" s="276"/>
      <c r="H3180" s="276">
        <v>15000</v>
      </c>
    </row>
    <row r="3181" spans="1:8" s="8" customFormat="1" ht="25.5">
      <c r="A3181" s="86"/>
      <c r="B3181" s="86"/>
      <c r="C3181" s="22">
        <v>4740</v>
      </c>
      <c r="D3181" s="20" t="s">
        <v>313</v>
      </c>
      <c r="E3181" s="276"/>
      <c r="F3181" s="276"/>
      <c r="G3181" s="276"/>
      <c r="H3181" s="276">
        <v>2000</v>
      </c>
    </row>
    <row r="3182" spans="1:8" s="8" customFormat="1" ht="18.75" customHeight="1">
      <c r="A3182" s="86"/>
      <c r="B3182" s="86"/>
      <c r="C3182" s="22">
        <v>4750</v>
      </c>
      <c r="D3182" s="20" t="s">
        <v>314</v>
      </c>
      <c r="E3182" s="276"/>
      <c r="F3182" s="276"/>
      <c r="G3182" s="276"/>
      <c r="H3182" s="276">
        <v>1000</v>
      </c>
    </row>
    <row r="3183" spans="1:8" s="8" customFormat="1" ht="19.5" customHeight="1">
      <c r="A3183" s="86"/>
      <c r="B3183" s="86"/>
      <c r="C3183" s="86"/>
      <c r="D3183" s="273" t="s">
        <v>1040</v>
      </c>
      <c r="E3183" s="274"/>
      <c r="F3183" s="274"/>
      <c r="G3183" s="274"/>
      <c r="H3183" s="274">
        <f>SUM(H3184:H3191)</f>
        <v>73000</v>
      </c>
    </row>
    <row r="3184" spans="1:8" s="8" customFormat="1" ht="18.75" customHeight="1">
      <c r="A3184" s="86"/>
      <c r="B3184" s="86"/>
      <c r="C3184" s="370">
        <v>4210</v>
      </c>
      <c r="D3184" s="370" t="s">
        <v>748</v>
      </c>
      <c r="E3184" s="279"/>
      <c r="F3184" s="279"/>
      <c r="G3184" s="279"/>
      <c r="H3184" s="279">
        <v>6000</v>
      </c>
    </row>
    <row r="3185" spans="1:8" s="8" customFormat="1" ht="18.75" customHeight="1">
      <c r="A3185" s="86"/>
      <c r="B3185" s="86"/>
      <c r="C3185" s="32">
        <v>4300</v>
      </c>
      <c r="D3185" s="144" t="s">
        <v>815</v>
      </c>
      <c r="E3185" s="65"/>
      <c r="F3185" s="65"/>
      <c r="G3185" s="65"/>
      <c r="H3185" s="65">
        <v>8000</v>
      </c>
    </row>
    <row r="3186" spans="1:8" s="8" customFormat="1" ht="18.75" customHeight="1">
      <c r="A3186" s="107"/>
      <c r="B3186" s="107"/>
      <c r="C3186" s="237">
        <v>4410</v>
      </c>
      <c r="D3186" s="20" t="s">
        <v>749</v>
      </c>
      <c r="E3186" s="6"/>
      <c r="F3186" s="6"/>
      <c r="G3186" s="6"/>
      <c r="H3186" s="6">
        <v>2000</v>
      </c>
    </row>
    <row r="3187" spans="1:8" s="8" customFormat="1" ht="18.75" customHeight="1">
      <c r="A3187" s="122"/>
      <c r="B3187" s="122"/>
      <c r="C3187" s="430">
        <v>4420</v>
      </c>
      <c r="D3187" s="1112" t="s">
        <v>686</v>
      </c>
      <c r="E3187" s="276"/>
      <c r="F3187" s="276"/>
      <c r="G3187" s="276"/>
      <c r="H3187" s="276">
        <v>3000</v>
      </c>
    </row>
    <row r="3188" spans="1:8" s="8" customFormat="1" ht="18.75" customHeight="1">
      <c r="A3188" s="86"/>
      <c r="B3188" s="86"/>
      <c r="C3188" s="144">
        <v>4700</v>
      </c>
      <c r="D3188" s="252" t="s">
        <v>312</v>
      </c>
      <c r="E3188" s="65"/>
      <c r="F3188" s="65"/>
      <c r="G3188" s="65"/>
      <c r="H3188" s="65">
        <v>30000</v>
      </c>
    </row>
    <row r="3189" spans="1:8" s="8" customFormat="1" ht="25.5">
      <c r="A3189" s="86"/>
      <c r="B3189" s="86"/>
      <c r="C3189" s="22">
        <v>4740</v>
      </c>
      <c r="D3189" s="20" t="s">
        <v>313</v>
      </c>
      <c r="E3189" s="6"/>
      <c r="F3189" s="6"/>
      <c r="G3189" s="6"/>
      <c r="H3189" s="6">
        <v>2000</v>
      </c>
    </row>
    <row r="3190" spans="1:8" s="8" customFormat="1" ht="18.75" customHeight="1">
      <c r="A3190" s="86"/>
      <c r="B3190" s="86"/>
      <c r="C3190" s="22">
        <v>4750</v>
      </c>
      <c r="D3190" s="20" t="s">
        <v>314</v>
      </c>
      <c r="E3190" s="6"/>
      <c r="F3190" s="6"/>
      <c r="G3190" s="6"/>
      <c r="H3190" s="6">
        <v>1000</v>
      </c>
    </row>
    <row r="3191" spans="1:8" s="8" customFormat="1" ht="18.75" customHeight="1">
      <c r="A3191" s="86"/>
      <c r="B3191" s="86"/>
      <c r="C3191" s="128"/>
      <c r="D3191" s="293" t="s">
        <v>280</v>
      </c>
      <c r="E3191" s="178"/>
      <c r="F3191" s="178"/>
      <c r="G3191" s="178"/>
      <c r="H3191" s="178">
        <f>H3192</f>
        <v>21000</v>
      </c>
    </row>
    <row r="3192" spans="1:8" s="8" customFormat="1" ht="18.75" customHeight="1">
      <c r="A3192" s="86"/>
      <c r="B3192" s="107"/>
      <c r="C3192" s="22">
        <v>6060</v>
      </c>
      <c r="D3192" s="20" t="s">
        <v>685</v>
      </c>
      <c r="E3192" s="6"/>
      <c r="F3192" s="6"/>
      <c r="G3192" s="6"/>
      <c r="H3192" s="6">
        <v>21000</v>
      </c>
    </row>
    <row r="3193" spans="1:8" s="1" customFormat="1" ht="19.5" customHeight="1">
      <c r="A3193" s="86"/>
      <c r="B3193" s="3">
        <v>85195</v>
      </c>
      <c r="C3193" s="45"/>
      <c r="D3193" s="67" t="s">
        <v>100</v>
      </c>
      <c r="E3193" s="4"/>
      <c r="F3193" s="4"/>
      <c r="G3193" s="4"/>
      <c r="H3193" s="4">
        <f>H3194+H3196</f>
        <v>130000</v>
      </c>
    </row>
    <row r="3194" spans="1:8" ht="18.75" customHeight="1">
      <c r="A3194" s="86"/>
      <c r="B3194" s="122"/>
      <c r="C3194" s="128"/>
      <c r="D3194" s="348" t="s">
        <v>423</v>
      </c>
      <c r="E3194" s="243"/>
      <c r="F3194" s="243"/>
      <c r="G3194" s="243"/>
      <c r="H3194" s="243">
        <f>H3195</f>
        <v>105000</v>
      </c>
    </row>
    <row r="3195" spans="1:8" ht="18.75" customHeight="1">
      <c r="A3195" s="86"/>
      <c r="B3195" s="86"/>
      <c r="C3195" s="22">
        <v>4280</v>
      </c>
      <c r="D3195" s="147" t="s">
        <v>304</v>
      </c>
      <c r="E3195" s="88"/>
      <c r="F3195" s="88"/>
      <c r="G3195" s="88"/>
      <c r="H3195" s="88">
        <v>105000</v>
      </c>
    </row>
    <row r="3196" spans="1:8" ht="18.75" customHeight="1">
      <c r="A3196" s="86"/>
      <c r="B3196" s="86"/>
      <c r="C3196" s="128"/>
      <c r="D3196" s="348" t="s">
        <v>500</v>
      </c>
      <c r="E3196" s="243"/>
      <c r="F3196" s="243"/>
      <c r="G3196" s="243"/>
      <c r="H3196" s="243">
        <f>H3197</f>
        <v>25000</v>
      </c>
    </row>
    <row r="3197" spans="1:8" ht="18.75" customHeight="1">
      <c r="A3197" s="107"/>
      <c r="B3197" s="107"/>
      <c r="C3197" s="22">
        <v>4300</v>
      </c>
      <c r="D3197" s="147" t="s">
        <v>815</v>
      </c>
      <c r="E3197" s="88"/>
      <c r="F3197" s="88"/>
      <c r="G3197" s="88"/>
      <c r="H3197" s="88">
        <v>25000</v>
      </c>
    </row>
    <row r="3198" spans="1:8" s="1" customFormat="1" ht="19.5" customHeight="1" thickBot="1">
      <c r="A3198" s="394">
        <v>852</v>
      </c>
      <c r="B3198" s="394"/>
      <c r="C3198" s="409"/>
      <c r="D3198" s="395" t="s">
        <v>129</v>
      </c>
      <c r="E3198" s="377"/>
      <c r="F3198" s="377"/>
      <c r="G3198" s="377"/>
      <c r="H3198" s="377">
        <f>H3199</f>
        <v>1677429</v>
      </c>
    </row>
    <row r="3199" spans="1:8" ht="19.5" customHeight="1">
      <c r="A3199" s="2"/>
      <c r="B3199" s="3">
        <v>85232</v>
      </c>
      <c r="C3199" s="45"/>
      <c r="D3199" s="67" t="s">
        <v>708</v>
      </c>
      <c r="E3199" s="4"/>
      <c r="F3199" s="4"/>
      <c r="G3199" s="4"/>
      <c r="H3199" s="4">
        <f>H3200+H3203</f>
        <v>1677429</v>
      </c>
    </row>
    <row r="3200" spans="1:8" ht="19.5" customHeight="1">
      <c r="A3200" s="86"/>
      <c r="B3200" s="86"/>
      <c r="C3200" s="18"/>
      <c r="D3200" s="16" t="s">
        <v>709</v>
      </c>
      <c r="E3200" s="17"/>
      <c r="F3200" s="17"/>
      <c r="G3200" s="17"/>
      <c r="H3200" s="17">
        <f>H3202</f>
        <v>465000</v>
      </c>
    </row>
    <row r="3201" spans="1:8" ht="19.5" customHeight="1">
      <c r="A3201" s="86"/>
      <c r="B3201" s="86"/>
      <c r="C3201" s="18"/>
      <c r="D3201" s="265" t="s">
        <v>466</v>
      </c>
      <c r="E3201" s="279"/>
      <c r="F3201" s="279"/>
      <c r="G3201" s="279"/>
      <c r="H3201" s="279">
        <v>30000</v>
      </c>
    </row>
    <row r="3202" spans="1:8" ht="19.5" customHeight="1">
      <c r="A3202" s="18"/>
      <c r="B3202" s="18"/>
      <c r="C3202" s="22">
        <v>2660</v>
      </c>
      <c r="D3202" s="20" t="s">
        <v>386</v>
      </c>
      <c r="E3202" s="228"/>
      <c r="F3202" s="228"/>
      <c r="G3202" s="228"/>
      <c r="H3202" s="228">
        <v>465000</v>
      </c>
    </row>
    <row r="3203" spans="1:8" ht="25.5">
      <c r="A3203" s="86"/>
      <c r="B3203" s="86"/>
      <c r="C3203" s="18"/>
      <c r="D3203" s="93" t="s">
        <v>1035</v>
      </c>
      <c r="E3203" s="66"/>
      <c r="F3203" s="66"/>
      <c r="G3203" s="66"/>
      <c r="H3203" s="66">
        <f>SUM(H3204:H3205)</f>
        <v>1212429</v>
      </c>
    </row>
    <row r="3204" spans="1:8" ht="19.5" customHeight="1">
      <c r="A3204" s="86"/>
      <c r="B3204" s="86"/>
      <c r="C3204" s="22">
        <v>2668</v>
      </c>
      <c r="D3204" s="147" t="s">
        <v>385</v>
      </c>
      <c r="E3204" s="88"/>
      <c r="F3204" s="88"/>
      <c r="G3204" s="88"/>
      <c r="H3204" s="88">
        <f>1067777-9274</f>
        <v>1058503</v>
      </c>
    </row>
    <row r="3205" spans="1:8" ht="19.5" customHeight="1">
      <c r="A3205" s="107"/>
      <c r="B3205" s="107"/>
      <c r="C3205" s="22">
        <v>2669</v>
      </c>
      <c r="D3205" s="20" t="s">
        <v>385</v>
      </c>
      <c r="E3205" s="65"/>
      <c r="F3205" s="65"/>
      <c r="G3205" s="65"/>
      <c r="H3205" s="65">
        <v>153926</v>
      </c>
    </row>
    <row r="3206" spans="1:8" ht="19.5" customHeight="1" thickBot="1">
      <c r="A3206" s="375">
        <v>853</v>
      </c>
      <c r="B3206" s="375"/>
      <c r="C3206" s="402"/>
      <c r="D3206" s="376" t="s">
        <v>277</v>
      </c>
      <c r="E3206" s="406"/>
      <c r="F3206" s="406"/>
      <c r="G3206" s="406"/>
      <c r="H3206" s="406">
        <f>H3207</f>
        <v>100000</v>
      </c>
    </row>
    <row r="3207" spans="1:8" ht="19.5" customHeight="1">
      <c r="A3207" s="86"/>
      <c r="B3207" s="3">
        <v>85321</v>
      </c>
      <c r="C3207" s="45"/>
      <c r="D3207" s="67" t="s">
        <v>630</v>
      </c>
      <c r="E3207" s="167"/>
      <c r="F3207" s="167"/>
      <c r="G3207" s="167"/>
      <c r="H3207" s="167">
        <f>H3208</f>
        <v>100000</v>
      </c>
    </row>
    <row r="3208" spans="1:8" ht="25.5">
      <c r="A3208" s="86"/>
      <c r="B3208" s="122"/>
      <c r="C3208" s="128"/>
      <c r="D3208" s="16" t="s">
        <v>122</v>
      </c>
      <c r="E3208" s="169"/>
      <c r="F3208" s="169"/>
      <c r="G3208" s="169"/>
      <c r="H3208" s="169">
        <f>SUM(H3209:H3215)</f>
        <v>100000</v>
      </c>
    </row>
    <row r="3209" spans="1:8" ht="19.5" customHeight="1">
      <c r="A3209" s="86"/>
      <c r="B3209" s="86"/>
      <c r="C3209" s="22">
        <v>4010</v>
      </c>
      <c r="D3209" s="20" t="s">
        <v>754</v>
      </c>
      <c r="E3209" s="176"/>
      <c r="F3209" s="176"/>
      <c r="G3209" s="176"/>
      <c r="H3209" s="176">
        <v>12000</v>
      </c>
    </row>
    <row r="3210" spans="1:8" ht="19.5" customHeight="1">
      <c r="A3210" s="86"/>
      <c r="B3210" s="86"/>
      <c r="C3210" s="144">
        <v>4110</v>
      </c>
      <c r="D3210" s="252" t="s">
        <v>681</v>
      </c>
      <c r="E3210" s="176"/>
      <c r="F3210" s="176"/>
      <c r="G3210" s="176"/>
      <c r="H3210" s="176">
        <f>2000+8000</f>
        <v>10000</v>
      </c>
    </row>
    <row r="3211" spans="1:8" ht="19.5" customHeight="1">
      <c r="A3211" s="86"/>
      <c r="B3211" s="86"/>
      <c r="C3211" s="144">
        <v>4120</v>
      </c>
      <c r="D3211" s="252" t="s">
        <v>682</v>
      </c>
      <c r="E3211" s="176"/>
      <c r="F3211" s="176"/>
      <c r="G3211" s="176"/>
      <c r="H3211" s="176">
        <v>300</v>
      </c>
    </row>
    <row r="3212" spans="1:8" ht="19.5" customHeight="1">
      <c r="A3212" s="86"/>
      <c r="B3212" s="86"/>
      <c r="C3212" s="144">
        <v>4170</v>
      </c>
      <c r="D3212" s="252" t="s">
        <v>740</v>
      </c>
      <c r="E3212" s="176"/>
      <c r="F3212" s="176"/>
      <c r="G3212" s="176"/>
      <c r="H3212" s="176">
        <v>49000</v>
      </c>
    </row>
    <row r="3213" spans="1:8" ht="19.5" customHeight="1">
      <c r="A3213" s="107"/>
      <c r="B3213" s="107"/>
      <c r="C3213" s="144">
        <v>4260</v>
      </c>
      <c r="D3213" s="252" t="s">
        <v>752</v>
      </c>
      <c r="E3213" s="176"/>
      <c r="F3213" s="176"/>
      <c r="G3213" s="176"/>
      <c r="H3213" s="176">
        <v>300</v>
      </c>
    </row>
    <row r="3214" spans="1:8" ht="19.5" customHeight="1">
      <c r="A3214" s="122"/>
      <c r="B3214" s="122"/>
      <c r="C3214" s="144">
        <v>4300</v>
      </c>
      <c r="D3214" s="252" t="s">
        <v>815</v>
      </c>
      <c r="E3214" s="232"/>
      <c r="F3214" s="232"/>
      <c r="G3214" s="232"/>
      <c r="H3214" s="232">
        <f>85700-81300</f>
        <v>4400</v>
      </c>
    </row>
    <row r="3215" spans="1:8" ht="27" customHeight="1">
      <c r="A3215" s="86"/>
      <c r="B3215" s="86"/>
      <c r="C3215" s="144">
        <v>4400</v>
      </c>
      <c r="D3215" s="252" t="s">
        <v>1081</v>
      </c>
      <c r="E3215" s="176"/>
      <c r="F3215" s="176"/>
      <c r="G3215" s="176"/>
      <c r="H3215" s="176">
        <v>24000</v>
      </c>
    </row>
    <row r="3216" spans="1:8" ht="37.5" customHeight="1" thickBot="1">
      <c r="A3216" s="158"/>
      <c r="B3216" s="158"/>
      <c r="C3216" s="158"/>
      <c r="D3216" s="192" t="s">
        <v>1021</v>
      </c>
      <c r="E3216" s="160"/>
      <c r="F3216" s="160"/>
      <c r="G3216" s="160"/>
      <c r="H3216" s="160">
        <f>H3217</f>
        <v>528000</v>
      </c>
    </row>
    <row r="3217" spans="1:8" ht="23.25" customHeight="1" thickBot="1" thickTop="1">
      <c r="A3217" s="382">
        <v>853</v>
      </c>
      <c r="B3217" s="382"/>
      <c r="C3217" s="382"/>
      <c r="D3217" s="382" t="s">
        <v>277</v>
      </c>
      <c r="E3217" s="384"/>
      <c r="F3217" s="384"/>
      <c r="G3217" s="384"/>
      <c r="H3217" s="384">
        <f>H3218</f>
        <v>528000</v>
      </c>
    </row>
    <row r="3218" spans="1:8" ht="18.75" customHeight="1">
      <c r="A3218" s="56"/>
      <c r="B3218" s="165">
        <v>85321</v>
      </c>
      <c r="C3218" s="165"/>
      <c r="D3218" s="165" t="s">
        <v>630</v>
      </c>
      <c r="E3218" s="167"/>
      <c r="F3218" s="167"/>
      <c r="G3218" s="167"/>
      <c r="H3218" s="167">
        <f>H3219</f>
        <v>528000</v>
      </c>
    </row>
    <row r="3219" spans="1:8" ht="27.75" customHeight="1">
      <c r="A3219" s="86"/>
      <c r="B3219" s="122"/>
      <c r="C3219" s="128"/>
      <c r="D3219" s="16" t="s">
        <v>122</v>
      </c>
      <c r="E3219" s="17"/>
      <c r="F3219" s="17"/>
      <c r="G3219" s="17"/>
      <c r="H3219" s="17">
        <f>SUM(H3220:H3231)</f>
        <v>528000</v>
      </c>
    </row>
    <row r="3220" spans="1:8" ht="21" customHeight="1">
      <c r="A3220" s="86"/>
      <c r="B3220" s="86"/>
      <c r="C3220" s="18">
        <v>4010</v>
      </c>
      <c r="D3220" s="221" t="s">
        <v>754</v>
      </c>
      <c r="E3220" s="279"/>
      <c r="F3220" s="279"/>
      <c r="G3220" s="279"/>
      <c r="H3220" s="279">
        <v>270299</v>
      </c>
    </row>
    <row r="3221" spans="1:8" ht="21" customHeight="1">
      <c r="A3221" s="86"/>
      <c r="B3221" s="86"/>
      <c r="C3221" s="144">
        <v>4040</v>
      </c>
      <c r="D3221" s="252" t="s">
        <v>755</v>
      </c>
      <c r="E3221" s="65"/>
      <c r="F3221" s="65"/>
      <c r="G3221" s="65"/>
      <c r="H3221" s="65">
        <v>24460</v>
      </c>
    </row>
    <row r="3222" spans="1:8" ht="21" customHeight="1">
      <c r="A3222" s="86"/>
      <c r="B3222" s="86"/>
      <c r="C3222" s="22">
        <v>4110</v>
      </c>
      <c r="D3222" s="20" t="s">
        <v>681</v>
      </c>
      <c r="E3222" s="6"/>
      <c r="F3222" s="6"/>
      <c r="G3222" s="6"/>
      <c r="H3222" s="6">
        <v>54200</v>
      </c>
    </row>
    <row r="3223" spans="1:8" ht="21" customHeight="1">
      <c r="A3223" s="86"/>
      <c r="B3223" s="86"/>
      <c r="C3223" s="144">
        <v>4120</v>
      </c>
      <c r="D3223" s="252" t="s">
        <v>682</v>
      </c>
      <c r="E3223" s="6"/>
      <c r="F3223" s="6"/>
      <c r="G3223" s="6"/>
      <c r="H3223" s="6">
        <v>10100</v>
      </c>
    </row>
    <row r="3224" spans="1:8" ht="21" customHeight="1">
      <c r="A3224" s="86"/>
      <c r="B3224" s="86"/>
      <c r="C3224" s="144">
        <v>4170</v>
      </c>
      <c r="D3224" s="252" t="s">
        <v>740</v>
      </c>
      <c r="E3224" s="6"/>
      <c r="F3224" s="6"/>
      <c r="G3224" s="6"/>
      <c r="H3224" s="6">
        <v>80000</v>
      </c>
    </row>
    <row r="3225" spans="1:8" ht="21" customHeight="1">
      <c r="A3225" s="86"/>
      <c r="B3225" s="86"/>
      <c r="C3225" s="144">
        <v>4210</v>
      </c>
      <c r="D3225" s="252" t="s">
        <v>748</v>
      </c>
      <c r="E3225" s="6"/>
      <c r="F3225" s="6"/>
      <c r="G3225" s="6"/>
      <c r="H3225" s="6">
        <v>7000</v>
      </c>
    </row>
    <row r="3226" spans="1:8" ht="21" customHeight="1">
      <c r="A3226" s="86"/>
      <c r="B3226" s="86"/>
      <c r="C3226" s="128">
        <v>4260</v>
      </c>
      <c r="D3226" s="128" t="s">
        <v>752</v>
      </c>
      <c r="E3226" s="279"/>
      <c r="F3226" s="279"/>
      <c r="G3226" s="279"/>
      <c r="H3226" s="279">
        <v>2900</v>
      </c>
    </row>
    <row r="3227" spans="1:8" ht="21" customHeight="1">
      <c r="A3227" s="86"/>
      <c r="B3227" s="86"/>
      <c r="C3227" s="144">
        <v>4300</v>
      </c>
      <c r="D3227" s="252" t="s">
        <v>815</v>
      </c>
      <c r="E3227" s="65"/>
      <c r="F3227" s="65"/>
      <c r="G3227" s="65"/>
      <c r="H3227" s="65">
        <v>10300</v>
      </c>
    </row>
    <row r="3228" spans="1:8" ht="21" customHeight="1">
      <c r="A3228" s="86"/>
      <c r="B3228" s="86"/>
      <c r="C3228" s="22">
        <v>4370</v>
      </c>
      <c r="D3228" s="20" t="s">
        <v>311</v>
      </c>
      <c r="E3228" s="6"/>
      <c r="F3228" s="6"/>
      <c r="G3228" s="6"/>
      <c r="H3228" s="6">
        <v>1236</v>
      </c>
    </row>
    <row r="3229" spans="1:8" ht="26.25" customHeight="1">
      <c r="A3229" s="86"/>
      <c r="B3229" s="86"/>
      <c r="C3229" s="22">
        <v>4400</v>
      </c>
      <c r="D3229" s="20" t="s">
        <v>1081</v>
      </c>
      <c r="E3229" s="6"/>
      <c r="F3229" s="6"/>
      <c r="G3229" s="6"/>
      <c r="H3229" s="6">
        <v>58370</v>
      </c>
    </row>
    <row r="3230" spans="1:8" ht="21" customHeight="1">
      <c r="A3230" s="86"/>
      <c r="B3230" s="86"/>
      <c r="C3230" s="22">
        <v>4410</v>
      </c>
      <c r="D3230" s="20" t="s">
        <v>749</v>
      </c>
      <c r="E3230" s="6"/>
      <c r="F3230" s="6"/>
      <c r="G3230" s="6"/>
      <c r="H3230" s="6">
        <v>964</v>
      </c>
    </row>
    <row r="3231" spans="1:8" ht="21" customHeight="1">
      <c r="A3231" s="86"/>
      <c r="B3231" s="86"/>
      <c r="C3231" s="22">
        <v>4440</v>
      </c>
      <c r="D3231" s="20" t="s">
        <v>684</v>
      </c>
      <c r="E3231" s="6"/>
      <c r="F3231" s="6"/>
      <c r="G3231" s="6"/>
      <c r="H3231" s="6">
        <v>8171</v>
      </c>
    </row>
    <row r="3232" spans="1:8" ht="24" customHeight="1">
      <c r="A3232" s="56"/>
      <c r="B3232" s="56"/>
      <c r="C3232" s="56"/>
      <c r="D3232" s="271" t="s">
        <v>208</v>
      </c>
      <c r="E3232" s="272">
        <f>E3233+E3242</f>
        <v>442816</v>
      </c>
      <c r="F3232" s="272"/>
      <c r="G3232" s="272">
        <f>G3247+G3440+G3451</f>
        <v>121600319</v>
      </c>
      <c r="H3232" s="272"/>
    </row>
    <row r="3233" spans="1:8" ht="24.75" customHeight="1" thickBot="1">
      <c r="A3233" s="158"/>
      <c r="B3233" s="158"/>
      <c r="C3233" s="158"/>
      <c r="D3233" s="159" t="s">
        <v>461</v>
      </c>
      <c r="E3233" s="160">
        <f>E3238+E3234</f>
        <v>124816</v>
      </c>
      <c r="F3233" s="160"/>
      <c r="G3233" s="160"/>
      <c r="H3233" s="160"/>
    </row>
    <row r="3234" spans="1:8" ht="21" customHeight="1" thickBot="1" thickTop="1">
      <c r="A3234" s="920">
        <v>750</v>
      </c>
      <c r="B3234" s="920"/>
      <c r="C3234" s="920"/>
      <c r="D3234" s="959" t="s">
        <v>439</v>
      </c>
      <c r="E3234" s="406">
        <f>E3235</f>
        <v>24816</v>
      </c>
      <c r="F3234" s="406"/>
      <c r="G3234" s="406"/>
      <c r="H3234" s="406"/>
    </row>
    <row r="3235" spans="1:8" ht="21" customHeight="1">
      <c r="A3235" s="923"/>
      <c r="B3235" s="924">
        <v>75023</v>
      </c>
      <c r="C3235" s="924"/>
      <c r="D3235" s="960" t="s">
        <v>1061</v>
      </c>
      <c r="E3235" s="167">
        <f>E3236</f>
        <v>24816</v>
      </c>
      <c r="F3235" s="167"/>
      <c r="G3235" s="167"/>
      <c r="H3235" s="167"/>
    </row>
    <row r="3236" spans="1:8" ht="21" customHeight="1">
      <c r="A3236" s="923"/>
      <c r="B3236" s="923"/>
      <c r="C3236" s="938"/>
      <c r="D3236" s="904" t="s">
        <v>790</v>
      </c>
      <c r="E3236" s="270">
        <f>E3237</f>
        <v>24816</v>
      </c>
      <c r="F3236" s="270"/>
      <c r="G3236" s="270"/>
      <c r="H3236" s="270"/>
    </row>
    <row r="3237" spans="1:8" ht="21" customHeight="1">
      <c r="A3237" s="1001"/>
      <c r="B3237" s="1001"/>
      <c r="C3237" s="940" t="s">
        <v>1064</v>
      </c>
      <c r="D3237" s="941" t="s">
        <v>882</v>
      </c>
      <c r="E3237" s="958">
        <f>2806+22010</f>
        <v>24816</v>
      </c>
      <c r="F3237" s="958"/>
      <c r="G3237" s="958"/>
      <c r="H3237" s="958"/>
    </row>
    <row r="3238" spans="1:8" ht="21" customHeight="1" thickBot="1">
      <c r="A3238" s="405">
        <v>900</v>
      </c>
      <c r="B3238" s="405"/>
      <c r="C3238" s="405"/>
      <c r="D3238" s="405" t="s">
        <v>1048</v>
      </c>
      <c r="E3238" s="406">
        <f>E3239</f>
        <v>100000</v>
      </c>
      <c r="F3238" s="406"/>
      <c r="G3238" s="406"/>
      <c r="H3238" s="406"/>
    </row>
    <row r="3239" spans="1:8" ht="21" customHeight="1">
      <c r="A3239" s="55"/>
      <c r="B3239" s="165">
        <v>90095</v>
      </c>
      <c r="C3239" s="165"/>
      <c r="D3239" s="213" t="s">
        <v>100</v>
      </c>
      <c r="E3239" s="214">
        <f>E3240</f>
        <v>100000</v>
      </c>
      <c r="F3239" s="214"/>
      <c r="G3239" s="214"/>
      <c r="H3239" s="214"/>
    </row>
    <row r="3240" spans="1:8" ht="21" customHeight="1">
      <c r="A3240" s="56"/>
      <c r="B3240" s="56"/>
      <c r="C3240" s="199"/>
      <c r="D3240" s="1082" t="s">
        <v>876</v>
      </c>
      <c r="E3240" s="57">
        <f>E3241</f>
        <v>100000</v>
      </c>
      <c r="F3240" s="57"/>
      <c r="G3240" s="57"/>
      <c r="H3240" s="57"/>
    </row>
    <row r="3241" spans="1:8" ht="24.75" customHeight="1">
      <c r="A3241" s="170"/>
      <c r="B3241" s="170"/>
      <c r="C3241" s="76">
        <v>6290</v>
      </c>
      <c r="D3241" s="77" t="s">
        <v>931</v>
      </c>
      <c r="E3241" s="190">
        <v>100000</v>
      </c>
      <c r="F3241" s="190"/>
      <c r="G3241" s="190"/>
      <c r="H3241" s="190"/>
    </row>
    <row r="3242" spans="1:8" ht="29.25" thickBot="1">
      <c r="A3242" s="158"/>
      <c r="B3242" s="158"/>
      <c r="C3242" s="158"/>
      <c r="D3242" s="192" t="s">
        <v>104</v>
      </c>
      <c r="E3242" s="160">
        <f>E3243</f>
        <v>318000</v>
      </c>
      <c r="F3242" s="160"/>
      <c r="G3242" s="160"/>
      <c r="H3242" s="160"/>
    </row>
    <row r="3243" spans="1:8" ht="19.5" customHeight="1" thickBot="1" thickTop="1">
      <c r="A3243" s="382">
        <v>900</v>
      </c>
      <c r="B3243" s="382"/>
      <c r="C3243" s="382"/>
      <c r="D3243" s="382" t="s">
        <v>1048</v>
      </c>
      <c r="E3243" s="384">
        <f>E3244</f>
        <v>318000</v>
      </c>
      <c r="F3243" s="384"/>
      <c r="G3243" s="384"/>
      <c r="H3243" s="384"/>
    </row>
    <row r="3244" spans="1:8" ht="19.5" customHeight="1">
      <c r="A3244" s="55"/>
      <c r="B3244" s="165">
        <v>90002</v>
      </c>
      <c r="C3244" s="165"/>
      <c r="D3244" s="213" t="s">
        <v>176</v>
      </c>
      <c r="E3244" s="214">
        <f>E3245</f>
        <v>318000</v>
      </c>
      <c r="F3244" s="214"/>
      <c r="G3244" s="214"/>
      <c r="H3244" s="214"/>
    </row>
    <row r="3245" spans="1:8" ht="25.5" customHeight="1">
      <c r="A3245" s="56"/>
      <c r="B3245" s="56"/>
      <c r="C3245" s="1083"/>
      <c r="D3245" s="1055" t="s">
        <v>169</v>
      </c>
      <c r="E3245" s="57">
        <f>E3246</f>
        <v>318000</v>
      </c>
      <c r="F3245" s="57"/>
      <c r="G3245" s="57"/>
      <c r="H3245" s="57"/>
    </row>
    <row r="3246" spans="1:8" ht="38.25">
      <c r="A3246" s="170"/>
      <c r="B3246" s="170"/>
      <c r="C3246" s="433">
        <v>6300</v>
      </c>
      <c r="D3246" s="360" t="s">
        <v>367</v>
      </c>
      <c r="E3246" s="355">
        <v>318000</v>
      </c>
      <c r="F3246" s="355"/>
      <c r="G3246" s="355"/>
      <c r="H3246" s="355"/>
    </row>
    <row r="3247" spans="1:8" ht="19.5" customHeight="1" thickBot="1">
      <c r="A3247" s="158"/>
      <c r="B3247" s="158"/>
      <c r="C3247" s="1078"/>
      <c r="D3247" s="349" t="s">
        <v>646</v>
      </c>
      <c r="E3247" s="267"/>
      <c r="F3247" s="267"/>
      <c r="G3247" s="267">
        <f>G3248+G3297+G3319+G3343+G3349+G3395+G3418+G3305</f>
        <v>120982319</v>
      </c>
      <c r="H3247" s="267"/>
    </row>
    <row r="3248" spans="1:8" ht="19.5" customHeight="1" thickBot="1" thickTop="1">
      <c r="A3248" s="375">
        <v>600</v>
      </c>
      <c r="B3248" s="375"/>
      <c r="C3248" s="375"/>
      <c r="D3248" s="375" t="s">
        <v>525</v>
      </c>
      <c r="E3248" s="378"/>
      <c r="F3248" s="378"/>
      <c r="G3248" s="378">
        <f>G3255+G3279+G3293+G3249</f>
        <v>48422160</v>
      </c>
      <c r="H3248" s="378"/>
    </row>
    <row r="3249" spans="1:8" ht="19.5" customHeight="1">
      <c r="A3249" s="2"/>
      <c r="B3249" s="3">
        <v>60004</v>
      </c>
      <c r="C3249" s="3"/>
      <c r="D3249" s="3" t="s">
        <v>647</v>
      </c>
      <c r="E3249" s="4"/>
      <c r="F3249" s="4"/>
      <c r="G3249" s="4">
        <f>G3250</f>
        <v>4300000</v>
      </c>
      <c r="H3249" s="4"/>
    </row>
    <row r="3250" spans="1:8" ht="19.5" customHeight="1">
      <c r="A3250" s="2"/>
      <c r="B3250" s="5"/>
      <c r="C3250" s="5"/>
      <c r="D3250" s="87" t="s">
        <v>841</v>
      </c>
      <c r="E3250" s="9"/>
      <c r="F3250" s="9"/>
      <c r="G3250" s="169">
        <f>G3254</f>
        <v>4300000</v>
      </c>
      <c r="H3250" s="169"/>
    </row>
    <row r="3251" spans="1:8" ht="19.5" customHeight="1">
      <c r="A3251" s="2"/>
      <c r="B3251" s="2"/>
      <c r="C3251" s="2"/>
      <c r="D3251" s="194" t="s">
        <v>132</v>
      </c>
      <c r="E3251" s="10"/>
      <c r="F3251" s="10"/>
      <c r="G3251" s="10">
        <v>200000</v>
      </c>
      <c r="H3251" s="10"/>
    </row>
    <row r="3252" spans="1:8" ht="19.5" customHeight="1">
      <c r="A3252" s="2"/>
      <c r="B3252" s="2"/>
      <c r="C3252" s="2"/>
      <c r="D3252" s="179" t="s">
        <v>133</v>
      </c>
      <c r="E3252" s="11"/>
      <c r="F3252" s="11"/>
      <c r="G3252" s="11">
        <v>4000000</v>
      </c>
      <c r="H3252" s="11"/>
    </row>
    <row r="3253" spans="1:8" ht="19.5" customHeight="1">
      <c r="A3253" s="2"/>
      <c r="B3253" s="2"/>
      <c r="C3253" s="2"/>
      <c r="D3253" s="179" t="s">
        <v>134</v>
      </c>
      <c r="E3253" s="11"/>
      <c r="F3253" s="11"/>
      <c r="G3253" s="11">
        <v>100000</v>
      </c>
      <c r="H3253" s="11"/>
    </row>
    <row r="3254" spans="1:8" ht="19.5" customHeight="1">
      <c r="A3254" s="2"/>
      <c r="B3254" s="3"/>
      <c r="C3254" s="22">
        <v>6050</v>
      </c>
      <c r="D3254" s="22" t="s">
        <v>746</v>
      </c>
      <c r="E3254" s="4"/>
      <c r="F3254" s="4"/>
      <c r="G3254" s="6">
        <f>SUM(G3251:G3253)</f>
        <v>4300000</v>
      </c>
      <c r="H3254" s="6"/>
    </row>
    <row r="3255" spans="1:8" ht="19.5" customHeight="1">
      <c r="A3255" s="56"/>
      <c r="B3255" s="13">
        <v>60015</v>
      </c>
      <c r="C3255" s="13"/>
      <c r="D3255" s="3" t="s">
        <v>1113</v>
      </c>
      <c r="E3255" s="229"/>
      <c r="F3255" s="229"/>
      <c r="G3255" s="15">
        <f>G3256</f>
        <v>35322160</v>
      </c>
      <c r="H3255" s="15"/>
    </row>
    <row r="3256" spans="1:8" ht="19.5" customHeight="1">
      <c r="A3256" s="56"/>
      <c r="B3256" s="56"/>
      <c r="C3256" s="86"/>
      <c r="D3256" s="16" t="s">
        <v>297</v>
      </c>
      <c r="E3256" s="17"/>
      <c r="F3256" s="17"/>
      <c r="G3256" s="17">
        <f>G3278</f>
        <v>35322160</v>
      </c>
      <c r="H3256" s="17"/>
    </row>
    <row r="3257" spans="1:8" ht="30" customHeight="1">
      <c r="A3257" s="56"/>
      <c r="B3257" s="56"/>
      <c r="C3257" s="56"/>
      <c r="D3257" s="434" t="s">
        <v>298</v>
      </c>
      <c r="E3257" s="10"/>
      <c r="F3257" s="10"/>
      <c r="G3257" s="10">
        <v>500000</v>
      </c>
      <c r="H3257" s="10"/>
    </row>
    <row r="3258" spans="1:8" ht="19.5" customHeight="1">
      <c r="A3258" s="56"/>
      <c r="B3258" s="56"/>
      <c r="C3258" s="56"/>
      <c r="D3258" s="296" t="s">
        <v>299</v>
      </c>
      <c r="E3258" s="11"/>
      <c r="F3258" s="11"/>
      <c r="G3258" s="11">
        <v>4800000</v>
      </c>
      <c r="H3258" s="11"/>
    </row>
    <row r="3259" spans="1:8" ht="25.5">
      <c r="A3259" s="56"/>
      <c r="B3259" s="56"/>
      <c r="C3259" s="56"/>
      <c r="D3259" s="413" t="s">
        <v>986</v>
      </c>
      <c r="E3259" s="11"/>
      <c r="F3259" s="11"/>
      <c r="G3259" s="11">
        <v>800000</v>
      </c>
      <c r="H3259" s="11"/>
    </row>
    <row r="3260" spans="1:8" ht="19.5" customHeight="1">
      <c r="A3260" s="56"/>
      <c r="B3260" s="56"/>
      <c r="C3260" s="56"/>
      <c r="D3260" s="179" t="s">
        <v>687</v>
      </c>
      <c r="E3260" s="11"/>
      <c r="F3260" s="11"/>
      <c r="G3260" s="11">
        <v>25000</v>
      </c>
      <c r="H3260" s="11"/>
    </row>
    <row r="3261" spans="1:8" ht="18.75" customHeight="1">
      <c r="A3261" s="56"/>
      <c r="B3261" s="56"/>
      <c r="C3261" s="56"/>
      <c r="D3261" s="340" t="s">
        <v>480</v>
      </c>
      <c r="E3261" s="11"/>
      <c r="F3261" s="11"/>
      <c r="G3261" s="11">
        <f>4000000+3200000</f>
        <v>7200000</v>
      </c>
      <c r="H3261" s="11"/>
    </row>
    <row r="3262" spans="1:8" ht="18.75" customHeight="1">
      <c r="A3262" s="158"/>
      <c r="B3262" s="158"/>
      <c r="C3262" s="158"/>
      <c r="D3262" s="306" t="s">
        <v>688</v>
      </c>
      <c r="E3262" s="228"/>
      <c r="F3262" s="228"/>
      <c r="G3262" s="228">
        <v>200000</v>
      </c>
      <c r="H3262" s="228"/>
    </row>
    <row r="3263" spans="1:8" ht="21" customHeight="1">
      <c r="A3263" s="193"/>
      <c r="B3263" s="193"/>
      <c r="C3263" s="193"/>
      <c r="D3263" s="418" t="s">
        <v>689</v>
      </c>
      <c r="E3263" s="178"/>
      <c r="F3263" s="178"/>
      <c r="G3263" s="178">
        <v>5000000</v>
      </c>
      <c r="H3263" s="178"/>
    </row>
    <row r="3264" spans="1:8" ht="19.5" customHeight="1">
      <c r="A3264" s="56"/>
      <c r="B3264" s="56"/>
      <c r="C3264" s="56"/>
      <c r="D3264" s="179" t="s">
        <v>251</v>
      </c>
      <c r="E3264" s="11"/>
      <c r="F3264" s="11"/>
      <c r="G3264" s="11">
        <v>100000</v>
      </c>
      <c r="H3264" s="11"/>
    </row>
    <row r="3265" spans="1:8" ht="19.5" customHeight="1">
      <c r="A3265" s="56"/>
      <c r="B3265" s="56"/>
      <c r="C3265" s="56"/>
      <c r="D3265" s="340" t="s">
        <v>1042</v>
      </c>
      <c r="E3265" s="11"/>
      <c r="F3265" s="11"/>
      <c r="G3265" s="11">
        <v>100000</v>
      </c>
      <c r="H3265" s="11"/>
    </row>
    <row r="3266" spans="1:8" ht="19.5" customHeight="1">
      <c r="A3266" s="56"/>
      <c r="B3266" s="56"/>
      <c r="C3266" s="56"/>
      <c r="D3266" s="340" t="s">
        <v>590</v>
      </c>
      <c r="E3266" s="11"/>
      <c r="F3266" s="11"/>
      <c r="G3266" s="11">
        <f>2744360-1000000</f>
        <v>1744360</v>
      </c>
      <c r="H3266" s="11"/>
    </row>
    <row r="3267" spans="1:8" ht="26.25" customHeight="1">
      <c r="A3267" s="56"/>
      <c r="B3267" s="56"/>
      <c r="C3267" s="56"/>
      <c r="D3267" s="340" t="s">
        <v>591</v>
      </c>
      <c r="E3267" s="461"/>
      <c r="F3267" s="461"/>
      <c r="G3267" s="11">
        <f>1217160-700000</f>
        <v>517160</v>
      </c>
      <c r="H3267" s="11"/>
    </row>
    <row r="3268" spans="1:8" ht="19.5" customHeight="1">
      <c r="A3268" s="56"/>
      <c r="B3268" s="56"/>
      <c r="C3268" s="56"/>
      <c r="D3268" s="340" t="s">
        <v>595</v>
      </c>
      <c r="E3268" s="11"/>
      <c r="F3268" s="11"/>
      <c r="G3268" s="11">
        <v>100000</v>
      </c>
      <c r="H3268" s="11"/>
    </row>
    <row r="3269" spans="1:8" ht="19.5" customHeight="1">
      <c r="A3269" s="56"/>
      <c r="B3269" s="56"/>
      <c r="C3269" s="56"/>
      <c r="D3269" s="340" t="s">
        <v>596</v>
      </c>
      <c r="E3269" s="11"/>
      <c r="F3269" s="11"/>
      <c r="G3269" s="11">
        <v>50000</v>
      </c>
      <c r="H3269" s="11"/>
    </row>
    <row r="3270" spans="1:8" ht="25.5">
      <c r="A3270" s="56"/>
      <c r="B3270" s="56"/>
      <c r="C3270" s="56"/>
      <c r="D3270" s="332" t="s">
        <v>1028</v>
      </c>
      <c r="E3270" s="11"/>
      <c r="F3270" s="11"/>
      <c r="G3270" s="11">
        <v>1500000</v>
      </c>
      <c r="H3270" s="11"/>
    </row>
    <row r="3271" spans="1:8" ht="19.5" customHeight="1">
      <c r="A3271" s="56"/>
      <c r="B3271" s="56"/>
      <c r="C3271" s="56"/>
      <c r="D3271" s="332" t="s">
        <v>1029</v>
      </c>
      <c r="E3271" s="11"/>
      <c r="F3271" s="11"/>
      <c r="G3271" s="11">
        <v>500000</v>
      </c>
      <c r="H3271" s="11"/>
    </row>
    <row r="3272" spans="1:8" ht="19.5" customHeight="1">
      <c r="A3272" s="56"/>
      <c r="B3272" s="56"/>
      <c r="C3272" s="56"/>
      <c r="D3272" s="366" t="s">
        <v>1026</v>
      </c>
      <c r="E3272" s="230"/>
      <c r="F3272" s="230"/>
      <c r="G3272" s="230">
        <v>500000</v>
      </c>
      <c r="H3272" s="230"/>
    </row>
    <row r="3273" spans="1:8" ht="19.5" customHeight="1">
      <c r="A3273" s="56"/>
      <c r="B3273" s="56"/>
      <c r="C3273" s="56"/>
      <c r="D3273" s="340" t="s">
        <v>1027</v>
      </c>
      <c r="E3273" s="11"/>
      <c r="F3273" s="11"/>
      <c r="G3273" s="11">
        <v>600000</v>
      </c>
      <c r="H3273" s="11"/>
    </row>
    <row r="3274" spans="1:8" ht="38.25">
      <c r="A3274" s="56"/>
      <c r="B3274" s="56"/>
      <c r="C3274" s="56"/>
      <c r="D3274" s="332" t="s">
        <v>762</v>
      </c>
      <c r="E3274" s="11"/>
      <c r="F3274" s="11"/>
      <c r="G3274" s="11">
        <v>1000000</v>
      </c>
      <c r="H3274" s="11"/>
    </row>
    <row r="3275" spans="1:8" ht="19.5" customHeight="1">
      <c r="A3275" s="56"/>
      <c r="B3275" s="56"/>
      <c r="C3275" s="56"/>
      <c r="D3275" s="332" t="s">
        <v>421</v>
      </c>
      <c r="E3275" s="11"/>
      <c r="F3275" s="11"/>
      <c r="G3275" s="11">
        <v>10000000</v>
      </c>
      <c r="H3275" s="11"/>
    </row>
    <row r="3276" spans="1:8" ht="25.5">
      <c r="A3276" s="56"/>
      <c r="B3276" s="56"/>
      <c r="C3276" s="56"/>
      <c r="D3276" s="435" t="s">
        <v>505</v>
      </c>
      <c r="E3276" s="11"/>
      <c r="F3276" s="11"/>
      <c r="G3276" s="11">
        <v>30000</v>
      </c>
      <c r="H3276" s="11"/>
    </row>
    <row r="3277" spans="1:8" ht="19.5" customHeight="1">
      <c r="A3277" s="56"/>
      <c r="B3277" s="56"/>
      <c r="C3277" s="56"/>
      <c r="D3277" s="179" t="s">
        <v>53</v>
      </c>
      <c r="E3277" s="11"/>
      <c r="F3277" s="11"/>
      <c r="G3277" s="11">
        <v>55640</v>
      </c>
      <c r="H3277" s="11"/>
    </row>
    <row r="3278" spans="1:8" ht="19.5" customHeight="1">
      <c r="A3278" s="56"/>
      <c r="B3278" s="158"/>
      <c r="C3278" s="22">
        <v>6050</v>
      </c>
      <c r="D3278" s="22" t="s">
        <v>746</v>
      </c>
      <c r="E3278" s="6"/>
      <c r="F3278" s="6"/>
      <c r="G3278" s="6">
        <f>SUM(G3257:G3277)</f>
        <v>35322160</v>
      </c>
      <c r="H3278" s="6"/>
    </row>
    <row r="3279" spans="1:8" ht="19.5" customHeight="1">
      <c r="A3279" s="56"/>
      <c r="B3279" s="3">
        <v>60016</v>
      </c>
      <c r="C3279" s="3"/>
      <c r="D3279" s="3" t="s">
        <v>1114</v>
      </c>
      <c r="E3279" s="4"/>
      <c r="F3279" s="4"/>
      <c r="G3279" s="4">
        <f>G3280</f>
        <v>8650000</v>
      </c>
      <c r="H3279" s="4"/>
    </row>
    <row r="3280" spans="1:8" ht="19.5" customHeight="1">
      <c r="A3280" s="56"/>
      <c r="B3280" s="56"/>
      <c r="C3280" s="86"/>
      <c r="D3280" s="16" t="s">
        <v>321</v>
      </c>
      <c r="E3280" s="17"/>
      <c r="F3280" s="17"/>
      <c r="G3280" s="17">
        <f>G3292</f>
        <v>8650000</v>
      </c>
      <c r="H3280" s="17"/>
    </row>
    <row r="3281" spans="1:8" ht="20.25" customHeight="1">
      <c r="A3281" s="56"/>
      <c r="B3281" s="56"/>
      <c r="C3281" s="170"/>
      <c r="D3281" s="248" t="s">
        <v>193</v>
      </c>
      <c r="E3281" s="231"/>
      <c r="F3281" s="231"/>
      <c r="G3281" s="11">
        <v>550000</v>
      </c>
      <c r="H3281" s="11"/>
    </row>
    <row r="3282" spans="1:8" ht="20.25" customHeight="1">
      <c r="A3282" s="56"/>
      <c r="B3282" s="56"/>
      <c r="C3282" s="170"/>
      <c r="D3282" s="332" t="s">
        <v>510</v>
      </c>
      <c r="E3282" s="231"/>
      <c r="F3282" s="231"/>
      <c r="G3282" s="11">
        <v>500000</v>
      </c>
      <c r="H3282" s="11"/>
    </row>
    <row r="3283" spans="1:8" ht="20.25" customHeight="1">
      <c r="A3283" s="56"/>
      <c r="B3283" s="56"/>
      <c r="C3283" s="170"/>
      <c r="D3283" s="332" t="s">
        <v>192</v>
      </c>
      <c r="E3283" s="231"/>
      <c r="F3283" s="231"/>
      <c r="G3283" s="11">
        <v>100000</v>
      </c>
      <c r="H3283" s="11"/>
    </row>
    <row r="3284" spans="1:8" ht="20.25" customHeight="1">
      <c r="A3284" s="56"/>
      <c r="B3284" s="56"/>
      <c r="C3284" s="170"/>
      <c r="D3284" s="332" t="s">
        <v>511</v>
      </c>
      <c r="E3284" s="231"/>
      <c r="F3284" s="231"/>
      <c r="G3284" s="11">
        <v>2600000</v>
      </c>
      <c r="H3284" s="11"/>
    </row>
    <row r="3285" spans="1:8" ht="20.25" customHeight="1">
      <c r="A3285" s="56"/>
      <c r="B3285" s="56"/>
      <c r="C3285" s="170"/>
      <c r="D3285" s="332" t="s">
        <v>961</v>
      </c>
      <c r="E3285" s="231"/>
      <c r="F3285" s="231"/>
      <c r="G3285" s="11">
        <v>1200000</v>
      </c>
      <c r="H3285" s="11"/>
    </row>
    <row r="3286" spans="1:8" ht="20.25" customHeight="1">
      <c r="A3286" s="56"/>
      <c r="B3286" s="56"/>
      <c r="C3286" s="170"/>
      <c r="D3286" s="332" t="s">
        <v>1051</v>
      </c>
      <c r="E3286" s="231"/>
      <c r="F3286" s="231"/>
      <c r="G3286" s="11">
        <v>300000</v>
      </c>
      <c r="H3286" s="11"/>
    </row>
    <row r="3287" spans="1:8" ht="20.25" customHeight="1">
      <c r="A3287" s="56"/>
      <c r="B3287" s="56"/>
      <c r="C3287" s="170"/>
      <c r="D3287" s="332" t="s">
        <v>1052</v>
      </c>
      <c r="E3287" s="231"/>
      <c r="F3287" s="231"/>
      <c r="G3287" s="11">
        <v>1000000</v>
      </c>
      <c r="H3287" s="11"/>
    </row>
    <row r="3288" spans="1:8" ht="20.25" customHeight="1">
      <c r="A3288" s="158"/>
      <c r="B3288" s="158"/>
      <c r="C3288" s="181"/>
      <c r="D3288" s="306" t="s">
        <v>1053</v>
      </c>
      <c r="E3288" s="6"/>
      <c r="F3288" s="6"/>
      <c r="G3288" s="228">
        <v>1000000</v>
      </c>
      <c r="H3288" s="228"/>
    </row>
    <row r="3289" spans="1:8" ht="20.25" customHeight="1">
      <c r="A3289" s="193"/>
      <c r="B3289" s="193"/>
      <c r="C3289" s="254"/>
      <c r="D3289" s="1045" t="s">
        <v>1054</v>
      </c>
      <c r="E3289" s="178"/>
      <c r="F3289" s="178"/>
      <c r="G3289" s="178">
        <v>200000</v>
      </c>
      <c r="H3289" s="178"/>
    </row>
    <row r="3290" spans="1:8" ht="18.75" customHeight="1">
      <c r="A3290" s="56"/>
      <c r="B3290" s="56"/>
      <c r="C3290" s="170"/>
      <c r="D3290" s="340" t="s">
        <v>1055</v>
      </c>
      <c r="E3290" s="11"/>
      <c r="F3290" s="11"/>
      <c r="G3290" s="11">
        <v>1000000</v>
      </c>
      <c r="H3290" s="11"/>
    </row>
    <row r="3291" spans="1:8" ht="18.75" customHeight="1">
      <c r="A3291" s="56"/>
      <c r="B3291" s="56"/>
      <c r="C3291" s="170"/>
      <c r="D3291" s="340" t="s">
        <v>1057</v>
      </c>
      <c r="E3291" s="231"/>
      <c r="F3291" s="231"/>
      <c r="G3291" s="231">
        <v>200000</v>
      </c>
      <c r="H3291" s="231"/>
    </row>
    <row r="3292" spans="1:8" ht="18.75" customHeight="1">
      <c r="A3292" s="56"/>
      <c r="B3292" s="158"/>
      <c r="C3292" s="181">
        <v>6050</v>
      </c>
      <c r="D3292" s="189" t="s">
        <v>746</v>
      </c>
      <c r="E3292" s="228"/>
      <c r="F3292" s="228"/>
      <c r="G3292" s="228">
        <f>SUM(G3281:G3291)</f>
        <v>8650000</v>
      </c>
      <c r="H3292" s="228"/>
    </row>
    <row r="3293" spans="1:8" ht="18.75" customHeight="1">
      <c r="A3293" s="56"/>
      <c r="B3293" s="3">
        <v>60017</v>
      </c>
      <c r="C3293" s="3"/>
      <c r="D3293" s="3" t="s">
        <v>481</v>
      </c>
      <c r="E3293" s="4"/>
      <c r="F3293" s="4"/>
      <c r="G3293" s="4">
        <f>G3294</f>
        <v>150000</v>
      </c>
      <c r="H3293" s="4"/>
    </row>
    <row r="3294" spans="1:8" ht="18.75" customHeight="1">
      <c r="A3294" s="56"/>
      <c r="B3294" s="86"/>
      <c r="C3294" s="86"/>
      <c r="D3294" s="348" t="s">
        <v>1083</v>
      </c>
      <c r="E3294" s="17"/>
      <c r="F3294" s="17"/>
      <c r="G3294" s="17">
        <f>G3296</f>
        <v>150000</v>
      </c>
      <c r="H3294" s="17"/>
    </row>
    <row r="3295" spans="1:8" ht="18.75" customHeight="1">
      <c r="A3295" s="56"/>
      <c r="B3295" s="86"/>
      <c r="C3295" s="86"/>
      <c r="D3295" s="253" t="s">
        <v>1084</v>
      </c>
      <c r="E3295" s="11"/>
      <c r="F3295" s="11"/>
      <c r="G3295" s="11">
        <v>150000</v>
      </c>
      <c r="H3295" s="11"/>
    </row>
    <row r="3296" spans="1:8" ht="18.75" customHeight="1">
      <c r="A3296" s="56"/>
      <c r="B3296" s="86"/>
      <c r="C3296" s="18">
        <v>6050</v>
      </c>
      <c r="D3296" s="18" t="s">
        <v>746</v>
      </c>
      <c r="E3296" s="325"/>
      <c r="F3296" s="325"/>
      <c r="G3296" s="279">
        <f>G3295</f>
        <v>150000</v>
      </c>
      <c r="H3296" s="279"/>
    </row>
    <row r="3297" spans="1:8" ht="18.75" customHeight="1" thickBot="1">
      <c r="A3297" s="394">
        <v>700</v>
      </c>
      <c r="B3297" s="436"/>
      <c r="C3297" s="436"/>
      <c r="D3297" s="394" t="s">
        <v>433</v>
      </c>
      <c r="E3297" s="377"/>
      <c r="F3297" s="377"/>
      <c r="G3297" s="377">
        <f>G3298+G3301</f>
        <v>5005000</v>
      </c>
      <c r="H3297" s="377"/>
    </row>
    <row r="3298" spans="1:8" ht="18.75" customHeight="1">
      <c r="A3298" s="86"/>
      <c r="B3298" s="3">
        <v>70005</v>
      </c>
      <c r="C3298" s="3"/>
      <c r="D3298" s="3" t="s">
        <v>435</v>
      </c>
      <c r="E3298" s="167"/>
      <c r="F3298" s="167"/>
      <c r="G3298" s="167">
        <f>G3299</f>
        <v>5000</v>
      </c>
      <c r="H3298" s="167"/>
    </row>
    <row r="3299" spans="1:8" ht="25.5">
      <c r="A3299" s="86"/>
      <c r="B3299" s="86"/>
      <c r="C3299" s="86"/>
      <c r="D3299" s="16" t="s">
        <v>284</v>
      </c>
      <c r="E3299" s="169"/>
      <c r="F3299" s="169"/>
      <c r="G3299" s="169">
        <f>G3300</f>
        <v>5000</v>
      </c>
      <c r="H3299" s="169"/>
    </row>
    <row r="3300" spans="1:8" ht="18.75" customHeight="1">
      <c r="A3300" s="86"/>
      <c r="B3300" s="107"/>
      <c r="C3300" s="22">
        <v>4300</v>
      </c>
      <c r="D3300" s="20" t="s">
        <v>815</v>
      </c>
      <c r="E3300" s="6"/>
      <c r="F3300" s="6"/>
      <c r="G3300" s="6">
        <v>5000</v>
      </c>
      <c r="H3300" s="6"/>
    </row>
    <row r="3301" spans="1:8" ht="19.5" customHeight="1">
      <c r="A3301" s="56"/>
      <c r="B3301" s="3">
        <v>70095</v>
      </c>
      <c r="C3301" s="3"/>
      <c r="D3301" s="3" t="s">
        <v>100</v>
      </c>
      <c r="E3301" s="4"/>
      <c r="F3301" s="4"/>
      <c r="G3301" s="4">
        <f>G3302</f>
        <v>5000000</v>
      </c>
      <c r="H3301" s="4"/>
    </row>
    <row r="3302" spans="1:8" ht="19.5" customHeight="1">
      <c r="A3302" s="56"/>
      <c r="B3302" s="86"/>
      <c r="C3302" s="86"/>
      <c r="D3302" s="87" t="s">
        <v>451</v>
      </c>
      <c r="E3302" s="243"/>
      <c r="F3302" s="243"/>
      <c r="G3302" s="243">
        <f>G3304</f>
        <v>5000000</v>
      </c>
      <c r="H3302" s="243"/>
    </row>
    <row r="3303" spans="1:8" ht="19.5" customHeight="1">
      <c r="A3303" s="56"/>
      <c r="B3303" s="86"/>
      <c r="C3303" s="86"/>
      <c r="D3303" s="244" t="s">
        <v>36</v>
      </c>
      <c r="E3303" s="10"/>
      <c r="F3303" s="10"/>
      <c r="G3303" s="10">
        <v>5000000</v>
      </c>
      <c r="H3303" s="10"/>
    </row>
    <row r="3304" spans="1:8" ht="19.5" customHeight="1">
      <c r="A3304" s="158"/>
      <c r="B3304" s="107"/>
      <c r="C3304" s="22">
        <v>6050</v>
      </c>
      <c r="D3304" s="20" t="s">
        <v>746</v>
      </c>
      <c r="E3304" s="6"/>
      <c r="F3304" s="6"/>
      <c r="G3304" s="6">
        <f>G3303</f>
        <v>5000000</v>
      </c>
      <c r="H3304" s="6"/>
    </row>
    <row r="3305" spans="1:8" ht="19.5" customHeight="1" thickBot="1">
      <c r="A3305" s="394">
        <v>710</v>
      </c>
      <c r="B3305" s="394"/>
      <c r="C3305" s="394"/>
      <c r="D3305" s="394" t="s">
        <v>436</v>
      </c>
      <c r="E3305" s="377"/>
      <c r="F3305" s="377"/>
      <c r="G3305" s="377">
        <f>G3306+G3315</f>
        <v>300000</v>
      </c>
      <c r="H3305" s="377"/>
    </row>
    <row r="3306" spans="1:8" ht="19.5" customHeight="1">
      <c r="A3306" s="86"/>
      <c r="B3306" s="3">
        <v>71004</v>
      </c>
      <c r="C3306" s="3"/>
      <c r="D3306" s="3" t="s">
        <v>437</v>
      </c>
      <c r="E3306" s="4"/>
      <c r="F3306" s="4"/>
      <c r="G3306" s="167">
        <f>G3307+G3309</f>
        <v>100000</v>
      </c>
      <c r="H3306" s="167"/>
    </row>
    <row r="3307" spans="1:8" ht="19.5" customHeight="1">
      <c r="A3307" s="86"/>
      <c r="B3307" s="86"/>
      <c r="C3307" s="122"/>
      <c r="D3307" s="16" t="s">
        <v>699</v>
      </c>
      <c r="E3307" s="17"/>
      <c r="F3307" s="17"/>
      <c r="G3307" s="169">
        <f>G3308</f>
        <v>10000</v>
      </c>
      <c r="H3307" s="169"/>
    </row>
    <row r="3308" spans="1:8" ht="19.5" customHeight="1">
      <c r="A3308" s="86"/>
      <c r="B3308" s="86"/>
      <c r="C3308" s="22">
        <v>4170</v>
      </c>
      <c r="D3308" s="20" t="s">
        <v>740</v>
      </c>
      <c r="E3308" s="6"/>
      <c r="F3308" s="6"/>
      <c r="G3308" s="6">
        <v>10000</v>
      </c>
      <c r="H3308" s="6"/>
    </row>
    <row r="3309" spans="1:8" s="1" customFormat="1" ht="19.5" customHeight="1">
      <c r="A3309" s="86"/>
      <c r="B3309" s="86"/>
      <c r="C3309" s="86"/>
      <c r="D3309" s="94" t="s">
        <v>695</v>
      </c>
      <c r="E3309" s="17"/>
      <c r="F3309" s="17"/>
      <c r="G3309" s="17">
        <f>SUM(G3310:G3314)</f>
        <v>90000</v>
      </c>
      <c r="H3309" s="17"/>
    </row>
    <row r="3310" spans="1:8" s="1" customFormat="1" ht="18.75" customHeight="1">
      <c r="A3310" s="86"/>
      <c r="B3310" s="86"/>
      <c r="C3310" s="22">
        <v>4170</v>
      </c>
      <c r="D3310" s="147" t="s">
        <v>740</v>
      </c>
      <c r="E3310" s="6"/>
      <c r="F3310" s="6"/>
      <c r="G3310" s="6">
        <v>8000</v>
      </c>
      <c r="H3310" s="6"/>
    </row>
    <row r="3311" spans="1:8" s="1" customFormat="1" ht="18.75" customHeight="1">
      <c r="A3311" s="86"/>
      <c r="B3311" s="86"/>
      <c r="C3311" s="144">
        <v>4210</v>
      </c>
      <c r="D3311" s="245" t="s">
        <v>748</v>
      </c>
      <c r="E3311" s="6"/>
      <c r="F3311" s="6"/>
      <c r="G3311" s="6">
        <v>25000</v>
      </c>
      <c r="H3311" s="6"/>
    </row>
    <row r="3312" spans="1:8" s="1" customFormat="1" ht="18.75" customHeight="1">
      <c r="A3312" s="86"/>
      <c r="B3312" s="86"/>
      <c r="C3312" s="144">
        <v>4300</v>
      </c>
      <c r="D3312" s="245" t="s">
        <v>815</v>
      </c>
      <c r="E3312" s="6"/>
      <c r="F3312" s="6"/>
      <c r="G3312" s="6">
        <v>22000</v>
      </c>
      <c r="H3312" s="6"/>
    </row>
    <row r="3313" spans="1:8" s="1" customFormat="1" ht="18.75" customHeight="1">
      <c r="A3313" s="86"/>
      <c r="B3313" s="86"/>
      <c r="C3313" s="22">
        <v>4390</v>
      </c>
      <c r="D3313" s="222" t="s">
        <v>1017</v>
      </c>
      <c r="E3313" s="6"/>
      <c r="F3313" s="6"/>
      <c r="G3313" s="6">
        <v>34000</v>
      </c>
      <c r="H3313" s="6"/>
    </row>
    <row r="3314" spans="1:8" s="1" customFormat="1" ht="18.75" customHeight="1">
      <c r="A3314" s="86"/>
      <c r="B3314" s="107"/>
      <c r="C3314" s="144">
        <v>4430</v>
      </c>
      <c r="D3314" s="245" t="s">
        <v>750</v>
      </c>
      <c r="E3314" s="6"/>
      <c r="F3314" s="6"/>
      <c r="G3314" s="6">
        <v>1000</v>
      </c>
      <c r="H3314" s="6"/>
    </row>
    <row r="3315" spans="1:8" ht="18.75" customHeight="1">
      <c r="A3315" s="86"/>
      <c r="B3315" s="3">
        <v>71035</v>
      </c>
      <c r="C3315" s="45"/>
      <c r="D3315" s="67" t="s">
        <v>191</v>
      </c>
      <c r="E3315" s="6"/>
      <c r="F3315" s="6"/>
      <c r="G3315" s="167">
        <f>G3316</f>
        <v>200000</v>
      </c>
      <c r="H3315" s="167"/>
    </row>
    <row r="3316" spans="1:8" ht="18.75" customHeight="1">
      <c r="A3316" s="107"/>
      <c r="B3316" s="1024"/>
      <c r="C3316" s="144"/>
      <c r="D3316" s="1065" t="s">
        <v>700</v>
      </c>
      <c r="E3316" s="65"/>
      <c r="F3316" s="65"/>
      <c r="G3316" s="1113">
        <f>G3318</f>
        <v>200000</v>
      </c>
      <c r="H3316" s="1113"/>
    </row>
    <row r="3317" spans="1:8" ht="18.75" customHeight="1">
      <c r="A3317" s="122"/>
      <c r="B3317" s="122"/>
      <c r="C3317" s="128"/>
      <c r="D3317" s="380" t="s">
        <v>170</v>
      </c>
      <c r="E3317" s="178"/>
      <c r="F3317" s="178"/>
      <c r="G3317" s="178">
        <v>200000</v>
      </c>
      <c r="H3317" s="178"/>
    </row>
    <row r="3318" spans="1:8" ht="18.75" customHeight="1">
      <c r="A3318" s="107"/>
      <c r="B3318" s="107"/>
      <c r="C3318" s="22">
        <v>6050</v>
      </c>
      <c r="D3318" s="20" t="s">
        <v>746</v>
      </c>
      <c r="E3318" s="6"/>
      <c r="F3318" s="6"/>
      <c r="G3318" s="6">
        <f>G3317</f>
        <v>200000</v>
      </c>
      <c r="H3318" s="6"/>
    </row>
    <row r="3319" spans="1:8" s="1" customFormat="1" ht="18.75" customHeight="1" thickBot="1">
      <c r="A3319" s="394">
        <v>801</v>
      </c>
      <c r="B3319" s="394"/>
      <c r="C3319" s="394"/>
      <c r="D3319" s="394" t="s">
        <v>448</v>
      </c>
      <c r="E3319" s="377"/>
      <c r="F3319" s="377"/>
      <c r="G3319" s="377">
        <f>G3320+G3326+G3334+G3338+G3330</f>
        <v>13550000</v>
      </c>
      <c r="H3319" s="377"/>
    </row>
    <row r="3320" spans="1:8" ht="18.75" customHeight="1">
      <c r="A3320" s="56"/>
      <c r="B3320" s="165">
        <v>80101</v>
      </c>
      <c r="C3320" s="165"/>
      <c r="D3320" s="165" t="s">
        <v>449</v>
      </c>
      <c r="E3320" s="167"/>
      <c r="F3320" s="167"/>
      <c r="G3320" s="167">
        <f>G3321</f>
        <v>10900000</v>
      </c>
      <c r="H3320" s="167"/>
    </row>
    <row r="3321" spans="1:8" ht="18.75" customHeight="1">
      <c r="A3321" s="56"/>
      <c r="B3321" s="56"/>
      <c r="C3321" s="56"/>
      <c r="D3321" s="16" t="s">
        <v>322</v>
      </c>
      <c r="E3321" s="169"/>
      <c r="F3321" s="169"/>
      <c r="G3321" s="169">
        <f>G3325</f>
        <v>10900000</v>
      </c>
      <c r="H3321" s="169"/>
    </row>
    <row r="3322" spans="1:8" ht="18.75" customHeight="1">
      <c r="A3322" s="56"/>
      <c r="B3322" s="56"/>
      <c r="C3322" s="170"/>
      <c r="D3322" s="340" t="s">
        <v>194</v>
      </c>
      <c r="E3322" s="296"/>
      <c r="F3322" s="250"/>
      <c r="G3322" s="249">
        <f>7400000+1000000</f>
        <v>8400000</v>
      </c>
      <c r="H3322" s="249"/>
    </row>
    <row r="3323" spans="1:8" ht="18.75" customHeight="1">
      <c r="A3323" s="56"/>
      <c r="B3323" s="56"/>
      <c r="C3323" s="170"/>
      <c r="D3323" s="368" t="s">
        <v>317</v>
      </c>
      <c r="E3323" s="367"/>
      <c r="F3323" s="367"/>
      <c r="G3323" s="367">
        <v>500000</v>
      </c>
      <c r="H3323" s="367"/>
    </row>
    <row r="3324" spans="1:8" ht="18.75" customHeight="1">
      <c r="A3324" s="56"/>
      <c r="B3324" s="56"/>
      <c r="C3324" s="170"/>
      <c r="D3324" s="340" t="s">
        <v>318</v>
      </c>
      <c r="E3324" s="296"/>
      <c r="F3324" s="296"/>
      <c r="G3324" s="296">
        <v>2000000</v>
      </c>
      <c r="H3324" s="296"/>
    </row>
    <row r="3325" spans="1:8" ht="18.75" customHeight="1">
      <c r="A3325" s="56"/>
      <c r="B3325" s="158"/>
      <c r="C3325" s="181">
        <v>6050</v>
      </c>
      <c r="D3325" s="181" t="s">
        <v>746</v>
      </c>
      <c r="E3325" s="297"/>
      <c r="F3325" s="297"/>
      <c r="G3325" s="234">
        <f>SUM(G3322:G3324)</f>
        <v>10900000</v>
      </c>
      <c r="H3325" s="234"/>
    </row>
    <row r="3326" spans="1:8" s="1" customFormat="1" ht="19.5" customHeight="1">
      <c r="A3326" s="2"/>
      <c r="B3326" s="25">
        <v>80104</v>
      </c>
      <c r="C3326" s="424"/>
      <c r="D3326" s="67" t="s">
        <v>725</v>
      </c>
      <c r="E3326" s="15"/>
      <c r="F3326" s="15"/>
      <c r="G3326" s="15">
        <f>G3327</f>
        <v>500000</v>
      </c>
      <c r="H3326" s="15"/>
    </row>
    <row r="3327" spans="1:8" s="1" customFormat="1" ht="18" customHeight="1">
      <c r="A3327" s="86"/>
      <c r="B3327" s="86"/>
      <c r="C3327" s="18"/>
      <c r="D3327" s="16" t="s">
        <v>323</v>
      </c>
      <c r="E3327" s="17"/>
      <c r="F3327" s="17"/>
      <c r="G3327" s="17">
        <f>G3329</f>
        <v>500000</v>
      </c>
      <c r="H3327" s="17"/>
    </row>
    <row r="3328" spans="1:8" s="1" customFormat="1" ht="18" customHeight="1">
      <c r="A3328" s="86"/>
      <c r="B3328" s="86"/>
      <c r="C3328" s="18"/>
      <c r="D3328" s="421" t="s">
        <v>320</v>
      </c>
      <c r="E3328" s="280"/>
      <c r="F3328" s="280"/>
      <c r="G3328" s="10">
        <v>500000</v>
      </c>
      <c r="H3328" s="10"/>
    </row>
    <row r="3329" spans="1:8" s="1" customFormat="1" ht="18" customHeight="1">
      <c r="A3329" s="86"/>
      <c r="B3329" s="107"/>
      <c r="C3329" s="22">
        <v>6050</v>
      </c>
      <c r="D3329" s="22" t="s">
        <v>746</v>
      </c>
      <c r="E3329" s="298"/>
      <c r="F3329" s="298"/>
      <c r="G3329" s="228">
        <f>SUM(G3328:G3328)</f>
        <v>500000</v>
      </c>
      <c r="H3329" s="228"/>
    </row>
    <row r="3330" spans="1:8" s="1" customFormat="1" ht="18.75" customHeight="1">
      <c r="A3330" s="2"/>
      <c r="B3330" s="3">
        <v>80110</v>
      </c>
      <c r="C3330" s="45"/>
      <c r="D3330" s="67" t="s">
        <v>450</v>
      </c>
      <c r="E3330" s="4"/>
      <c r="F3330" s="4"/>
      <c r="G3330" s="4">
        <f>G3331</f>
        <v>1000000</v>
      </c>
      <c r="H3330" s="4"/>
    </row>
    <row r="3331" spans="1:8" s="1" customFormat="1" ht="18" customHeight="1">
      <c r="A3331" s="86"/>
      <c r="B3331" s="86"/>
      <c r="C3331" s="86"/>
      <c r="D3331" s="16" t="s">
        <v>148</v>
      </c>
      <c r="E3331" s="17"/>
      <c r="F3331" s="17"/>
      <c r="G3331" s="17">
        <f>G3333</f>
        <v>1000000</v>
      </c>
      <c r="H3331" s="17"/>
    </row>
    <row r="3332" spans="1:8" s="1" customFormat="1" ht="25.5">
      <c r="A3332" s="86"/>
      <c r="B3332" s="86"/>
      <c r="C3332" s="18"/>
      <c r="D3332" s="331" t="s">
        <v>149</v>
      </c>
      <c r="E3332" s="11"/>
      <c r="F3332" s="231"/>
      <c r="G3332" s="10">
        <v>1000000</v>
      </c>
      <c r="H3332" s="10"/>
    </row>
    <row r="3333" spans="1:8" s="1" customFormat="1" ht="18" customHeight="1">
      <c r="A3333" s="86"/>
      <c r="B3333" s="107"/>
      <c r="C3333" s="22">
        <v>6050</v>
      </c>
      <c r="D3333" s="22" t="s">
        <v>746</v>
      </c>
      <c r="E3333" s="61"/>
      <c r="F3333" s="61"/>
      <c r="G3333" s="6">
        <f>G3332</f>
        <v>1000000</v>
      </c>
      <c r="H3333" s="6"/>
    </row>
    <row r="3334" spans="1:8" s="1" customFormat="1" ht="18.75" customHeight="1">
      <c r="A3334" s="2"/>
      <c r="B3334" s="3">
        <v>80120</v>
      </c>
      <c r="C3334" s="45"/>
      <c r="D3334" s="67" t="s">
        <v>814</v>
      </c>
      <c r="E3334" s="4"/>
      <c r="F3334" s="4"/>
      <c r="G3334" s="4">
        <f>G3335</f>
        <v>50000</v>
      </c>
      <c r="H3334" s="4"/>
    </row>
    <row r="3335" spans="1:8" s="1" customFormat="1" ht="18.75" customHeight="1">
      <c r="A3335" s="86"/>
      <c r="B3335" s="86"/>
      <c r="C3335" s="86"/>
      <c r="D3335" s="16" t="s">
        <v>324</v>
      </c>
      <c r="E3335" s="17"/>
      <c r="F3335" s="17"/>
      <c r="G3335" s="17">
        <f>G3337</f>
        <v>50000</v>
      </c>
      <c r="H3335" s="17"/>
    </row>
    <row r="3336" spans="1:8" s="1" customFormat="1" ht="25.5">
      <c r="A3336" s="86"/>
      <c r="B3336" s="86"/>
      <c r="C3336" s="18"/>
      <c r="D3336" s="331" t="s">
        <v>150</v>
      </c>
      <c r="E3336" s="11"/>
      <c r="F3336" s="231"/>
      <c r="G3336" s="10">
        <v>50000</v>
      </c>
      <c r="H3336" s="10"/>
    </row>
    <row r="3337" spans="1:8" s="1" customFormat="1" ht="18.75" customHeight="1">
      <c r="A3337" s="86"/>
      <c r="B3337" s="107"/>
      <c r="C3337" s="22">
        <v>6050</v>
      </c>
      <c r="D3337" s="22" t="s">
        <v>746</v>
      </c>
      <c r="E3337" s="61"/>
      <c r="F3337" s="61"/>
      <c r="G3337" s="6">
        <f>G3336</f>
        <v>50000</v>
      </c>
      <c r="H3337" s="6"/>
    </row>
    <row r="3338" spans="1:8" ht="18.75" customHeight="1">
      <c r="A3338" s="56"/>
      <c r="B3338" s="165">
        <v>80130</v>
      </c>
      <c r="C3338" s="165"/>
      <c r="D3338" s="165" t="s">
        <v>494</v>
      </c>
      <c r="E3338" s="183"/>
      <c r="F3338" s="183"/>
      <c r="G3338" s="183">
        <f>G3339</f>
        <v>1100000</v>
      </c>
      <c r="H3338" s="183"/>
    </row>
    <row r="3339" spans="1:8" ht="18" customHeight="1">
      <c r="A3339" s="56"/>
      <c r="B3339" s="56"/>
      <c r="C3339" s="56"/>
      <c r="D3339" s="186" t="s">
        <v>326</v>
      </c>
      <c r="E3339" s="169"/>
      <c r="F3339" s="169"/>
      <c r="G3339" s="169">
        <f>G3342</f>
        <v>1100000</v>
      </c>
      <c r="H3339" s="169"/>
    </row>
    <row r="3340" spans="1:8" s="1" customFormat="1" ht="18" customHeight="1">
      <c r="A3340" s="86"/>
      <c r="B3340" s="86"/>
      <c r="C3340" s="18"/>
      <c r="D3340" s="331" t="s">
        <v>546</v>
      </c>
      <c r="E3340" s="300"/>
      <c r="F3340" s="300"/>
      <c r="G3340" s="10">
        <v>100000</v>
      </c>
      <c r="H3340" s="10"/>
    </row>
    <row r="3341" spans="1:8" s="1" customFormat="1" ht="18" customHeight="1">
      <c r="A3341" s="86"/>
      <c r="B3341" s="86"/>
      <c r="C3341" s="18"/>
      <c r="D3341" s="331" t="s">
        <v>547</v>
      </c>
      <c r="E3341" s="231"/>
      <c r="F3341" s="231"/>
      <c r="G3341" s="231">
        <v>1000000</v>
      </c>
      <c r="H3341" s="231"/>
    </row>
    <row r="3342" spans="1:8" ht="18" customHeight="1">
      <c r="A3342" s="56"/>
      <c r="B3342" s="158"/>
      <c r="C3342" s="181">
        <v>6050</v>
      </c>
      <c r="D3342" s="181" t="s">
        <v>746</v>
      </c>
      <c r="E3342" s="297"/>
      <c r="F3342" s="297"/>
      <c r="G3342" s="234">
        <f>SUM(G3340:G3341)</f>
        <v>1100000</v>
      </c>
      <c r="H3342" s="234"/>
    </row>
    <row r="3343" spans="1:8" s="1" customFormat="1" ht="18.75" customHeight="1" thickBot="1">
      <c r="A3343" s="394">
        <v>852</v>
      </c>
      <c r="B3343" s="394"/>
      <c r="C3343" s="394"/>
      <c r="D3343" s="394" t="s">
        <v>129</v>
      </c>
      <c r="E3343" s="377"/>
      <c r="F3343" s="377"/>
      <c r="G3343" s="377">
        <f>G3344</f>
        <v>5000000</v>
      </c>
      <c r="H3343" s="377"/>
    </row>
    <row r="3344" spans="1:8" s="1" customFormat="1" ht="18.75" customHeight="1">
      <c r="A3344" s="2"/>
      <c r="B3344" s="3">
        <v>85202</v>
      </c>
      <c r="C3344" s="3"/>
      <c r="D3344" s="3" t="s">
        <v>125</v>
      </c>
      <c r="E3344" s="4"/>
      <c r="F3344" s="4"/>
      <c r="G3344" s="4">
        <f>G3345</f>
        <v>5000000</v>
      </c>
      <c r="H3344" s="4"/>
    </row>
    <row r="3345" spans="1:8" s="1" customFormat="1" ht="18" customHeight="1">
      <c r="A3345" s="107"/>
      <c r="B3345" s="3"/>
      <c r="C3345" s="45"/>
      <c r="D3345" s="1065" t="s">
        <v>417</v>
      </c>
      <c r="E3345" s="61"/>
      <c r="F3345" s="61"/>
      <c r="G3345" s="61">
        <f>G3348</f>
        <v>5000000</v>
      </c>
      <c r="H3345" s="61"/>
    </row>
    <row r="3346" spans="1:8" s="1" customFormat="1" ht="18" customHeight="1">
      <c r="A3346" s="122"/>
      <c r="B3346" s="122"/>
      <c r="C3346" s="128"/>
      <c r="D3346" s="380" t="s">
        <v>418</v>
      </c>
      <c r="E3346" s="1104"/>
      <c r="F3346" s="1104"/>
      <c r="G3346" s="178">
        <v>2000000</v>
      </c>
      <c r="H3346" s="178"/>
    </row>
    <row r="3347" spans="1:8" s="1" customFormat="1" ht="18" customHeight="1">
      <c r="A3347" s="86"/>
      <c r="B3347" s="86"/>
      <c r="C3347" s="18"/>
      <c r="D3347" s="331" t="s">
        <v>962</v>
      </c>
      <c r="E3347" s="231"/>
      <c r="F3347" s="231"/>
      <c r="G3347" s="231">
        <v>3000000</v>
      </c>
      <c r="H3347" s="231"/>
    </row>
    <row r="3348" spans="1:8" s="1" customFormat="1" ht="18" customHeight="1">
      <c r="A3348" s="107"/>
      <c r="B3348" s="107"/>
      <c r="C3348" s="22">
        <v>6050</v>
      </c>
      <c r="D3348" s="22" t="s">
        <v>746</v>
      </c>
      <c r="E3348" s="61"/>
      <c r="F3348" s="61"/>
      <c r="G3348" s="6">
        <f>SUM(G3346:G3347)</f>
        <v>5000000</v>
      </c>
      <c r="H3348" s="6"/>
    </row>
    <row r="3349" spans="1:8" s="1" customFormat="1" ht="18.75" customHeight="1" thickBot="1">
      <c r="A3349" s="375">
        <v>900</v>
      </c>
      <c r="B3349" s="375"/>
      <c r="C3349" s="375"/>
      <c r="D3349" s="375" t="s">
        <v>1048</v>
      </c>
      <c r="E3349" s="378"/>
      <c r="F3349" s="378"/>
      <c r="G3349" s="378">
        <f>G3350+G3370+G3376+G3380+G3384</f>
        <v>35230159</v>
      </c>
      <c r="H3349" s="378"/>
    </row>
    <row r="3350" spans="1:8" ht="18.75" customHeight="1">
      <c r="A3350" s="56"/>
      <c r="B3350" s="165">
        <v>90001</v>
      </c>
      <c r="C3350" s="165"/>
      <c r="D3350" s="165" t="s">
        <v>1110</v>
      </c>
      <c r="E3350" s="167"/>
      <c r="F3350" s="167"/>
      <c r="G3350" s="167">
        <f>G3351</f>
        <v>13380000</v>
      </c>
      <c r="H3350" s="167"/>
    </row>
    <row r="3351" spans="1:8" ht="18.75" customHeight="1">
      <c r="A3351" s="56"/>
      <c r="B3351" s="301"/>
      <c r="C3351" s="56"/>
      <c r="D3351" s="195" t="s">
        <v>841</v>
      </c>
      <c r="E3351" s="169"/>
      <c r="F3351" s="169"/>
      <c r="G3351" s="169">
        <f>G3369</f>
        <v>13380000</v>
      </c>
      <c r="H3351" s="169"/>
    </row>
    <row r="3352" spans="1:8" ht="18.75" customHeight="1">
      <c r="A3352" s="56"/>
      <c r="B3352" s="301"/>
      <c r="C3352" s="56"/>
      <c r="D3352" s="437" t="s">
        <v>514</v>
      </c>
      <c r="E3352" s="369"/>
      <c r="F3352" s="369"/>
      <c r="G3352" s="369">
        <f>500000+650000</f>
        <v>1150000</v>
      </c>
      <c r="H3352" s="369"/>
    </row>
    <row r="3353" spans="1:8" ht="25.5">
      <c r="A3353" s="56"/>
      <c r="B3353" s="301"/>
      <c r="C3353" s="56"/>
      <c r="D3353" s="340" t="s">
        <v>252</v>
      </c>
      <c r="E3353" s="296"/>
      <c r="F3353" s="296"/>
      <c r="G3353" s="296">
        <v>1000000</v>
      </c>
      <c r="H3353" s="296"/>
    </row>
    <row r="3354" spans="1:8" ht="19.5" customHeight="1">
      <c r="A3354" s="56"/>
      <c r="B3354" s="301"/>
      <c r="C3354" s="56"/>
      <c r="D3354" s="179" t="s">
        <v>253</v>
      </c>
      <c r="E3354" s="250"/>
      <c r="F3354" s="250"/>
      <c r="G3354" s="296">
        <v>1500000</v>
      </c>
      <c r="H3354" s="296"/>
    </row>
    <row r="3355" spans="1:8" ht="19.5" customHeight="1">
      <c r="A3355" s="56"/>
      <c r="B3355" s="301"/>
      <c r="C3355" s="56"/>
      <c r="D3355" s="179" t="s">
        <v>254</v>
      </c>
      <c r="E3355" s="250"/>
      <c r="F3355" s="250"/>
      <c r="G3355" s="296">
        <v>600000</v>
      </c>
      <c r="H3355" s="296"/>
    </row>
    <row r="3356" spans="1:8" ht="19.5" customHeight="1">
      <c r="A3356" s="56"/>
      <c r="B3356" s="301"/>
      <c r="C3356" s="56"/>
      <c r="D3356" s="179" t="s">
        <v>255</v>
      </c>
      <c r="E3356" s="250"/>
      <c r="F3356" s="250"/>
      <c r="G3356" s="296">
        <v>600000</v>
      </c>
      <c r="H3356" s="296"/>
    </row>
    <row r="3357" spans="1:8" ht="17.25" customHeight="1">
      <c r="A3357" s="56"/>
      <c r="B3357" s="301"/>
      <c r="C3357" s="56"/>
      <c r="D3357" s="179" t="s">
        <v>230</v>
      </c>
      <c r="E3357" s="250"/>
      <c r="F3357" s="250"/>
      <c r="G3357" s="296">
        <v>4000000</v>
      </c>
      <c r="H3357" s="296"/>
    </row>
    <row r="3358" spans="1:8" ht="33" customHeight="1">
      <c r="A3358" s="56"/>
      <c r="B3358" s="301"/>
      <c r="C3358" s="56"/>
      <c r="D3358" s="179" t="s">
        <v>1150</v>
      </c>
      <c r="E3358" s="250"/>
      <c r="F3358" s="250"/>
      <c r="G3358" s="296">
        <v>1275000</v>
      </c>
      <c r="H3358" s="296"/>
    </row>
    <row r="3359" spans="1:8" ht="25.5">
      <c r="A3359" s="56"/>
      <c r="B3359" s="301"/>
      <c r="C3359" s="56"/>
      <c r="D3359" s="340" t="s">
        <v>988</v>
      </c>
      <c r="E3359" s="250"/>
      <c r="F3359" s="250"/>
      <c r="G3359" s="296">
        <v>400000</v>
      </c>
      <c r="H3359" s="296"/>
    </row>
    <row r="3360" spans="1:8" ht="25.5">
      <c r="A3360" s="56"/>
      <c r="B3360" s="301"/>
      <c r="C3360" s="56"/>
      <c r="D3360" s="179" t="s">
        <v>924</v>
      </c>
      <c r="E3360" s="250"/>
      <c r="F3360" s="250"/>
      <c r="G3360" s="296">
        <f>300000-100000</f>
        <v>200000</v>
      </c>
      <c r="H3360" s="296"/>
    </row>
    <row r="3361" spans="1:8" ht="18.75" customHeight="1">
      <c r="A3361" s="56"/>
      <c r="B3361" s="301"/>
      <c r="C3361" s="56"/>
      <c r="D3361" s="179" t="s">
        <v>1151</v>
      </c>
      <c r="E3361" s="250"/>
      <c r="F3361" s="250"/>
      <c r="G3361" s="296">
        <v>300000</v>
      </c>
      <c r="H3361" s="296"/>
    </row>
    <row r="3362" spans="1:8" ht="18.75" customHeight="1">
      <c r="A3362" s="56"/>
      <c r="B3362" s="301"/>
      <c r="C3362" s="56"/>
      <c r="D3362" s="179" t="s">
        <v>984</v>
      </c>
      <c r="E3362" s="250"/>
      <c r="F3362" s="250"/>
      <c r="G3362" s="296">
        <f>755000+100000</f>
        <v>855000</v>
      </c>
      <c r="H3362" s="296"/>
    </row>
    <row r="3363" spans="1:8" ht="18.75" customHeight="1">
      <c r="A3363" s="56"/>
      <c r="B3363" s="301"/>
      <c r="C3363" s="56"/>
      <c r="D3363" s="179" t="s">
        <v>1152</v>
      </c>
      <c r="E3363" s="250"/>
      <c r="F3363" s="250"/>
      <c r="G3363" s="296">
        <v>300000</v>
      </c>
      <c r="H3363" s="296"/>
    </row>
    <row r="3364" spans="1:8" ht="18.75" customHeight="1">
      <c r="A3364" s="56"/>
      <c r="B3364" s="301"/>
      <c r="C3364" s="56"/>
      <c r="D3364" s="340" t="s">
        <v>1153</v>
      </c>
      <c r="E3364" s="250"/>
      <c r="F3364" s="250"/>
      <c r="G3364" s="296">
        <v>50000</v>
      </c>
      <c r="H3364" s="296"/>
    </row>
    <row r="3365" spans="1:8" ht="18.75" customHeight="1">
      <c r="A3365" s="56"/>
      <c r="B3365" s="301"/>
      <c r="C3365" s="56"/>
      <c r="D3365" s="340" t="s">
        <v>1154</v>
      </c>
      <c r="E3365" s="250"/>
      <c r="F3365" s="250"/>
      <c r="G3365" s="296">
        <v>300000</v>
      </c>
      <c r="H3365" s="296"/>
    </row>
    <row r="3366" spans="1:8" ht="14.25">
      <c r="A3366" s="56"/>
      <c r="B3366" s="301"/>
      <c r="C3366" s="56"/>
      <c r="D3366" s="340" t="s">
        <v>1155</v>
      </c>
      <c r="E3366" s="250"/>
      <c r="F3366" s="250"/>
      <c r="G3366" s="296">
        <v>400000</v>
      </c>
      <c r="H3366" s="296"/>
    </row>
    <row r="3367" spans="1:8" ht="18.75" customHeight="1">
      <c r="A3367" s="56"/>
      <c r="B3367" s="301"/>
      <c r="C3367" s="56"/>
      <c r="D3367" s="340" t="s">
        <v>1156</v>
      </c>
      <c r="E3367" s="250"/>
      <c r="F3367" s="250"/>
      <c r="G3367" s="296">
        <v>300000</v>
      </c>
      <c r="H3367" s="296"/>
    </row>
    <row r="3368" spans="1:8" ht="18.75" customHeight="1">
      <c r="A3368" s="56"/>
      <c r="B3368" s="301"/>
      <c r="C3368" s="56"/>
      <c r="D3368" s="340" t="s">
        <v>1157</v>
      </c>
      <c r="E3368" s="250"/>
      <c r="F3368" s="250"/>
      <c r="G3368" s="296">
        <v>150000</v>
      </c>
      <c r="H3368" s="296"/>
    </row>
    <row r="3369" spans="1:8" ht="18.75" customHeight="1">
      <c r="A3369" s="56"/>
      <c r="B3369" s="302"/>
      <c r="C3369" s="181">
        <v>6050</v>
      </c>
      <c r="D3369" s="181" t="s">
        <v>746</v>
      </c>
      <c r="E3369" s="176"/>
      <c r="F3369" s="176"/>
      <c r="G3369" s="176">
        <f>SUM(G3352:G3368)</f>
        <v>13380000</v>
      </c>
      <c r="H3369" s="176"/>
    </row>
    <row r="3370" spans="1:8" ht="18.75" customHeight="1">
      <c r="A3370" s="56"/>
      <c r="B3370" s="165">
        <v>90002</v>
      </c>
      <c r="C3370" s="165"/>
      <c r="D3370" s="165" t="s">
        <v>176</v>
      </c>
      <c r="E3370" s="167"/>
      <c r="F3370" s="167"/>
      <c r="G3370" s="167">
        <f>G3371</f>
        <v>364500</v>
      </c>
      <c r="H3370" s="167"/>
    </row>
    <row r="3371" spans="1:8" ht="18.75" customHeight="1">
      <c r="A3371" s="56"/>
      <c r="B3371" s="301"/>
      <c r="C3371" s="56"/>
      <c r="D3371" s="195" t="s">
        <v>841</v>
      </c>
      <c r="E3371" s="169"/>
      <c r="F3371" s="169"/>
      <c r="G3371" s="169">
        <f>G3375</f>
        <v>364500</v>
      </c>
      <c r="H3371" s="169"/>
    </row>
    <row r="3372" spans="1:8" ht="18.75" customHeight="1">
      <c r="A3372" s="56"/>
      <c r="B3372" s="301"/>
      <c r="C3372" s="56"/>
      <c r="D3372" s="339" t="s">
        <v>305</v>
      </c>
      <c r="E3372" s="296"/>
      <c r="F3372" s="296"/>
      <c r="G3372" s="296">
        <v>174500</v>
      </c>
      <c r="H3372" s="296"/>
    </row>
    <row r="3373" spans="1:8" ht="21" customHeight="1">
      <c r="A3373" s="158"/>
      <c r="B3373" s="302"/>
      <c r="C3373" s="158"/>
      <c r="D3373" s="1044" t="s">
        <v>37</v>
      </c>
      <c r="E3373" s="234"/>
      <c r="F3373" s="234"/>
      <c r="G3373" s="234">
        <v>100000</v>
      </c>
      <c r="H3373" s="234"/>
    </row>
    <row r="3374" spans="1:8" ht="19.5" customHeight="1">
      <c r="A3374" s="193"/>
      <c r="B3374" s="322"/>
      <c r="C3374" s="193"/>
      <c r="D3374" s="418" t="s">
        <v>306</v>
      </c>
      <c r="E3374" s="180"/>
      <c r="F3374" s="180"/>
      <c r="G3374" s="180">
        <v>90000</v>
      </c>
      <c r="H3374" s="180"/>
    </row>
    <row r="3375" spans="1:8" ht="18.75" customHeight="1">
      <c r="A3375" s="56"/>
      <c r="B3375" s="302"/>
      <c r="C3375" s="181">
        <v>6050</v>
      </c>
      <c r="D3375" s="269" t="s">
        <v>746</v>
      </c>
      <c r="E3375" s="176"/>
      <c r="F3375" s="176"/>
      <c r="G3375" s="176">
        <f>SUM(G3372:G3374)</f>
        <v>364500</v>
      </c>
      <c r="H3375" s="176"/>
    </row>
    <row r="3376" spans="1:8" s="1" customFormat="1" ht="19.5" customHeight="1">
      <c r="A3376" s="2"/>
      <c r="B3376" s="3">
        <v>90004</v>
      </c>
      <c r="C3376" s="45"/>
      <c r="D3376" s="67" t="s">
        <v>1000</v>
      </c>
      <c r="E3376" s="4"/>
      <c r="F3376" s="4"/>
      <c r="G3376" s="4">
        <f>G3377</f>
        <v>750000</v>
      </c>
      <c r="H3376" s="4"/>
    </row>
    <row r="3377" spans="1:8" s="1" customFormat="1" ht="18.75" customHeight="1">
      <c r="A3377" s="86"/>
      <c r="B3377" s="86"/>
      <c r="C3377" s="86"/>
      <c r="D3377" s="87" t="s">
        <v>841</v>
      </c>
      <c r="E3377" s="17"/>
      <c r="F3377" s="17"/>
      <c r="G3377" s="17">
        <f>G3379</f>
        <v>750000</v>
      </c>
      <c r="H3377" s="17"/>
    </row>
    <row r="3378" spans="1:8" s="1" customFormat="1" ht="18.75" customHeight="1">
      <c r="A3378" s="86"/>
      <c r="B3378" s="86"/>
      <c r="C3378" s="86"/>
      <c r="D3378" s="420" t="s">
        <v>1158</v>
      </c>
      <c r="E3378" s="11"/>
      <c r="F3378" s="11"/>
      <c r="G3378" s="11">
        <v>750000</v>
      </c>
      <c r="H3378" s="11"/>
    </row>
    <row r="3379" spans="1:8" s="1" customFormat="1" ht="18.75" customHeight="1">
      <c r="A3379" s="86"/>
      <c r="B3379" s="107"/>
      <c r="C3379" s="22">
        <v>6050</v>
      </c>
      <c r="D3379" s="227" t="s">
        <v>746</v>
      </c>
      <c r="E3379" s="228"/>
      <c r="F3379" s="228"/>
      <c r="G3379" s="228">
        <f>G3378</f>
        <v>750000</v>
      </c>
      <c r="H3379" s="228"/>
    </row>
    <row r="3380" spans="1:8" ht="19.5" customHeight="1">
      <c r="A3380" s="55"/>
      <c r="B3380" s="165">
        <v>90015</v>
      </c>
      <c r="C3380" s="165"/>
      <c r="D3380" s="185" t="s">
        <v>1002</v>
      </c>
      <c r="E3380" s="167"/>
      <c r="F3380" s="167"/>
      <c r="G3380" s="167">
        <f>G3381</f>
        <v>30000</v>
      </c>
      <c r="H3380" s="167"/>
    </row>
    <row r="3381" spans="1:8" ht="18.75" customHeight="1">
      <c r="A3381" s="56"/>
      <c r="B3381" s="56"/>
      <c r="C3381" s="56"/>
      <c r="D3381" s="195" t="s">
        <v>1159</v>
      </c>
      <c r="E3381" s="169"/>
      <c r="F3381" s="169"/>
      <c r="G3381" s="169">
        <f>G3383</f>
        <v>30000</v>
      </c>
      <c r="H3381" s="169"/>
    </row>
    <row r="3382" spans="1:8" s="174" customFormat="1" ht="18.75" customHeight="1">
      <c r="A3382" s="170"/>
      <c r="B3382" s="170"/>
      <c r="C3382" s="170"/>
      <c r="D3382" s="438" t="s">
        <v>35</v>
      </c>
      <c r="E3382" s="296"/>
      <c r="F3382" s="296"/>
      <c r="G3382" s="296">
        <v>30000</v>
      </c>
      <c r="H3382" s="296"/>
    </row>
    <row r="3383" spans="1:8" s="174" customFormat="1" ht="18.75" customHeight="1">
      <c r="A3383" s="170"/>
      <c r="B3383" s="181"/>
      <c r="C3383" s="181">
        <v>6050</v>
      </c>
      <c r="D3383" s="189" t="s">
        <v>746</v>
      </c>
      <c r="E3383" s="234"/>
      <c r="F3383" s="234"/>
      <c r="G3383" s="234">
        <f>G3382</f>
        <v>30000</v>
      </c>
      <c r="H3383" s="234"/>
    </row>
    <row r="3384" spans="1:8" ht="19.5" customHeight="1">
      <c r="A3384" s="56"/>
      <c r="B3384" s="165">
        <v>90095</v>
      </c>
      <c r="C3384" s="158"/>
      <c r="D3384" s="165" t="s">
        <v>100</v>
      </c>
      <c r="E3384" s="167"/>
      <c r="F3384" s="167"/>
      <c r="G3384" s="167">
        <f>G3385</f>
        <v>20705659</v>
      </c>
      <c r="H3384" s="167"/>
    </row>
    <row r="3385" spans="1:8" ht="19.5" customHeight="1">
      <c r="A3385" s="56"/>
      <c r="B3385" s="56"/>
      <c r="C3385" s="56"/>
      <c r="D3385" s="195" t="s">
        <v>841</v>
      </c>
      <c r="E3385" s="169"/>
      <c r="F3385" s="169"/>
      <c r="G3385" s="169">
        <f>G3392+G3394</f>
        <v>20705659</v>
      </c>
      <c r="H3385" s="169"/>
    </row>
    <row r="3386" spans="1:8" ht="18.75" customHeight="1">
      <c r="A3386" s="56"/>
      <c r="B3386" s="56"/>
      <c r="C3386" s="170"/>
      <c r="D3386" s="340" t="s">
        <v>548</v>
      </c>
      <c r="E3386" s="296"/>
      <c r="F3386" s="296"/>
      <c r="G3386" s="296">
        <v>8393159</v>
      </c>
      <c r="H3386" s="296"/>
    </row>
    <row r="3387" spans="1:8" ht="18.75" customHeight="1">
      <c r="A3387" s="56"/>
      <c r="B3387" s="56"/>
      <c r="C3387" s="170"/>
      <c r="D3387" s="340" t="s">
        <v>102</v>
      </c>
      <c r="E3387" s="296"/>
      <c r="F3387" s="296"/>
      <c r="G3387" s="296">
        <v>5000000</v>
      </c>
      <c r="H3387" s="296"/>
    </row>
    <row r="3388" spans="1:8" ht="18.75" customHeight="1">
      <c r="A3388" s="56"/>
      <c r="B3388" s="56"/>
      <c r="C3388" s="170"/>
      <c r="D3388" s="340" t="s">
        <v>92</v>
      </c>
      <c r="E3388" s="296"/>
      <c r="F3388" s="296"/>
      <c r="G3388" s="296">
        <v>1200000</v>
      </c>
      <c r="H3388" s="296"/>
    </row>
    <row r="3389" spans="1:8" ht="18.75" customHeight="1">
      <c r="A3389" s="56"/>
      <c r="B3389" s="56"/>
      <c r="C3389" s="170"/>
      <c r="D3389" s="340" t="s">
        <v>1160</v>
      </c>
      <c r="E3389" s="296"/>
      <c r="F3389" s="296"/>
      <c r="G3389" s="296">
        <v>100000</v>
      </c>
      <c r="H3389" s="296"/>
    </row>
    <row r="3390" spans="1:8" ht="25.5">
      <c r="A3390" s="56"/>
      <c r="B3390" s="56"/>
      <c r="C3390" s="170"/>
      <c r="D3390" s="340" t="s">
        <v>121</v>
      </c>
      <c r="E3390" s="296"/>
      <c r="F3390" s="296"/>
      <c r="G3390" s="296">
        <v>1250000</v>
      </c>
      <c r="H3390" s="296"/>
    </row>
    <row r="3391" spans="1:8" ht="18.75" customHeight="1">
      <c r="A3391" s="56"/>
      <c r="B3391" s="56"/>
      <c r="C3391" s="170"/>
      <c r="D3391" s="296" t="s">
        <v>1123</v>
      </c>
      <c r="E3391" s="296"/>
      <c r="F3391" s="296"/>
      <c r="G3391" s="296">
        <v>2220000</v>
      </c>
      <c r="H3391" s="296"/>
    </row>
    <row r="3392" spans="1:8" ht="18.75" customHeight="1">
      <c r="A3392" s="56"/>
      <c r="B3392" s="56"/>
      <c r="C3392" s="181">
        <v>6050</v>
      </c>
      <c r="D3392" s="189" t="s">
        <v>746</v>
      </c>
      <c r="E3392" s="234"/>
      <c r="F3392" s="234"/>
      <c r="G3392" s="234">
        <f>SUM(G3386:G3391)</f>
        <v>18163159</v>
      </c>
      <c r="H3392" s="234"/>
    </row>
    <row r="3393" spans="1:8" ht="18.75" customHeight="1">
      <c r="A3393" s="56"/>
      <c r="B3393" s="56"/>
      <c r="C3393" s="170"/>
      <c r="D3393" s="340" t="s">
        <v>96</v>
      </c>
      <c r="E3393" s="296"/>
      <c r="F3393" s="296"/>
      <c r="G3393" s="296">
        <v>2542500</v>
      </c>
      <c r="H3393" s="296"/>
    </row>
    <row r="3394" spans="1:8" ht="41.25" customHeight="1">
      <c r="A3394" s="158"/>
      <c r="B3394" s="158"/>
      <c r="C3394" s="181">
        <v>6300</v>
      </c>
      <c r="D3394" s="189" t="s">
        <v>780</v>
      </c>
      <c r="E3394" s="234"/>
      <c r="F3394" s="234"/>
      <c r="G3394" s="234">
        <f>G3393</f>
        <v>2542500</v>
      </c>
      <c r="H3394" s="234"/>
    </row>
    <row r="3395" spans="1:8" s="1" customFormat="1" ht="22.5" customHeight="1" thickBot="1">
      <c r="A3395" s="394">
        <v>921</v>
      </c>
      <c r="B3395" s="394"/>
      <c r="C3395" s="394"/>
      <c r="D3395" s="394" t="s">
        <v>401</v>
      </c>
      <c r="E3395" s="377"/>
      <c r="F3395" s="377"/>
      <c r="G3395" s="377">
        <f>G3396+G3400</f>
        <v>3125000</v>
      </c>
      <c r="H3395" s="377"/>
    </row>
    <row r="3396" spans="1:8" ht="23.25" customHeight="1">
      <c r="A3396" s="56"/>
      <c r="B3396" s="165">
        <v>92113</v>
      </c>
      <c r="C3396" s="165"/>
      <c r="D3396" s="165" t="s">
        <v>398</v>
      </c>
      <c r="E3396" s="167"/>
      <c r="F3396" s="167"/>
      <c r="G3396" s="167">
        <f>G3397</f>
        <v>300000</v>
      </c>
      <c r="H3396" s="167"/>
    </row>
    <row r="3397" spans="1:8" ht="21.75" customHeight="1">
      <c r="A3397" s="56"/>
      <c r="B3397" s="56"/>
      <c r="C3397" s="170"/>
      <c r="D3397" s="439" t="s">
        <v>451</v>
      </c>
      <c r="E3397" s="169"/>
      <c r="F3397" s="169"/>
      <c r="G3397" s="169">
        <f>G3399</f>
        <v>300000</v>
      </c>
      <c r="H3397" s="169"/>
    </row>
    <row r="3398" spans="1:8" ht="19.5" customHeight="1">
      <c r="A3398" s="56"/>
      <c r="B3398" s="56"/>
      <c r="C3398" s="170"/>
      <c r="D3398" s="339" t="s">
        <v>763</v>
      </c>
      <c r="E3398" s="249"/>
      <c r="F3398" s="249"/>
      <c r="G3398" s="249">
        <v>300000</v>
      </c>
      <c r="H3398" s="249"/>
    </row>
    <row r="3399" spans="1:8" ht="23.25" customHeight="1">
      <c r="A3399" s="158"/>
      <c r="B3399" s="158"/>
      <c r="C3399" s="181">
        <v>6050</v>
      </c>
      <c r="D3399" s="189" t="s">
        <v>746</v>
      </c>
      <c r="E3399" s="176"/>
      <c r="F3399" s="176"/>
      <c r="G3399" s="176">
        <f>G3398</f>
        <v>300000</v>
      </c>
      <c r="H3399" s="176"/>
    </row>
    <row r="3400" spans="1:8" ht="22.5" customHeight="1">
      <c r="A3400" s="193"/>
      <c r="B3400" s="1114">
        <v>92120</v>
      </c>
      <c r="C3400" s="182"/>
      <c r="D3400" s="1115" t="s">
        <v>97</v>
      </c>
      <c r="E3400" s="183"/>
      <c r="F3400" s="183"/>
      <c r="G3400" s="183">
        <f>G3401+G3411+G3414</f>
        <v>2825000</v>
      </c>
      <c r="H3400" s="183"/>
    </row>
    <row r="3401" spans="1:8" ht="25.5">
      <c r="A3401" s="56"/>
      <c r="B3401" s="193"/>
      <c r="C3401" s="254"/>
      <c r="D3401" s="186" t="s">
        <v>231</v>
      </c>
      <c r="E3401" s="169"/>
      <c r="F3401" s="169"/>
      <c r="G3401" s="169">
        <f>G3410</f>
        <v>1650000</v>
      </c>
      <c r="H3401" s="169"/>
    </row>
    <row r="3402" spans="1:8" s="8" customFormat="1" ht="18" customHeight="1">
      <c r="A3402" s="962"/>
      <c r="B3402" s="962"/>
      <c r="C3402" s="963"/>
      <c r="D3402" s="458" t="s">
        <v>793</v>
      </c>
      <c r="E3402" s="967"/>
      <c r="F3402" s="967"/>
      <c r="G3402" s="968">
        <v>468000</v>
      </c>
      <c r="H3402" s="968"/>
    </row>
    <row r="3403" spans="1:8" s="8" customFormat="1" ht="18.75" customHeight="1">
      <c r="A3403" s="962"/>
      <c r="B3403" s="962"/>
      <c r="C3403" s="963"/>
      <c r="D3403" s="242" t="s">
        <v>794</v>
      </c>
      <c r="E3403" s="964"/>
      <c r="F3403" s="964"/>
      <c r="G3403" s="965">
        <v>55000</v>
      </c>
      <c r="H3403" s="965"/>
    </row>
    <row r="3404" spans="1:8" s="8" customFormat="1" ht="18.75" customHeight="1">
      <c r="A3404" s="962"/>
      <c r="B3404" s="962"/>
      <c r="C3404" s="963"/>
      <c r="D3404" s="242" t="s">
        <v>795</v>
      </c>
      <c r="E3404" s="964"/>
      <c r="F3404" s="964"/>
      <c r="G3404" s="965">
        <v>18000</v>
      </c>
      <c r="H3404" s="965"/>
    </row>
    <row r="3405" spans="1:8" s="8" customFormat="1" ht="18.75" customHeight="1">
      <c r="A3405" s="962"/>
      <c r="B3405" s="962"/>
      <c r="C3405" s="963"/>
      <c r="D3405" s="242" t="s">
        <v>796</v>
      </c>
      <c r="E3405" s="964"/>
      <c r="F3405" s="964"/>
      <c r="G3405" s="965">
        <v>45000</v>
      </c>
      <c r="H3405" s="965"/>
    </row>
    <row r="3406" spans="1:8" s="8" customFormat="1" ht="18.75" customHeight="1">
      <c r="A3406" s="962"/>
      <c r="B3406" s="962"/>
      <c r="C3406" s="963"/>
      <c r="D3406" s="242" t="s">
        <v>797</v>
      </c>
      <c r="E3406" s="964"/>
      <c r="F3406" s="964"/>
      <c r="G3406" s="965">
        <v>75000</v>
      </c>
      <c r="H3406" s="965"/>
    </row>
    <row r="3407" spans="1:8" s="8" customFormat="1" ht="18.75" customHeight="1">
      <c r="A3407" s="962"/>
      <c r="B3407" s="962"/>
      <c r="C3407" s="963"/>
      <c r="D3407" s="242" t="s">
        <v>798</v>
      </c>
      <c r="E3407" s="964"/>
      <c r="F3407" s="964"/>
      <c r="G3407" s="965">
        <v>50000</v>
      </c>
      <c r="H3407" s="965"/>
    </row>
    <row r="3408" spans="1:8" s="8" customFormat="1" ht="18.75" customHeight="1">
      <c r="A3408" s="962"/>
      <c r="B3408" s="962"/>
      <c r="C3408" s="963"/>
      <c r="D3408" s="242" t="s">
        <v>799</v>
      </c>
      <c r="E3408" s="964"/>
      <c r="F3408" s="964"/>
      <c r="G3408" s="965">
        <v>140000</v>
      </c>
      <c r="H3408" s="965"/>
    </row>
    <row r="3409" spans="1:8" s="8" customFormat="1" ht="18.75" customHeight="1">
      <c r="A3409" s="962"/>
      <c r="B3409" s="962"/>
      <c r="C3409" s="963"/>
      <c r="D3409" s="966" t="s">
        <v>1071</v>
      </c>
      <c r="E3409" s="964"/>
      <c r="F3409" s="964"/>
      <c r="G3409" s="964">
        <v>799000</v>
      </c>
      <c r="H3409" s="964"/>
    </row>
    <row r="3410" spans="1:8" ht="38.25">
      <c r="A3410" s="170"/>
      <c r="B3410" s="170"/>
      <c r="C3410" s="181">
        <v>2720</v>
      </c>
      <c r="D3410" s="455" t="s">
        <v>428</v>
      </c>
      <c r="E3410" s="176"/>
      <c r="F3410" s="176"/>
      <c r="G3410" s="176">
        <f>SUM(G3402:G3409)</f>
        <v>1650000</v>
      </c>
      <c r="H3410" s="176"/>
    </row>
    <row r="3411" spans="1:8" ht="19.5" customHeight="1">
      <c r="A3411" s="56"/>
      <c r="B3411" s="56"/>
      <c r="C3411" s="170"/>
      <c r="D3411" s="196" t="s">
        <v>47</v>
      </c>
      <c r="E3411" s="233"/>
      <c r="F3411" s="233"/>
      <c r="G3411" s="282">
        <f>G3413</f>
        <v>455000</v>
      </c>
      <c r="H3411" s="282"/>
    </row>
    <row r="3412" spans="1:8" ht="19.5" customHeight="1">
      <c r="A3412" s="170"/>
      <c r="B3412" s="170"/>
      <c r="C3412" s="170"/>
      <c r="D3412" s="305" t="s">
        <v>137</v>
      </c>
      <c r="E3412" s="249"/>
      <c r="F3412" s="249"/>
      <c r="G3412" s="249">
        <v>455000</v>
      </c>
      <c r="H3412" s="249"/>
    </row>
    <row r="3413" spans="1:8" ht="19.5" customHeight="1">
      <c r="A3413" s="56"/>
      <c r="B3413" s="56"/>
      <c r="C3413" s="181">
        <v>4270</v>
      </c>
      <c r="D3413" s="189" t="s">
        <v>753</v>
      </c>
      <c r="E3413" s="158"/>
      <c r="F3413" s="158"/>
      <c r="G3413" s="176">
        <f>G3412</f>
        <v>455000</v>
      </c>
      <c r="H3413" s="176"/>
    </row>
    <row r="3414" spans="1:8" ht="18.75" customHeight="1">
      <c r="A3414" s="56"/>
      <c r="B3414" s="56"/>
      <c r="C3414" s="254"/>
      <c r="D3414" s="186" t="s">
        <v>451</v>
      </c>
      <c r="E3414" s="361"/>
      <c r="F3414" s="361"/>
      <c r="G3414" s="270">
        <f>G3417</f>
        <v>720000</v>
      </c>
      <c r="H3414" s="270"/>
    </row>
    <row r="3415" spans="1:8" ht="18.75" customHeight="1">
      <c r="A3415" s="170"/>
      <c r="B3415" s="170"/>
      <c r="C3415" s="170"/>
      <c r="D3415" s="970" t="s">
        <v>138</v>
      </c>
      <c r="E3415" s="369"/>
      <c r="F3415" s="369"/>
      <c r="G3415" s="369">
        <v>20000</v>
      </c>
      <c r="H3415" s="369"/>
    </row>
    <row r="3416" spans="1:8" s="8" customFormat="1" ht="18.75" customHeight="1">
      <c r="A3416" s="962"/>
      <c r="B3416" s="962"/>
      <c r="C3416" s="963"/>
      <c r="D3416" s="964" t="s">
        <v>800</v>
      </c>
      <c r="E3416" s="964"/>
      <c r="F3416" s="964"/>
      <c r="G3416" s="964">
        <v>700000</v>
      </c>
      <c r="H3416" s="964"/>
    </row>
    <row r="3417" spans="1:8" ht="18.75" customHeight="1">
      <c r="A3417" s="170"/>
      <c r="B3417" s="170"/>
      <c r="C3417" s="181">
        <v>6050</v>
      </c>
      <c r="D3417" s="189" t="s">
        <v>746</v>
      </c>
      <c r="E3417" s="158"/>
      <c r="F3417" s="158"/>
      <c r="G3417" s="176">
        <f>G3415+G3416</f>
        <v>720000</v>
      </c>
      <c r="H3417" s="176"/>
    </row>
    <row r="3418" spans="1:8" s="1" customFormat="1" ht="20.25" customHeight="1" thickBot="1">
      <c r="A3418" s="394">
        <v>926</v>
      </c>
      <c r="B3418" s="394"/>
      <c r="C3418" s="440"/>
      <c r="D3418" s="377" t="s">
        <v>1045</v>
      </c>
      <c r="E3418" s="377"/>
      <c r="F3418" s="377"/>
      <c r="G3418" s="377">
        <f>G3435+G3423+G3419</f>
        <v>10350000</v>
      </c>
      <c r="H3418" s="377"/>
    </row>
    <row r="3419" spans="1:8" ht="19.5" customHeight="1">
      <c r="A3419" s="56"/>
      <c r="B3419" s="165">
        <v>92601</v>
      </c>
      <c r="C3419" s="165"/>
      <c r="D3419" s="165" t="s">
        <v>1046</v>
      </c>
      <c r="E3419" s="167"/>
      <c r="F3419" s="167"/>
      <c r="G3419" s="167">
        <f>G3420</f>
        <v>200000</v>
      </c>
      <c r="H3419" s="167"/>
    </row>
    <row r="3420" spans="1:8" ht="18.75" customHeight="1">
      <c r="A3420" s="56"/>
      <c r="B3420" s="56"/>
      <c r="C3420" s="170"/>
      <c r="D3420" s="196" t="s">
        <v>451</v>
      </c>
      <c r="E3420" s="233"/>
      <c r="F3420" s="233"/>
      <c r="G3420" s="282">
        <f>G3422</f>
        <v>200000</v>
      </c>
      <c r="H3420" s="282"/>
    </row>
    <row r="3421" spans="1:8" ht="18.75" customHeight="1">
      <c r="A3421" s="170"/>
      <c r="B3421" s="170"/>
      <c r="C3421" s="170"/>
      <c r="D3421" s="305" t="s">
        <v>801</v>
      </c>
      <c r="E3421" s="249"/>
      <c r="F3421" s="249"/>
      <c r="G3421" s="249">
        <f>2000000-1800000</f>
        <v>200000</v>
      </c>
      <c r="H3421" s="249"/>
    </row>
    <row r="3422" spans="1:8" ht="18.75" customHeight="1">
      <c r="A3422" s="170"/>
      <c r="B3422" s="181"/>
      <c r="C3422" s="181">
        <v>6050</v>
      </c>
      <c r="D3422" s="189" t="s">
        <v>746</v>
      </c>
      <c r="E3422" s="158"/>
      <c r="F3422" s="158"/>
      <c r="G3422" s="176">
        <f>G3421</f>
        <v>200000</v>
      </c>
      <c r="H3422" s="176"/>
    </row>
    <row r="3423" spans="1:8" ht="19.5" customHeight="1">
      <c r="A3423" s="56"/>
      <c r="B3423" s="307">
        <v>92604</v>
      </c>
      <c r="C3423" s="158"/>
      <c r="D3423" s="165" t="s">
        <v>1047</v>
      </c>
      <c r="E3423" s="167"/>
      <c r="F3423" s="167"/>
      <c r="G3423" s="167">
        <f>G3424</f>
        <v>9250000</v>
      </c>
      <c r="H3423" s="167"/>
    </row>
    <row r="3424" spans="1:8" ht="19.5" customHeight="1">
      <c r="A3424" s="56"/>
      <c r="B3424" s="308"/>
      <c r="C3424" s="56"/>
      <c r="D3424" s="195" t="s">
        <v>522</v>
      </c>
      <c r="E3424" s="309"/>
      <c r="F3424" s="309"/>
      <c r="G3424" s="169">
        <f>G3434</f>
        <v>9250000</v>
      </c>
      <c r="H3424" s="169"/>
    </row>
    <row r="3425" spans="1:8" ht="19.5" customHeight="1">
      <c r="A3425" s="56"/>
      <c r="B3425" s="170"/>
      <c r="C3425" s="170"/>
      <c r="D3425" s="323" t="s">
        <v>143</v>
      </c>
      <c r="E3425" s="441"/>
      <c r="F3425" s="441"/>
      <c r="G3425" s="441">
        <v>500000</v>
      </c>
      <c r="H3425" s="441"/>
    </row>
    <row r="3426" spans="1:8" ht="17.25" customHeight="1">
      <c r="A3426" s="158"/>
      <c r="B3426" s="181"/>
      <c r="C3426" s="181"/>
      <c r="D3426" s="1044" t="s">
        <v>144</v>
      </c>
      <c r="E3426" s="1116"/>
      <c r="F3426" s="1116"/>
      <c r="G3426" s="1116">
        <v>1500000</v>
      </c>
      <c r="H3426" s="1116"/>
    </row>
    <row r="3427" spans="1:8" ht="20.25" customHeight="1">
      <c r="A3427" s="193"/>
      <c r="B3427" s="254"/>
      <c r="C3427" s="254"/>
      <c r="D3427" s="1045" t="s">
        <v>145</v>
      </c>
      <c r="E3427" s="1117"/>
      <c r="F3427" s="1117"/>
      <c r="G3427" s="1117">
        <f>2000000+380000</f>
        <v>2380000</v>
      </c>
      <c r="H3427" s="1117"/>
    </row>
    <row r="3428" spans="1:8" ht="19.5" customHeight="1">
      <c r="A3428" s="56"/>
      <c r="B3428" s="170"/>
      <c r="C3428" s="170"/>
      <c r="D3428" s="332" t="s">
        <v>146</v>
      </c>
      <c r="E3428" s="442"/>
      <c r="F3428" s="442"/>
      <c r="G3428" s="442">
        <f>1670000-1380000</f>
        <v>290000</v>
      </c>
      <c r="H3428" s="442"/>
    </row>
    <row r="3429" spans="1:8" ht="19.5" customHeight="1">
      <c r="A3429" s="56"/>
      <c r="B3429" s="170"/>
      <c r="C3429" s="170"/>
      <c r="D3429" s="332" t="s">
        <v>139</v>
      </c>
      <c r="E3429" s="442"/>
      <c r="F3429" s="442"/>
      <c r="G3429" s="442">
        <v>200000</v>
      </c>
      <c r="H3429" s="442"/>
    </row>
    <row r="3430" spans="1:8" ht="19.5" customHeight="1">
      <c r="A3430" s="56"/>
      <c r="B3430" s="170"/>
      <c r="C3430" s="170"/>
      <c r="D3430" s="332" t="s">
        <v>140</v>
      </c>
      <c r="E3430" s="442"/>
      <c r="F3430" s="442"/>
      <c r="G3430" s="442">
        <v>1500000</v>
      </c>
      <c r="H3430" s="442"/>
    </row>
    <row r="3431" spans="1:8" ht="19.5" customHeight="1">
      <c r="A3431" s="56"/>
      <c r="B3431" s="170"/>
      <c r="C3431" s="170"/>
      <c r="D3431" s="332" t="s">
        <v>141</v>
      </c>
      <c r="E3431" s="442"/>
      <c r="F3431" s="442"/>
      <c r="G3431" s="442">
        <f>500000+450000</f>
        <v>950000</v>
      </c>
      <c r="H3431" s="442"/>
    </row>
    <row r="3432" spans="1:8" ht="17.25" customHeight="1">
      <c r="A3432" s="56"/>
      <c r="B3432" s="170"/>
      <c r="C3432" s="170"/>
      <c r="D3432" s="332" t="s">
        <v>142</v>
      </c>
      <c r="E3432" s="442"/>
      <c r="F3432" s="442"/>
      <c r="G3432" s="442">
        <v>80000</v>
      </c>
      <c r="H3432" s="442"/>
    </row>
    <row r="3433" spans="1:8" ht="19.5" customHeight="1">
      <c r="A3433" s="56"/>
      <c r="B3433" s="170"/>
      <c r="C3433" s="170"/>
      <c r="D3433" s="340" t="s">
        <v>802</v>
      </c>
      <c r="E3433" s="442"/>
      <c r="F3433" s="442"/>
      <c r="G3433" s="442">
        <f>1300000+550000</f>
        <v>1850000</v>
      </c>
      <c r="H3433" s="442"/>
    </row>
    <row r="3434" spans="1:8" ht="25.5">
      <c r="A3434" s="56"/>
      <c r="B3434" s="181"/>
      <c r="C3434" s="181">
        <v>6210</v>
      </c>
      <c r="D3434" s="306" t="s">
        <v>697</v>
      </c>
      <c r="E3434" s="176"/>
      <c r="F3434" s="176"/>
      <c r="G3434" s="176">
        <f>SUM(G3425:G3433)</f>
        <v>9250000</v>
      </c>
      <c r="H3434" s="176"/>
    </row>
    <row r="3435" spans="1:8" ht="19.5" customHeight="1">
      <c r="A3435" s="56"/>
      <c r="B3435" s="303">
        <v>92605</v>
      </c>
      <c r="C3435" s="165"/>
      <c r="D3435" s="310" t="s">
        <v>402</v>
      </c>
      <c r="E3435" s="167"/>
      <c r="F3435" s="167"/>
      <c r="G3435" s="167">
        <f>G3436</f>
        <v>900000</v>
      </c>
      <c r="H3435" s="167"/>
    </row>
    <row r="3436" spans="1:8" ht="19.5" customHeight="1">
      <c r="A3436" s="86"/>
      <c r="B3436" s="86"/>
      <c r="C3436" s="18"/>
      <c r="D3436" s="316" t="s">
        <v>451</v>
      </c>
      <c r="E3436" s="152"/>
      <c r="F3436" s="152"/>
      <c r="G3436" s="152">
        <f>G3439</f>
        <v>900000</v>
      </c>
      <c r="H3436" s="152"/>
    </row>
    <row r="3437" spans="1:8" ht="19.5" customHeight="1">
      <c r="A3437" s="18"/>
      <c r="B3437" s="18"/>
      <c r="C3437" s="18"/>
      <c r="D3437" s="290" t="s">
        <v>147</v>
      </c>
      <c r="E3437" s="231"/>
      <c r="F3437" s="231"/>
      <c r="G3437" s="231">
        <v>700000</v>
      </c>
      <c r="H3437" s="231"/>
    </row>
    <row r="3438" spans="1:8" ht="19.5" customHeight="1">
      <c r="A3438" s="18"/>
      <c r="B3438" s="18"/>
      <c r="C3438" s="18"/>
      <c r="D3438" s="331" t="s">
        <v>745</v>
      </c>
      <c r="E3438" s="11"/>
      <c r="F3438" s="11"/>
      <c r="G3438" s="11">
        <v>200000</v>
      </c>
      <c r="H3438" s="11"/>
    </row>
    <row r="3439" spans="1:8" ht="19.5" customHeight="1">
      <c r="A3439" s="18"/>
      <c r="B3439" s="18"/>
      <c r="C3439" s="18">
        <v>6050</v>
      </c>
      <c r="D3439" s="221" t="s">
        <v>746</v>
      </c>
      <c r="E3439" s="230"/>
      <c r="F3439" s="230"/>
      <c r="G3439" s="230">
        <f>SUM(G3437:G3438)</f>
        <v>900000</v>
      </c>
      <c r="H3439" s="230"/>
    </row>
    <row r="3440" spans="1:8" ht="27" customHeight="1" thickBot="1">
      <c r="A3440" s="158"/>
      <c r="B3440" s="158"/>
      <c r="C3440" s="255"/>
      <c r="D3440" s="266" t="s">
        <v>1041</v>
      </c>
      <c r="E3440" s="267"/>
      <c r="F3440" s="267"/>
      <c r="G3440" s="267">
        <f>G3441</f>
        <v>318000</v>
      </c>
      <c r="H3440" s="267"/>
    </row>
    <row r="3441" spans="1:8" s="1" customFormat="1" ht="18.75" customHeight="1" thickBot="1" thickTop="1">
      <c r="A3441" s="394">
        <v>900</v>
      </c>
      <c r="B3441" s="394"/>
      <c r="C3441" s="409"/>
      <c r="D3441" s="395" t="s">
        <v>1109</v>
      </c>
      <c r="E3441" s="377"/>
      <c r="F3441" s="377"/>
      <c r="G3441" s="377">
        <f>G3447+G3442</f>
        <v>318000</v>
      </c>
      <c r="H3441" s="377"/>
    </row>
    <row r="3442" spans="1:8" s="1" customFormat="1" ht="18.75" customHeight="1">
      <c r="A3442" s="2"/>
      <c r="B3442" s="3">
        <v>90002</v>
      </c>
      <c r="C3442" s="45"/>
      <c r="D3442" s="67" t="s">
        <v>176</v>
      </c>
      <c r="E3442" s="4"/>
      <c r="F3442" s="4"/>
      <c r="G3442" s="4">
        <f>G3443</f>
        <v>35500</v>
      </c>
      <c r="H3442" s="4"/>
    </row>
    <row r="3443" spans="1:8" s="1" customFormat="1" ht="18" customHeight="1">
      <c r="A3443" s="86"/>
      <c r="B3443" s="5"/>
      <c r="C3443" s="47"/>
      <c r="D3443" s="16" t="s">
        <v>451</v>
      </c>
      <c r="E3443" s="17"/>
      <c r="F3443" s="17"/>
      <c r="G3443" s="17">
        <f>G3446</f>
        <v>35500</v>
      </c>
      <c r="H3443" s="17"/>
    </row>
    <row r="3444" spans="1:8" s="1" customFormat="1" ht="18" customHeight="1">
      <c r="A3444" s="18"/>
      <c r="B3444" s="50"/>
      <c r="C3444" s="50"/>
      <c r="D3444" s="421" t="s">
        <v>305</v>
      </c>
      <c r="E3444" s="10"/>
      <c r="F3444" s="10"/>
      <c r="G3444" s="10">
        <v>25500</v>
      </c>
      <c r="H3444" s="10"/>
    </row>
    <row r="3445" spans="1:8" s="1" customFormat="1" ht="18" customHeight="1">
      <c r="A3445" s="86"/>
      <c r="B3445" s="2"/>
      <c r="C3445" s="50"/>
      <c r="D3445" s="331" t="s">
        <v>306</v>
      </c>
      <c r="E3445" s="231"/>
      <c r="F3445" s="231"/>
      <c r="G3445" s="231">
        <v>10000</v>
      </c>
      <c r="H3445" s="231"/>
    </row>
    <row r="3446" spans="1:8" s="1" customFormat="1" ht="18" customHeight="1">
      <c r="A3446" s="86"/>
      <c r="B3446" s="3"/>
      <c r="C3446" s="22">
        <v>6050</v>
      </c>
      <c r="D3446" s="238" t="s">
        <v>746</v>
      </c>
      <c r="E3446" s="228"/>
      <c r="F3446" s="228"/>
      <c r="G3446" s="228">
        <f>SUM(G3444:G3445)</f>
        <v>35500</v>
      </c>
      <c r="H3446" s="228"/>
    </row>
    <row r="3447" spans="1:8" s="1" customFormat="1" ht="19.5" customHeight="1">
      <c r="A3447" s="2"/>
      <c r="B3447" s="3">
        <v>90095</v>
      </c>
      <c r="C3447" s="45"/>
      <c r="D3447" s="67" t="s">
        <v>100</v>
      </c>
      <c r="E3447" s="4"/>
      <c r="F3447" s="4"/>
      <c r="G3447" s="4">
        <f>G3448</f>
        <v>282500</v>
      </c>
      <c r="H3447" s="4"/>
    </row>
    <row r="3448" spans="1:8" s="1" customFormat="1" ht="18" customHeight="1">
      <c r="A3448" s="86"/>
      <c r="B3448" s="5"/>
      <c r="C3448" s="47"/>
      <c r="D3448" s="16" t="s">
        <v>451</v>
      </c>
      <c r="E3448" s="17"/>
      <c r="F3448" s="17"/>
      <c r="G3448" s="17">
        <f>G3450</f>
        <v>282500</v>
      </c>
      <c r="H3448" s="17"/>
    </row>
    <row r="3449" spans="1:8" s="1" customFormat="1" ht="18" customHeight="1">
      <c r="A3449" s="18"/>
      <c r="B3449" s="50"/>
      <c r="C3449" s="50"/>
      <c r="D3449" s="421" t="s">
        <v>96</v>
      </c>
      <c r="E3449" s="10"/>
      <c r="F3449" s="10"/>
      <c r="G3449" s="10">
        <v>282500</v>
      </c>
      <c r="H3449" s="10"/>
    </row>
    <row r="3450" spans="1:8" s="1" customFormat="1" ht="38.25">
      <c r="A3450" s="18"/>
      <c r="B3450" s="50"/>
      <c r="C3450" s="22">
        <v>6300</v>
      </c>
      <c r="D3450" s="20" t="s">
        <v>780</v>
      </c>
      <c r="E3450" s="228"/>
      <c r="F3450" s="228"/>
      <c r="G3450" s="228">
        <f>G3449</f>
        <v>282500</v>
      </c>
      <c r="H3450" s="228"/>
    </row>
    <row r="3451" spans="1:8" ht="29.25" thickBot="1">
      <c r="A3451" s="158"/>
      <c r="B3451" s="158"/>
      <c r="C3451" s="181"/>
      <c r="D3451" s="266" t="s">
        <v>1021</v>
      </c>
      <c r="E3451" s="267"/>
      <c r="F3451" s="267"/>
      <c r="G3451" s="267">
        <f>G3452</f>
        <v>300000</v>
      </c>
      <c r="H3451" s="267"/>
    </row>
    <row r="3452" spans="1:8" ht="18.75" customHeight="1" thickTop="1">
      <c r="A3452" s="165">
        <v>700</v>
      </c>
      <c r="B3452" s="165"/>
      <c r="C3452" s="256"/>
      <c r="D3452" s="165" t="s">
        <v>433</v>
      </c>
      <c r="E3452" s="1118"/>
      <c r="F3452" s="1118"/>
      <c r="G3452" s="1118">
        <f>G3453</f>
        <v>300000</v>
      </c>
      <c r="H3452" s="1118"/>
    </row>
    <row r="3453" spans="1:8" ht="18.75" customHeight="1">
      <c r="A3453" s="193"/>
      <c r="B3453" s="182">
        <v>70005</v>
      </c>
      <c r="C3453" s="1119"/>
      <c r="D3453" s="182" t="s">
        <v>435</v>
      </c>
      <c r="E3453" s="183"/>
      <c r="F3453" s="183"/>
      <c r="G3453" s="183">
        <f>G3454</f>
        <v>300000</v>
      </c>
      <c r="H3453" s="183"/>
    </row>
    <row r="3454" spans="1:8" ht="18" customHeight="1">
      <c r="A3454" s="56"/>
      <c r="B3454" s="56"/>
      <c r="C3454" s="170"/>
      <c r="D3454" s="186" t="s">
        <v>288</v>
      </c>
      <c r="E3454" s="212"/>
      <c r="F3454" s="212"/>
      <c r="G3454" s="212">
        <f>G3456</f>
        <v>300000</v>
      </c>
      <c r="H3454" s="212"/>
    </row>
    <row r="3455" spans="1:8" ht="18" customHeight="1">
      <c r="A3455" s="56"/>
      <c r="B3455" s="56"/>
      <c r="C3455" s="170"/>
      <c r="D3455" s="299" t="s">
        <v>232</v>
      </c>
      <c r="E3455" s="249"/>
      <c r="F3455" s="249"/>
      <c r="G3455" s="249">
        <v>300000</v>
      </c>
      <c r="H3455" s="249"/>
    </row>
    <row r="3456" spans="1:8" ht="18" customHeight="1">
      <c r="A3456" s="56"/>
      <c r="B3456" s="56"/>
      <c r="C3456" s="181">
        <v>4270</v>
      </c>
      <c r="D3456" s="181" t="s">
        <v>98</v>
      </c>
      <c r="E3456" s="176"/>
      <c r="F3456" s="176"/>
      <c r="G3456" s="176">
        <f>G3455</f>
        <v>300000</v>
      </c>
      <c r="H3456" s="176"/>
    </row>
    <row r="3457" spans="1:8" ht="21.75" customHeight="1">
      <c r="A3457" s="56"/>
      <c r="B3457" s="56"/>
      <c r="C3457" s="56"/>
      <c r="D3457" s="271" t="s">
        <v>209</v>
      </c>
      <c r="E3457" s="272"/>
      <c r="F3457" s="272">
        <f>F3458+F3467</f>
        <v>942816</v>
      </c>
      <c r="G3457" s="272"/>
      <c r="H3457" s="272">
        <f>H3472+H3700+H3711</f>
        <v>180032302</v>
      </c>
    </row>
    <row r="3458" spans="1:8" ht="18.75" customHeight="1" thickBot="1">
      <c r="A3458" s="158"/>
      <c r="B3458" s="158"/>
      <c r="C3458" s="158"/>
      <c r="D3458" s="159" t="s">
        <v>461</v>
      </c>
      <c r="E3458" s="160"/>
      <c r="F3458" s="160">
        <f>F3463+F3459</f>
        <v>624816</v>
      </c>
      <c r="G3458" s="160"/>
      <c r="H3458" s="160"/>
    </row>
    <row r="3459" spans="1:8" ht="18" customHeight="1" thickBot="1" thickTop="1">
      <c r="A3459" s="920">
        <v>750</v>
      </c>
      <c r="B3459" s="920"/>
      <c r="C3459" s="920"/>
      <c r="D3459" s="959" t="s">
        <v>439</v>
      </c>
      <c r="E3459" s="406"/>
      <c r="F3459" s="406">
        <f>F3460</f>
        <v>24816</v>
      </c>
      <c r="G3459" s="406"/>
      <c r="H3459" s="406"/>
    </row>
    <row r="3460" spans="1:8" ht="18" customHeight="1">
      <c r="A3460" s="923"/>
      <c r="B3460" s="924">
        <v>75023</v>
      </c>
      <c r="C3460" s="924"/>
      <c r="D3460" s="960" t="s">
        <v>1061</v>
      </c>
      <c r="E3460" s="167"/>
      <c r="F3460" s="167">
        <f>F3461</f>
        <v>24816</v>
      </c>
      <c r="G3460" s="167"/>
      <c r="H3460" s="167"/>
    </row>
    <row r="3461" spans="1:8" ht="18" customHeight="1">
      <c r="A3461" s="923"/>
      <c r="B3461" s="923"/>
      <c r="C3461" s="938"/>
      <c r="D3461" s="904" t="s">
        <v>790</v>
      </c>
      <c r="E3461" s="270"/>
      <c r="F3461" s="270">
        <f>F3462</f>
        <v>24816</v>
      </c>
      <c r="G3461" s="270"/>
      <c r="H3461" s="270"/>
    </row>
    <row r="3462" spans="1:8" ht="18" customHeight="1">
      <c r="A3462" s="957"/>
      <c r="B3462" s="957"/>
      <c r="C3462" s="940" t="s">
        <v>1064</v>
      </c>
      <c r="D3462" s="941" t="s">
        <v>882</v>
      </c>
      <c r="E3462" s="958"/>
      <c r="F3462" s="958">
        <f>2806+22010</f>
        <v>24816</v>
      </c>
      <c r="G3462" s="958"/>
      <c r="H3462" s="958"/>
    </row>
    <row r="3463" spans="1:8" ht="18.75" customHeight="1" thickBot="1">
      <c r="A3463" s="382">
        <v>900</v>
      </c>
      <c r="B3463" s="382"/>
      <c r="C3463" s="382"/>
      <c r="D3463" s="382" t="s">
        <v>1048</v>
      </c>
      <c r="E3463" s="384"/>
      <c r="F3463" s="384">
        <f>F3464</f>
        <v>600000</v>
      </c>
      <c r="G3463" s="384"/>
      <c r="H3463" s="384"/>
    </row>
    <row r="3464" spans="1:8" ht="18.75" customHeight="1">
      <c r="A3464" s="55"/>
      <c r="B3464" s="165">
        <v>90095</v>
      </c>
      <c r="C3464" s="165"/>
      <c r="D3464" s="213" t="s">
        <v>100</v>
      </c>
      <c r="E3464" s="214"/>
      <c r="F3464" s="214">
        <f>F3465</f>
        <v>600000</v>
      </c>
      <c r="G3464" s="214"/>
      <c r="H3464" s="214"/>
    </row>
    <row r="3465" spans="1:8" ht="18.75" customHeight="1">
      <c r="A3465" s="56"/>
      <c r="B3465" s="56"/>
      <c r="C3465" s="199"/>
      <c r="D3465" s="1082" t="s">
        <v>876</v>
      </c>
      <c r="E3465" s="57"/>
      <c r="F3465" s="57">
        <f>F3466</f>
        <v>600000</v>
      </c>
      <c r="G3465" s="57"/>
      <c r="H3465" s="57"/>
    </row>
    <row r="3466" spans="1:8" ht="24.75" customHeight="1">
      <c r="A3466" s="170"/>
      <c r="B3466" s="170"/>
      <c r="C3466" s="76">
        <v>6290</v>
      </c>
      <c r="D3466" s="77" t="s">
        <v>931</v>
      </c>
      <c r="E3466" s="190"/>
      <c r="F3466" s="190">
        <f>100000+500000</f>
        <v>600000</v>
      </c>
      <c r="G3466" s="190"/>
      <c r="H3466" s="190"/>
    </row>
    <row r="3467" spans="1:8" ht="29.25" thickBot="1">
      <c r="A3467" s="158"/>
      <c r="B3467" s="158"/>
      <c r="C3467" s="158"/>
      <c r="D3467" s="192" t="s">
        <v>104</v>
      </c>
      <c r="E3467" s="160"/>
      <c r="F3467" s="160">
        <f>F3468</f>
        <v>318000</v>
      </c>
      <c r="G3467" s="160"/>
      <c r="H3467" s="160"/>
    </row>
    <row r="3468" spans="1:8" ht="19.5" customHeight="1" thickBot="1" thickTop="1">
      <c r="A3468" s="382">
        <v>900</v>
      </c>
      <c r="B3468" s="382"/>
      <c r="C3468" s="382"/>
      <c r="D3468" s="382" t="s">
        <v>1048</v>
      </c>
      <c r="E3468" s="384"/>
      <c r="F3468" s="384">
        <f>F3469</f>
        <v>318000</v>
      </c>
      <c r="G3468" s="384"/>
      <c r="H3468" s="384"/>
    </row>
    <row r="3469" spans="1:8" ht="19.5" customHeight="1">
      <c r="A3469" s="55"/>
      <c r="B3469" s="165">
        <v>90002</v>
      </c>
      <c r="C3469" s="165"/>
      <c r="D3469" s="213" t="s">
        <v>176</v>
      </c>
      <c r="E3469" s="214"/>
      <c r="F3469" s="214">
        <f>F3470</f>
        <v>318000</v>
      </c>
      <c r="G3469" s="214"/>
      <c r="H3469" s="214"/>
    </row>
    <row r="3470" spans="1:8" ht="25.5" customHeight="1">
      <c r="A3470" s="56"/>
      <c r="B3470" s="56"/>
      <c r="C3470" s="1083"/>
      <c r="D3470" s="1055" t="s">
        <v>169</v>
      </c>
      <c r="E3470" s="57"/>
      <c r="F3470" s="57">
        <f>F3471</f>
        <v>318000</v>
      </c>
      <c r="G3470" s="57"/>
      <c r="H3470" s="57"/>
    </row>
    <row r="3471" spans="1:8" ht="38.25">
      <c r="A3471" s="170"/>
      <c r="B3471" s="170"/>
      <c r="C3471" s="433">
        <v>6300</v>
      </c>
      <c r="D3471" s="360" t="s">
        <v>367</v>
      </c>
      <c r="E3471" s="355"/>
      <c r="F3471" s="355">
        <v>318000</v>
      </c>
      <c r="G3471" s="355"/>
      <c r="H3471" s="355"/>
    </row>
    <row r="3472" spans="1:8" ht="19.5" customHeight="1" thickBot="1">
      <c r="A3472" s="158"/>
      <c r="B3472" s="158"/>
      <c r="C3472" s="1078"/>
      <c r="D3472" s="349" t="s">
        <v>646</v>
      </c>
      <c r="E3472" s="267"/>
      <c r="F3472" s="267"/>
      <c r="G3472" s="267"/>
      <c r="H3472" s="267">
        <f>H3473+H3562+H3575+H3599+H3605+H3655+H3678+H3570</f>
        <v>179414302</v>
      </c>
    </row>
    <row r="3473" spans="1:8" ht="19.5" customHeight="1" thickBot="1" thickTop="1">
      <c r="A3473" s="375">
        <v>600</v>
      </c>
      <c r="B3473" s="375"/>
      <c r="C3473" s="375"/>
      <c r="D3473" s="375" t="s">
        <v>525</v>
      </c>
      <c r="E3473" s="378"/>
      <c r="F3473" s="378"/>
      <c r="G3473" s="378"/>
      <c r="H3473" s="378">
        <f>H3486+H3540+H3557+H3474</f>
        <v>103979143</v>
      </c>
    </row>
    <row r="3474" spans="1:8" ht="19.5" customHeight="1">
      <c r="A3474" s="2"/>
      <c r="B3474" s="3">
        <v>60004</v>
      </c>
      <c r="C3474" s="3"/>
      <c r="D3474" s="3" t="s">
        <v>647</v>
      </c>
      <c r="E3474" s="4"/>
      <c r="F3474" s="4"/>
      <c r="G3474" s="4"/>
      <c r="H3474" s="4">
        <f>H3475</f>
        <v>25955432</v>
      </c>
    </row>
    <row r="3475" spans="1:8" ht="19.5" customHeight="1">
      <c r="A3475" s="2"/>
      <c r="B3475" s="5"/>
      <c r="C3475" s="5"/>
      <c r="D3475" s="87" t="s">
        <v>841</v>
      </c>
      <c r="E3475" s="9"/>
      <c r="F3475" s="9"/>
      <c r="G3475" s="169"/>
      <c r="H3475" s="169">
        <f>H3481+H3483+H3485</f>
        <v>25955432</v>
      </c>
    </row>
    <row r="3476" spans="1:8" ht="19.5" customHeight="1">
      <c r="A3476" s="2"/>
      <c r="B3476" s="2"/>
      <c r="C3476" s="2"/>
      <c r="D3476" s="899" t="s">
        <v>134</v>
      </c>
      <c r="E3476" s="230"/>
      <c r="F3476" s="230"/>
      <c r="G3476" s="230"/>
      <c r="H3476" s="230">
        <v>100000</v>
      </c>
    </row>
    <row r="3477" spans="1:8" ht="19.5" customHeight="1">
      <c r="A3477" s="86"/>
      <c r="B3477" s="86"/>
      <c r="C3477" s="86"/>
      <c r="D3477" s="177" t="s">
        <v>132</v>
      </c>
      <c r="E3477" s="11"/>
      <c r="F3477" s="11"/>
      <c r="G3477" s="11"/>
      <c r="H3477" s="11">
        <v>5000000</v>
      </c>
    </row>
    <row r="3478" spans="1:8" ht="25.5">
      <c r="A3478" s="107"/>
      <c r="B3478" s="107"/>
      <c r="C3478" s="107"/>
      <c r="D3478" s="1120" t="s">
        <v>135</v>
      </c>
      <c r="E3478" s="228"/>
      <c r="F3478" s="228"/>
      <c r="G3478" s="228"/>
      <c r="H3478" s="228">
        <v>1125883</v>
      </c>
    </row>
    <row r="3479" spans="1:8" ht="19.5" customHeight="1">
      <c r="A3479" s="122"/>
      <c r="B3479" s="122"/>
      <c r="C3479" s="122"/>
      <c r="D3479" s="1121" t="s">
        <v>133</v>
      </c>
      <c r="E3479" s="178"/>
      <c r="F3479" s="178"/>
      <c r="G3479" s="178"/>
      <c r="H3479" s="178">
        <v>14000000</v>
      </c>
    </row>
    <row r="3480" spans="1:8" ht="18" customHeight="1">
      <c r="A3480" s="86"/>
      <c r="B3480" s="86"/>
      <c r="C3480" s="86"/>
      <c r="D3480" s="177" t="s">
        <v>136</v>
      </c>
      <c r="E3480" s="11"/>
      <c r="F3480" s="11"/>
      <c r="G3480" s="11"/>
      <c r="H3480" s="11">
        <v>1000000</v>
      </c>
    </row>
    <row r="3481" spans="1:8" ht="19.5" customHeight="1">
      <c r="A3481" s="86"/>
      <c r="B3481" s="86"/>
      <c r="C3481" s="22">
        <v>6050</v>
      </c>
      <c r="D3481" s="22" t="s">
        <v>746</v>
      </c>
      <c r="E3481" s="6"/>
      <c r="F3481" s="6"/>
      <c r="G3481" s="6"/>
      <c r="H3481" s="6">
        <f>SUM(H3476:H3480)</f>
        <v>21225883</v>
      </c>
    </row>
    <row r="3482" spans="1:8" ht="25.5">
      <c r="A3482" s="86"/>
      <c r="B3482" s="86"/>
      <c r="C3482" s="86"/>
      <c r="D3482" s="177" t="s">
        <v>135</v>
      </c>
      <c r="E3482" s="11"/>
      <c r="F3482" s="231"/>
      <c r="G3482" s="178"/>
      <c r="H3482" s="178">
        <v>3547162</v>
      </c>
    </row>
    <row r="3483" spans="1:8" ht="19.5" customHeight="1">
      <c r="A3483" s="86"/>
      <c r="B3483" s="86"/>
      <c r="C3483" s="22">
        <v>6058</v>
      </c>
      <c r="D3483" s="22" t="s">
        <v>746</v>
      </c>
      <c r="E3483" s="6"/>
      <c r="F3483" s="6"/>
      <c r="G3483" s="6"/>
      <c r="H3483" s="6">
        <f>H3482</f>
        <v>3547162</v>
      </c>
    </row>
    <row r="3484" spans="1:8" ht="25.5">
      <c r="A3484" s="86"/>
      <c r="B3484" s="86"/>
      <c r="C3484" s="86"/>
      <c r="D3484" s="179" t="s">
        <v>135</v>
      </c>
      <c r="E3484" s="11"/>
      <c r="F3484" s="231"/>
      <c r="G3484" s="180"/>
      <c r="H3484" s="180">
        <v>1182387</v>
      </c>
    </row>
    <row r="3485" spans="1:8" ht="19.5" customHeight="1">
      <c r="A3485" s="86"/>
      <c r="B3485" s="107"/>
      <c r="C3485" s="22">
        <v>6059</v>
      </c>
      <c r="D3485" s="22" t="s">
        <v>746</v>
      </c>
      <c r="E3485" s="6"/>
      <c r="F3485" s="6"/>
      <c r="G3485" s="6"/>
      <c r="H3485" s="6">
        <f>H3484</f>
        <v>1182387</v>
      </c>
    </row>
    <row r="3486" spans="1:8" ht="19.5" customHeight="1">
      <c r="A3486" s="56"/>
      <c r="B3486" s="13">
        <v>60015</v>
      </c>
      <c r="C3486" s="13"/>
      <c r="D3486" s="3" t="s">
        <v>1113</v>
      </c>
      <c r="E3486" s="229"/>
      <c r="F3486" s="229"/>
      <c r="G3486" s="15"/>
      <c r="H3486" s="15">
        <f>H3487</f>
        <v>67713711</v>
      </c>
    </row>
    <row r="3487" spans="1:8" ht="19.5" customHeight="1">
      <c r="A3487" s="56"/>
      <c r="B3487" s="56"/>
      <c r="C3487" s="86"/>
      <c r="D3487" s="16" t="s">
        <v>297</v>
      </c>
      <c r="E3487" s="17"/>
      <c r="F3487" s="17"/>
      <c r="G3487" s="17"/>
      <c r="H3487" s="17">
        <f>H3527+H3529+H3531+H3535+H3539</f>
        <v>67713711</v>
      </c>
    </row>
    <row r="3488" spans="1:8" ht="30" customHeight="1">
      <c r="A3488" s="56"/>
      <c r="B3488" s="56"/>
      <c r="C3488" s="56"/>
      <c r="D3488" s="434" t="s">
        <v>298</v>
      </c>
      <c r="E3488" s="10"/>
      <c r="F3488" s="10"/>
      <c r="G3488" s="10"/>
      <c r="H3488" s="10">
        <v>500000</v>
      </c>
    </row>
    <row r="3489" spans="1:8" ht="19.5" customHeight="1">
      <c r="A3489" s="56"/>
      <c r="B3489" s="56"/>
      <c r="C3489" s="56"/>
      <c r="D3489" s="296" t="s">
        <v>299</v>
      </c>
      <c r="E3489" s="11"/>
      <c r="F3489" s="11"/>
      <c r="G3489" s="11"/>
      <c r="H3489" s="11">
        <v>4800000</v>
      </c>
    </row>
    <row r="3490" spans="1:8" ht="25.5">
      <c r="A3490" s="56"/>
      <c r="B3490" s="56"/>
      <c r="C3490" s="56"/>
      <c r="D3490" s="413" t="s">
        <v>986</v>
      </c>
      <c r="E3490" s="11"/>
      <c r="F3490" s="11"/>
      <c r="G3490" s="11"/>
      <c r="H3490" s="11">
        <v>800000</v>
      </c>
    </row>
    <row r="3491" spans="1:8" ht="19.5" customHeight="1">
      <c r="A3491" s="56"/>
      <c r="B3491" s="56"/>
      <c r="C3491" s="56"/>
      <c r="D3491" s="179" t="s">
        <v>687</v>
      </c>
      <c r="E3491" s="11"/>
      <c r="F3491" s="11"/>
      <c r="G3491" s="11"/>
      <c r="H3491" s="11">
        <v>25000</v>
      </c>
    </row>
    <row r="3492" spans="1:8" ht="18.75" customHeight="1">
      <c r="A3492" s="56"/>
      <c r="B3492" s="56"/>
      <c r="C3492" s="56"/>
      <c r="D3492" s="340" t="s">
        <v>480</v>
      </c>
      <c r="E3492" s="11"/>
      <c r="F3492" s="11"/>
      <c r="G3492" s="11"/>
      <c r="H3492" s="11">
        <f>4000000+3200000</f>
        <v>7200000</v>
      </c>
    </row>
    <row r="3493" spans="1:8" ht="18.75" customHeight="1">
      <c r="A3493" s="56"/>
      <c r="B3493" s="56"/>
      <c r="C3493" s="56"/>
      <c r="D3493" s="332" t="s">
        <v>688</v>
      </c>
      <c r="E3493" s="11"/>
      <c r="F3493" s="11"/>
      <c r="G3493" s="11"/>
      <c r="H3493" s="11">
        <v>200000</v>
      </c>
    </row>
    <row r="3494" spans="1:8" ht="21" customHeight="1">
      <c r="A3494" s="56"/>
      <c r="B3494" s="56"/>
      <c r="C3494" s="56"/>
      <c r="D3494" s="340" t="s">
        <v>689</v>
      </c>
      <c r="E3494" s="11"/>
      <c r="F3494" s="11"/>
      <c r="G3494" s="11"/>
      <c r="H3494" s="11">
        <v>5000000</v>
      </c>
    </row>
    <row r="3495" spans="1:8" ht="19.5" customHeight="1">
      <c r="A3495" s="56"/>
      <c r="B3495" s="56"/>
      <c r="C3495" s="56"/>
      <c r="D3495" s="179" t="s">
        <v>251</v>
      </c>
      <c r="E3495" s="11"/>
      <c r="F3495" s="11"/>
      <c r="G3495" s="11"/>
      <c r="H3495" s="11">
        <v>100000</v>
      </c>
    </row>
    <row r="3496" spans="1:8" ht="19.5" customHeight="1">
      <c r="A3496" s="56"/>
      <c r="B3496" s="56"/>
      <c r="C3496" s="56"/>
      <c r="D3496" s="340" t="s">
        <v>1042</v>
      </c>
      <c r="E3496" s="11"/>
      <c r="F3496" s="11"/>
      <c r="G3496" s="11"/>
      <c r="H3496" s="11">
        <v>100000</v>
      </c>
    </row>
    <row r="3497" spans="1:8" ht="19.5" customHeight="1">
      <c r="A3497" s="56"/>
      <c r="B3497" s="56"/>
      <c r="C3497" s="56"/>
      <c r="D3497" s="340" t="s">
        <v>590</v>
      </c>
      <c r="E3497" s="11"/>
      <c r="F3497" s="11"/>
      <c r="G3497" s="11"/>
      <c r="H3497" s="11">
        <f>2744360-1000000</f>
        <v>1744360</v>
      </c>
    </row>
    <row r="3498" spans="1:8" ht="27.75" customHeight="1">
      <c r="A3498" s="56"/>
      <c r="B3498" s="56"/>
      <c r="C3498" s="56"/>
      <c r="D3498" s="340" t="s">
        <v>591</v>
      </c>
      <c r="E3498" s="461"/>
      <c r="F3498" s="461"/>
      <c r="G3498" s="11"/>
      <c r="H3498" s="11">
        <f>1217160-700000</f>
        <v>517160</v>
      </c>
    </row>
    <row r="3499" spans="1:8" ht="19.5" customHeight="1">
      <c r="A3499" s="56"/>
      <c r="B3499" s="56"/>
      <c r="C3499" s="56"/>
      <c r="D3499" s="340" t="s">
        <v>595</v>
      </c>
      <c r="E3499" s="11"/>
      <c r="F3499" s="11"/>
      <c r="G3499" s="11"/>
      <c r="H3499" s="11">
        <v>100000</v>
      </c>
    </row>
    <row r="3500" spans="1:8" ht="19.5" customHeight="1">
      <c r="A3500" s="56"/>
      <c r="B3500" s="56"/>
      <c r="C3500" s="56"/>
      <c r="D3500" s="340" t="s">
        <v>596</v>
      </c>
      <c r="E3500" s="11"/>
      <c r="F3500" s="11"/>
      <c r="G3500" s="11"/>
      <c r="H3500" s="11">
        <v>50000</v>
      </c>
    </row>
    <row r="3501" spans="1:8" ht="25.5">
      <c r="A3501" s="56"/>
      <c r="B3501" s="56"/>
      <c r="C3501" s="56"/>
      <c r="D3501" s="332" t="s">
        <v>1028</v>
      </c>
      <c r="E3501" s="11"/>
      <c r="F3501" s="11"/>
      <c r="G3501" s="11"/>
      <c r="H3501" s="11">
        <v>1500000</v>
      </c>
    </row>
    <row r="3502" spans="1:8" ht="19.5" customHeight="1">
      <c r="A3502" s="56"/>
      <c r="B3502" s="56"/>
      <c r="C3502" s="56"/>
      <c r="D3502" s="332" t="s">
        <v>1029</v>
      </c>
      <c r="E3502" s="11"/>
      <c r="F3502" s="11"/>
      <c r="G3502" s="11"/>
      <c r="H3502" s="11">
        <v>500000</v>
      </c>
    </row>
    <row r="3503" spans="1:8" ht="19.5" customHeight="1">
      <c r="A3503" s="56"/>
      <c r="B3503" s="56"/>
      <c r="C3503" s="56"/>
      <c r="D3503" s="366" t="s">
        <v>1026</v>
      </c>
      <c r="E3503" s="230"/>
      <c r="F3503" s="230"/>
      <c r="G3503" s="230"/>
      <c r="H3503" s="230">
        <v>500000</v>
      </c>
    </row>
    <row r="3504" spans="1:8" ht="19.5" customHeight="1">
      <c r="A3504" s="158"/>
      <c r="B3504" s="158"/>
      <c r="C3504" s="158"/>
      <c r="D3504" s="1044" t="s">
        <v>1027</v>
      </c>
      <c r="E3504" s="228"/>
      <c r="F3504" s="228"/>
      <c r="G3504" s="228"/>
      <c r="H3504" s="228">
        <v>600000</v>
      </c>
    </row>
    <row r="3505" spans="1:8" ht="38.25">
      <c r="A3505" s="193"/>
      <c r="B3505" s="193"/>
      <c r="C3505" s="193"/>
      <c r="D3505" s="1045" t="s">
        <v>762</v>
      </c>
      <c r="E3505" s="178"/>
      <c r="F3505" s="178"/>
      <c r="G3505" s="178"/>
      <c r="H3505" s="178">
        <v>1000000</v>
      </c>
    </row>
    <row r="3506" spans="1:8" ht="19.5" customHeight="1">
      <c r="A3506" s="56"/>
      <c r="B3506" s="56"/>
      <c r="C3506" s="56"/>
      <c r="D3506" s="332" t="s">
        <v>421</v>
      </c>
      <c r="E3506" s="11"/>
      <c r="F3506" s="11"/>
      <c r="G3506" s="11"/>
      <c r="H3506" s="11">
        <v>10000000</v>
      </c>
    </row>
    <row r="3507" spans="1:8" ht="25.5">
      <c r="A3507" s="56"/>
      <c r="B3507" s="56"/>
      <c r="C3507" s="56"/>
      <c r="D3507" s="435" t="s">
        <v>505</v>
      </c>
      <c r="E3507" s="11"/>
      <c r="F3507" s="11"/>
      <c r="G3507" s="11"/>
      <c r="H3507" s="11">
        <v>30000</v>
      </c>
    </row>
    <row r="3508" spans="1:8" ht="19.5" customHeight="1">
      <c r="A3508" s="56"/>
      <c r="B3508" s="56"/>
      <c r="C3508" s="56"/>
      <c r="D3508" s="899" t="s">
        <v>53</v>
      </c>
      <c r="E3508" s="230"/>
      <c r="F3508" s="230"/>
      <c r="G3508" s="230"/>
      <c r="H3508" s="230">
        <v>55640</v>
      </c>
    </row>
    <row r="3509" spans="1:8" ht="27" customHeight="1">
      <c r="A3509" s="86"/>
      <c r="B3509" s="86"/>
      <c r="C3509" s="86"/>
      <c r="D3509" s="340" t="s">
        <v>789</v>
      </c>
      <c r="E3509" s="11"/>
      <c r="F3509" s="11"/>
      <c r="G3509" s="296"/>
      <c r="H3509" s="296">
        <f>414090-370830</f>
        <v>43260</v>
      </c>
    </row>
    <row r="3510" spans="1:8" ht="25.5">
      <c r="A3510" s="86"/>
      <c r="B3510" s="86"/>
      <c r="C3510" s="86"/>
      <c r="D3510" s="341" t="s">
        <v>875</v>
      </c>
      <c r="E3510" s="231"/>
      <c r="F3510" s="231"/>
      <c r="G3510" s="250"/>
      <c r="H3510" s="250">
        <f>300000-276308</f>
        <v>23692</v>
      </c>
    </row>
    <row r="3511" spans="1:8" ht="25.5">
      <c r="A3511" s="86"/>
      <c r="B3511" s="86"/>
      <c r="C3511" s="86"/>
      <c r="D3511" s="368" t="s">
        <v>295</v>
      </c>
      <c r="E3511" s="11"/>
      <c r="F3511" s="11"/>
      <c r="G3511" s="296"/>
      <c r="H3511" s="296">
        <f>370000-250971</f>
        <v>119029</v>
      </c>
    </row>
    <row r="3512" spans="1:8" ht="25.5">
      <c r="A3512" s="86"/>
      <c r="B3512" s="86"/>
      <c r="C3512" s="86"/>
      <c r="D3512" s="340" t="s">
        <v>296</v>
      </c>
      <c r="E3512" s="11"/>
      <c r="F3512" s="11"/>
      <c r="G3512" s="11"/>
      <c r="H3512" s="11">
        <v>2239735</v>
      </c>
    </row>
    <row r="3513" spans="1:8" ht="18.75" customHeight="1">
      <c r="A3513" s="86"/>
      <c r="B3513" s="86"/>
      <c r="C3513" s="86"/>
      <c r="D3513" s="341" t="s">
        <v>592</v>
      </c>
      <c r="E3513" s="11"/>
      <c r="F3513" s="11"/>
      <c r="G3513" s="11"/>
      <c r="H3513" s="11">
        <v>50000</v>
      </c>
    </row>
    <row r="3514" spans="1:8" ht="12.75">
      <c r="A3514" s="86"/>
      <c r="B3514" s="86"/>
      <c r="C3514" s="86"/>
      <c r="D3514" s="340" t="s">
        <v>593</v>
      </c>
      <c r="E3514" s="11"/>
      <c r="F3514" s="11"/>
      <c r="G3514" s="11"/>
      <c r="H3514" s="11">
        <v>10000</v>
      </c>
    </row>
    <row r="3515" spans="1:8" ht="25.5">
      <c r="A3515" s="86"/>
      <c r="B3515" s="86"/>
      <c r="C3515" s="86"/>
      <c r="D3515" s="340" t="s">
        <v>594</v>
      </c>
      <c r="E3515" s="11"/>
      <c r="F3515" s="11"/>
      <c r="G3515" s="11"/>
      <c r="H3515" s="11">
        <v>30000</v>
      </c>
    </row>
    <row r="3516" spans="1:8" ht="18" customHeight="1">
      <c r="A3516" s="86"/>
      <c r="B3516" s="86"/>
      <c r="C3516" s="86"/>
      <c r="D3516" s="340" t="s">
        <v>220</v>
      </c>
      <c r="E3516" s="11"/>
      <c r="F3516" s="11"/>
      <c r="G3516" s="11"/>
      <c r="H3516" s="11">
        <v>30000</v>
      </c>
    </row>
    <row r="3517" spans="1:8" ht="18.75" customHeight="1">
      <c r="A3517" s="86"/>
      <c r="B3517" s="86"/>
      <c r="C3517" s="86"/>
      <c r="D3517" s="340" t="s">
        <v>597</v>
      </c>
      <c r="E3517" s="11"/>
      <c r="F3517" s="11"/>
      <c r="G3517" s="11"/>
      <c r="H3517" s="11">
        <v>500000</v>
      </c>
    </row>
    <row r="3518" spans="1:8" ht="18.75" customHeight="1">
      <c r="A3518" s="86"/>
      <c r="B3518" s="86"/>
      <c r="C3518" s="86"/>
      <c r="D3518" s="332" t="s">
        <v>1031</v>
      </c>
      <c r="E3518" s="11"/>
      <c r="F3518" s="11"/>
      <c r="G3518" s="11"/>
      <c r="H3518" s="11">
        <v>2500000</v>
      </c>
    </row>
    <row r="3519" spans="1:8" ht="18.75" customHeight="1">
      <c r="A3519" s="86"/>
      <c r="B3519" s="86"/>
      <c r="C3519" s="86"/>
      <c r="D3519" s="332" t="s">
        <v>1032</v>
      </c>
      <c r="E3519" s="11"/>
      <c r="F3519" s="11"/>
      <c r="G3519" s="11"/>
      <c r="H3519" s="11">
        <v>1000000</v>
      </c>
    </row>
    <row r="3520" spans="1:8" ht="18.75" customHeight="1">
      <c r="A3520" s="86"/>
      <c r="B3520" s="86"/>
      <c r="C3520" s="86"/>
      <c r="D3520" s="332" t="s">
        <v>420</v>
      </c>
      <c r="E3520" s="11"/>
      <c r="F3520" s="11"/>
      <c r="G3520" s="11"/>
      <c r="H3520" s="11">
        <v>400000</v>
      </c>
    </row>
    <row r="3521" spans="1:8" ht="42" customHeight="1">
      <c r="A3521" s="86"/>
      <c r="B3521" s="86"/>
      <c r="C3521" s="86"/>
      <c r="D3521" s="332" t="s">
        <v>502</v>
      </c>
      <c r="E3521" s="11"/>
      <c r="F3521" s="11"/>
      <c r="G3521" s="11"/>
      <c r="H3521" s="11">
        <v>1500000</v>
      </c>
    </row>
    <row r="3522" spans="1:8" ht="28.5" customHeight="1">
      <c r="A3522" s="86"/>
      <c r="B3522" s="86"/>
      <c r="C3522" s="86"/>
      <c r="D3522" s="332" t="s">
        <v>503</v>
      </c>
      <c r="E3522" s="11"/>
      <c r="F3522" s="11"/>
      <c r="G3522" s="11"/>
      <c r="H3522" s="11">
        <v>700000</v>
      </c>
    </row>
    <row r="3523" spans="1:8" ht="41.25" customHeight="1">
      <c r="A3523" s="86"/>
      <c r="B3523" s="86"/>
      <c r="C3523" s="86"/>
      <c r="D3523" s="340" t="s">
        <v>504</v>
      </c>
      <c r="E3523" s="11"/>
      <c r="F3523" s="11"/>
      <c r="G3523" s="11"/>
      <c r="H3523" s="11">
        <v>200000</v>
      </c>
    </row>
    <row r="3524" spans="1:8" ht="18.75" customHeight="1">
      <c r="A3524" s="86"/>
      <c r="B3524" s="86"/>
      <c r="C3524" s="86"/>
      <c r="D3524" s="332" t="s">
        <v>506</v>
      </c>
      <c r="E3524" s="230"/>
      <c r="F3524" s="230"/>
      <c r="G3524" s="230"/>
      <c r="H3524" s="230">
        <f>1389000-34000</f>
        <v>1355000</v>
      </c>
    </row>
    <row r="3525" spans="1:8" ht="18" customHeight="1">
      <c r="A3525" s="86"/>
      <c r="B3525" s="86"/>
      <c r="C3525" s="86"/>
      <c r="D3525" s="332" t="s">
        <v>507</v>
      </c>
      <c r="E3525" s="230"/>
      <c r="F3525" s="230"/>
      <c r="G3525" s="230"/>
      <c r="H3525" s="230">
        <v>775000</v>
      </c>
    </row>
    <row r="3526" spans="1:8" ht="18.75" customHeight="1">
      <c r="A3526" s="86"/>
      <c r="B3526" s="86"/>
      <c r="C3526" s="86"/>
      <c r="D3526" s="332" t="s">
        <v>508</v>
      </c>
      <c r="E3526" s="230"/>
      <c r="F3526" s="230"/>
      <c r="G3526" s="230"/>
      <c r="H3526" s="230">
        <v>400000</v>
      </c>
    </row>
    <row r="3527" spans="1:8" ht="18.75" customHeight="1">
      <c r="A3527" s="107"/>
      <c r="B3527" s="107"/>
      <c r="C3527" s="22">
        <v>6050</v>
      </c>
      <c r="D3527" s="227" t="s">
        <v>746</v>
      </c>
      <c r="E3527" s="228"/>
      <c r="F3527" s="228"/>
      <c r="G3527" s="228"/>
      <c r="H3527" s="228">
        <f>SUM(H3488:H3526)</f>
        <v>47197876</v>
      </c>
    </row>
    <row r="3528" spans="1:8" ht="18.75" customHeight="1">
      <c r="A3528" s="122"/>
      <c r="B3528" s="122"/>
      <c r="C3528" s="254"/>
      <c r="D3528" s="1045" t="s">
        <v>1030</v>
      </c>
      <c r="E3528" s="178"/>
      <c r="F3528" s="178"/>
      <c r="G3528" s="178"/>
      <c r="H3528" s="178">
        <v>1544500</v>
      </c>
    </row>
    <row r="3529" spans="1:8" ht="18.75" customHeight="1">
      <c r="A3529" s="86"/>
      <c r="B3529" s="86"/>
      <c r="C3529" s="181">
        <v>6053</v>
      </c>
      <c r="D3529" s="189" t="s">
        <v>746</v>
      </c>
      <c r="E3529" s="6"/>
      <c r="F3529" s="6"/>
      <c r="G3529" s="6"/>
      <c r="H3529" s="6">
        <f>H3528</f>
        <v>1544500</v>
      </c>
    </row>
    <row r="3530" spans="1:8" ht="18.75" customHeight="1">
      <c r="A3530" s="86"/>
      <c r="B3530" s="86"/>
      <c r="C3530" s="170"/>
      <c r="D3530" s="332" t="s">
        <v>1030</v>
      </c>
      <c r="E3530" s="11"/>
      <c r="F3530" s="231"/>
      <c r="G3530" s="180"/>
      <c r="H3530" s="180">
        <f>2611000+34000</f>
        <v>2645000</v>
      </c>
    </row>
    <row r="3531" spans="1:8" ht="18.75" customHeight="1">
      <c r="A3531" s="86"/>
      <c r="B3531" s="86"/>
      <c r="C3531" s="181">
        <v>6054</v>
      </c>
      <c r="D3531" s="189" t="s">
        <v>746</v>
      </c>
      <c r="E3531" s="6"/>
      <c r="F3531" s="6"/>
      <c r="G3531" s="6"/>
      <c r="H3531" s="6">
        <f>H3530</f>
        <v>2645000</v>
      </c>
    </row>
    <row r="3532" spans="1:8" ht="30" customHeight="1">
      <c r="A3532" s="86"/>
      <c r="B3532" s="86"/>
      <c r="C3532" s="128"/>
      <c r="D3532" s="418" t="s">
        <v>629</v>
      </c>
      <c r="E3532" s="11"/>
      <c r="F3532" s="231"/>
      <c r="G3532" s="180"/>
      <c r="H3532" s="180">
        <f>3199201-32446</f>
        <v>3166755</v>
      </c>
    </row>
    <row r="3533" spans="1:8" ht="25.5">
      <c r="A3533" s="86"/>
      <c r="B3533" s="86"/>
      <c r="C3533" s="18"/>
      <c r="D3533" s="340" t="s">
        <v>875</v>
      </c>
      <c r="E3533" s="11"/>
      <c r="F3533" s="11"/>
      <c r="G3533" s="11"/>
      <c r="H3533" s="11">
        <v>4882255</v>
      </c>
    </row>
    <row r="3534" spans="1:8" ht="25.5">
      <c r="A3534" s="86"/>
      <c r="B3534" s="86"/>
      <c r="C3534" s="18"/>
      <c r="D3534" s="340" t="s">
        <v>295</v>
      </c>
      <c r="E3534" s="11"/>
      <c r="F3534" s="279"/>
      <c r="G3534" s="233"/>
      <c r="H3534" s="233">
        <f>3489755+2943</f>
        <v>3492698</v>
      </c>
    </row>
    <row r="3535" spans="1:8" ht="19.5" customHeight="1">
      <c r="A3535" s="86"/>
      <c r="B3535" s="86"/>
      <c r="C3535" s="22">
        <v>6058</v>
      </c>
      <c r="D3535" s="227" t="s">
        <v>746</v>
      </c>
      <c r="E3535" s="228"/>
      <c r="F3535" s="228"/>
      <c r="G3535" s="228"/>
      <c r="H3535" s="228">
        <f>SUM(H3532:H3534)</f>
        <v>11541708</v>
      </c>
    </row>
    <row r="3536" spans="1:8" ht="29.25" customHeight="1">
      <c r="A3536" s="86"/>
      <c r="B3536" s="86"/>
      <c r="C3536" s="18"/>
      <c r="D3536" s="341" t="s">
        <v>789</v>
      </c>
      <c r="E3536" s="231"/>
      <c r="F3536" s="231"/>
      <c r="G3536" s="250"/>
      <c r="H3536" s="250">
        <f>1066399+403276</f>
        <v>1469675</v>
      </c>
    </row>
    <row r="3537" spans="1:8" ht="25.5">
      <c r="A3537" s="86"/>
      <c r="B3537" s="86"/>
      <c r="C3537" s="18"/>
      <c r="D3537" s="340" t="s">
        <v>875</v>
      </c>
      <c r="E3537" s="11"/>
      <c r="F3537" s="11"/>
      <c r="G3537" s="296"/>
      <c r="H3537" s="296">
        <f>1627364+276308</f>
        <v>1903672</v>
      </c>
    </row>
    <row r="3538" spans="1:8" ht="25.5">
      <c r="A3538" s="86"/>
      <c r="B3538" s="86"/>
      <c r="C3538" s="18"/>
      <c r="D3538" s="340" t="s">
        <v>295</v>
      </c>
      <c r="E3538" s="11"/>
      <c r="F3538" s="279"/>
      <c r="G3538" s="233"/>
      <c r="H3538" s="233">
        <f>1163252+248028</f>
        <v>1411280</v>
      </c>
    </row>
    <row r="3539" spans="1:8" ht="19.5" customHeight="1">
      <c r="A3539" s="86"/>
      <c r="B3539" s="107"/>
      <c r="C3539" s="22">
        <v>6059</v>
      </c>
      <c r="D3539" s="227" t="s">
        <v>746</v>
      </c>
      <c r="E3539" s="228"/>
      <c r="F3539" s="228"/>
      <c r="G3539" s="228"/>
      <c r="H3539" s="228">
        <f>SUM(H3536:H3538)</f>
        <v>4784627</v>
      </c>
    </row>
    <row r="3540" spans="1:8" ht="19.5" customHeight="1">
      <c r="A3540" s="56"/>
      <c r="B3540" s="3">
        <v>60016</v>
      </c>
      <c r="C3540" s="3"/>
      <c r="D3540" s="3" t="s">
        <v>1114</v>
      </c>
      <c r="E3540" s="4"/>
      <c r="F3540" s="4"/>
      <c r="G3540" s="4"/>
      <c r="H3540" s="4">
        <f>H3541</f>
        <v>9900000</v>
      </c>
    </row>
    <row r="3541" spans="1:8" ht="19.5" customHeight="1">
      <c r="A3541" s="56"/>
      <c r="B3541" s="56"/>
      <c r="C3541" s="86"/>
      <c r="D3541" s="16" t="s">
        <v>321</v>
      </c>
      <c r="E3541" s="17"/>
      <c r="F3541" s="17"/>
      <c r="G3541" s="17"/>
      <c r="H3541" s="17">
        <f>H3556</f>
        <v>9900000</v>
      </c>
    </row>
    <row r="3542" spans="1:8" ht="20.25" customHeight="1">
      <c r="A3542" s="56"/>
      <c r="B3542" s="56"/>
      <c r="C3542" s="170"/>
      <c r="D3542" s="248" t="s">
        <v>193</v>
      </c>
      <c r="E3542" s="231"/>
      <c r="F3542" s="231"/>
      <c r="G3542" s="11"/>
      <c r="H3542" s="11">
        <v>550000</v>
      </c>
    </row>
    <row r="3543" spans="1:8" ht="20.25" customHeight="1">
      <c r="A3543" s="56"/>
      <c r="B3543" s="56"/>
      <c r="C3543" s="170"/>
      <c r="D3543" s="332" t="s">
        <v>510</v>
      </c>
      <c r="E3543" s="231"/>
      <c r="F3543" s="231"/>
      <c r="G3543" s="11"/>
      <c r="H3543" s="11">
        <v>500000</v>
      </c>
    </row>
    <row r="3544" spans="1:8" ht="20.25" customHeight="1">
      <c r="A3544" s="56"/>
      <c r="B3544" s="56"/>
      <c r="C3544" s="170"/>
      <c r="D3544" s="332" t="s">
        <v>192</v>
      </c>
      <c r="E3544" s="231"/>
      <c r="F3544" s="231"/>
      <c r="G3544" s="11"/>
      <c r="H3544" s="11">
        <v>100000</v>
      </c>
    </row>
    <row r="3545" spans="1:8" ht="20.25" customHeight="1">
      <c r="A3545" s="56"/>
      <c r="B3545" s="56"/>
      <c r="C3545" s="170"/>
      <c r="D3545" s="332" t="s">
        <v>511</v>
      </c>
      <c r="E3545" s="231"/>
      <c r="F3545" s="231"/>
      <c r="G3545" s="11"/>
      <c r="H3545" s="11">
        <v>2600000</v>
      </c>
    </row>
    <row r="3546" spans="1:8" ht="20.25" customHeight="1">
      <c r="A3546" s="56"/>
      <c r="B3546" s="56"/>
      <c r="C3546" s="170"/>
      <c r="D3546" s="332" t="s">
        <v>961</v>
      </c>
      <c r="E3546" s="231"/>
      <c r="F3546" s="231"/>
      <c r="G3546" s="11"/>
      <c r="H3546" s="11">
        <v>1200000</v>
      </c>
    </row>
    <row r="3547" spans="1:8" ht="20.25" customHeight="1">
      <c r="A3547" s="56"/>
      <c r="B3547" s="56"/>
      <c r="C3547" s="170"/>
      <c r="D3547" s="332" t="s">
        <v>1051</v>
      </c>
      <c r="E3547" s="231"/>
      <c r="F3547" s="231"/>
      <c r="G3547" s="11"/>
      <c r="H3547" s="11">
        <v>300000</v>
      </c>
    </row>
    <row r="3548" spans="1:8" ht="20.25" customHeight="1">
      <c r="A3548" s="56"/>
      <c r="B3548" s="56"/>
      <c r="C3548" s="170"/>
      <c r="D3548" s="332" t="s">
        <v>1052</v>
      </c>
      <c r="E3548" s="231"/>
      <c r="F3548" s="231"/>
      <c r="G3548" s="11"/>
      <c r="H3548" s="11">
        <v>1000000</v>
      </c>
    </row>
    <row r="3549" spans="1:8" ht="20.25" customHeight="1">
      <c r="A3549" s="56"/>
      <c r="B3549" s="56"/>
      <c r="C3549" s="170"/>
      <c r="D3549" s="332" t="s">
        <v>1053</v>
      </c>
      <c r="E3549" s="231"/>
      <c r="F3549" s="231"/>
      <c r="G3549" s="11"/>
      <c r="H3549" s="11">
        <v>1000000</v>
      </c>
    </row>
    <row r="3550" spans="1:8" ht="20.25" customHeight="1">
      <c r="A3550" s="56"/>
      <c r="B3550" s="56"/>
      <c r="C3550" s="170"/>
      <c r="D3550" s="332" t="s">
        <v>1054</v>
      </c>
      <c r="E3550" s="231"/>
      <c r="F3550" s="231"/>
      <c r="G3550" s="11"/>
      <c r="H3550" s="11">
        <v>200000</v>
      </c>
    </row>
    <row r="3551" spans="1:8" ht="18.75" customHeight="1">
      <c r="A3551" s="56"/>
      <c r="B3551" s="56"/>
      <c r="C3551" s="170"/>
      <c r="D3551" s="340" t="s">
        <v>1055</v>
      </c>
      <c r="E3551" s="11"/>
      <c r="F3551" s="11"/>
      <c r="G3551" s="11"/>
      <c r="H3551" s="11">
        <v>1000000</v>
      </c>
    </row>
    <row r="3552" spans="1:8" ht="18.75" customHeight="1">
      <c r="A3552" s="56"/>
      <c r="B3552" s="56"/>
      <c r="C3552" s="170"/>
      <c r="D3552" s="340" t="s">
        <v>1057</v>
      </c>
      <c r="E3552" s="231"/>
      <c r="F3552" s="231"/>
      <c r="G3552" s="231"/>
      <c r="H3552" s="231">
        <v>200000</v>
      </c>
    </row>
    <row r="3553" spans="1:8" ht="18" customHeight="1">
      <c r="A3553" s="107"/>
      <c r="B3553" s="107"/>
      <c r="C3553" s="107"/>
      <c r="D3553" s="1122" t="s">
        <v>1056</v>
      </c>
      <c r="E3553" s="228"/>
      <c r="F3553" s="228"/>
      <c r="G3553" s="228"/>
      <c r="H3553" s="228">
        <v>800000</v>
      </c>
    </row>
    <row r="3554" spans="1:8" ht="19.5" customHeight="1">
      <c r="A3554" s="122"/>
      <c r="B3554" s="122"/>
      <c r="C3554" s="122"/>
      <c r="D3554" s="293" t="s">
        <v>1058</v>
      </c>
      <c r="E3554" s="178"/>
      <c r="F3554" s="178"/>
      <c r="G3554" s="178"/>
      <c r="H3554" s="178">
        <v>200000</v>
      </c>
    </row>
    <row r="3555" spans="1:8" ht="19.5" customHeight="1">
      <c r="A3555" s="86"/>
      <c r="B3555" s="86"/>
      <c r="C3555" s="86"/>
      <c r="D3555" s="331" t="s">
        <v>1059</v>
      </c>
      <c r="E3555" s="231"/>
      <c r="F3555" s="231"/>
      <c r="G3555" s="231"/>
      <c r="H3555" s="231">
        <v>250000</v>
      </c>
    </row>
    <row r="3556" spans="1:8" ht="18.75" customHeight="1">
      <c r="A3556" s="56"/>
      <c r="B3556" s="158"/>
      <c r="C3556" s="181">
        <v>6050</v>
      </c>
      <c r="D3556" s="189" t="s">
        <v>746</v>
      </c>
      <c r="E3556" s="228"/>
      <c r="F3556" s="228"/>
      <c r="G3556" s="228"/>
      <c r="H3556" s="228">
        <f>SUM(H3542:H3555)</f>
        <v>9900000</v>
      </c>
    </row>
    <row r="3557" spans="1:8" ht="18.75" customHeight="1">
      <c r="A3557" s="56"/>
      <c r="B3557" s="3">
        <v>60017</v>
      </c>
      <c r="C3557" s="3"/>
      <c r="D3557" s="3" t="s">
        <v>481</v>
      </c>
      <c r="E3557" s="4"/>
      <c r="F3557" s="4"/>
      <c r="G3557" s="4"/>
      <c r="H3557" s="4">
        <f>H3558</f>
        <v>410000</v>
      </c>
    </row>
    <row r="3558" spans="1:8" ht="18.75" customHeight="1">
      <c r="A3558" s="56"/>
      <c r="B3558" s="86"/>
      <c r="C3558" s="86"/>
      <c r="D3558" s="348" t="s">
        <v>1083</v>
      </c>
      <c r="E3558" s="17"/>
      <c r="F3558" s="17"/>
      <c r="G3558" s="17"/>
      <c r="H3558" s="17">
        <f>H3561</f>
        <v>410000</v>
      </c>
    </row>
    <row r="3559" spans="1:8" ht="18.75" customHeight="1">
      <c r="A3559" s="56"/>
      <c r="B3559" s="86"/>
      <c r="C3559" s="86"/>
      <c r="D3559" s="253" t="s">
        <v>1084</v>
      </c>
      <c r="E3559" s="11"/>
      <c r="F3559" s="11"/>
      <c r="G3559" s="11"/>
      <c r="H3559" s="11">
        <v>150000</v>
      </c>
    </row>
    <row r="3560" spans="1:8" ht="18.75" customHeight="1">
      <c r="A3560" s="86"/>
      <c r="B3560" s="277"/>
      <c r="C3560" s="170"/>
      <c r="D3560" s="323" t="s">
        <v>766</v>
      </c>
      <c r="E3560" s="233"/>
      <c r="F3560" s="233"/>
      <c r="G3560" s="233"/>
      <c r="H3560" s="233">
        <v>260000</v>
      </c>
    </row>
    <row r="3561" spans="1:8" ht="18.75" customHeight="1">
      <c r="A3561" s="56"/>
      <c r="B3561" s="86"/>
      <c r="C3561" s="18">
        <v>6050</v>
      </c>
      <c r="D3561" s="18" t="s">
        <v>746</v>
      </c>
      <c r="E3561" s="900"/>
      <c r="F3561" s="900"/>
      <c r="G3561" s="228"/>
      <c r="H3561" s="228">
        <f>H3559+H3560</f>
        <v>410000</v>
      </c>
    </row>
    <row r="3562" spans="1:8" ht="18.75" customHeight="1" thickBot="1">
      <c r="A3562" s="394">
        <v>700</v>
      </c>
      <c r="B3562" s="436"/>
      <c r="C3562" s="436"/>
      <c r="D3562" s="394" t="s">
        <v>433</v>
      </c>
      <c r="E3562" s="377"/>
      <c r="F3562" s="377"/>
      <c r="G3562" s="377"/>
      <c r="H3562" s="377">
        <f>H3563+H3566</f>
        <v>5005000</v>
      </c>
    </row>
    <row r="3563" spans="1:8" ht="18.75" customHeight="1">
      <c r="A3563" s="86"/>
      <c r="B3563" s="3">
        <v>70005</v>
      </c>
      <c r="C3563" s="3"/>
      <c r="D3563" s="3" t="s">
        <v>435</v>
      </c>
      <c r="E3563" s="167"/>
      <c r="F3563" s="167"/>
      <c r="G3563" s="167"/>
      <c r="H3563" s="167">
        <f>H3564</f>
        <v>5000</v>
      </c>
    </row>
    <row r="3564" spans="1:8" ht="25.5">
      <c r="A3564" s="86"/>
      <c r="B3564" s="86"/>
      <c r="C3564" s="86"/>
      <c r="D3564" s="16" t="s">
        <v>284</v>
      </c>
      <c r="E3564" s="169"/>
      <c r="F3564" s="169"/>
      <c r="G3564" s="169"/>
      <c r="H3564" s="169">
        <f>H3565</f>
        <v>5000</v>
      </c>
    </row>
    <row r="3565" spans="1:8" ht="18.75" customHeight="1">
      <c r="A3565" s="86"/>
      <c r="B3565" s="107"/>
      <c r="C3565" s="22">
        <v>4300</v>
      </c>
      <c r="D3565" s="20" t="s">
        <v>815</v>
      </c>
      <c r="E3565" s="6"/>
      <c r="F3565" s="6"/>
      <c r="G3565" s="6"/>
      <c r="H3565" s="6">
        <v>5000</v>
      </c>
    </row>
    <row r="3566" spans="1:8" ht="19.5" customHeight="1">
      <c r="A3566" s="56"/>
      <c r="B3566" s="3">
        <v>70095</v>
      </c>
      <c r="C3566" s="3"/>
      <c r="D3566" s="3" t="s">
        <v>100</v>
      </c>
      <c r="E3566" s="4"/>
      <c r="F3566" s="4"/>
      <c r="G3566" s="4"/>
      <c r="H3566" s="4">
        <f>H3567</f>
        <v>5000000</v>
      </c>
    </row>
    <row r="3567" spans="1:8" ht="19.5" customHeight="1">
      <c r="A3567" s="56"/>
      <c r="B3567" s="86"/>
      <c r="C3567" s="86"/>
      <c r="D3567" s="87" t="s">
        <v>451</v>
      </c>
      <c r="E3567" s="243"/>
      <c r="F3567" s="243"/>
      <c r="G3567" s="243"/>
      <c r="H3567" s="243">
        <f>H3569</f>
        <v>5000000</v>
      </c>
    </row>
    <row r="3568" spans="1:8" ht="19.5" customHeight="1">
      <c r="A3568" s="56"/>
      <c r="B3568" s="86"/>
      <c r="C3568" s="86"/>
      <c r="D3568" s="244" t="s">
        <v>36</v>
      </c>
      <c r="E3568" s="10"/>
      <c r="F3568" s="10"/>
      <c r="G3568" s="10"/>
      <c r="H3568" s="10">
        <v>5000000</v>
      </c>
    </row>
    <row r="3569" spans="1:8" ht="19.5" customHeight="1">
      <c r="A3569" s="158"/>
      <c r="B3569" s="107"/>
      <c r="C3569" s="22">
        <v>6050</v>
      </c>
      <c r="D3569" s="20" t="s">
        <v>746</v>
      </c>
      <c r="E3569" s="6"/>
      <c r="F3569" s="6"/>
      <c r="G3569" s="6"/>
      <c r="H3569" s="6">
        <f>H3568</f>
        <v>5000000</v>
      </c>
    </row>
    <row r="3570" spans="1:8" ht="19.5" customHeight="1" thickBot="1">
      <c r="A3570" s="394">
        <v>710</v>
      </c>
      <c r="B3570" s="394"/>
      <c r="C3570" s="394"/>
      <c r="D3570" s="394" t="s">
        <v>436</v>
      </c>
      <c r="E3570" s="377"/>
      <c r="F3570" s="377"/>
      <c r="G3570" s="377"/>
      <c r="H3570" s="377">
        <f>H3571</f>
        <v>1000000</v>
      </c>
    </row>
    <row r="3571" spans="1:8" ht="18.75" customHeight="1">
      <c r="A3571" s="86"/>
      <c r="B3571" s="3">
        <v>71035</v>
      </c>
      <c r="C3571" s="45"/>
      <c r="D3571" s="67" t="s">
        <v>191</v>
      </c>
      <c r="E3571" s="6"/>
      <c r="F3571" s="6"/>
      <c r="G3571" s="167"/>
      <c r="H3571" s="167">
        <f>H3572</f>
        <v>1000000</v>
      </c>
    </row>
    <row r="3572" spans="1:8" ht="18.75" customHeight="1">
      <c r="A3572" s="86"/>
      <c r="B3572" s="122"/>
      <c r="C3572" s="128"/>
      <c r="D3572" s="16" t="s">
        <v>700</v>
      </c>
      <c r="E3572" s="9"/>
      <c r="F3572" s="9"/>
      <c r="G3572" s="169"/>
      <c r="H3572" s="169">
        <f>H3574</f>
        <v>1000000</v>
      </c>
    </row>
    <row r="3573" spans="1:8" ht="18.75" customHeight="1">
      <c r="A3573" s="86"/>
      <c r="B3573" s="86"/>
      <c r="C3573" s="18"/>
      <c r="D3573" s="379" t="s">
        <v>170</v>
      </c>
      <c r="E3573" s="10"/>
      <c r="F3573" s="10"/>
      <c r="G3573" s="10"/>
      <c r="H3573" s="10">
        <v>1000000</v>
      </c>
    </row>
    <row r="3574" spans="1:8" ht="18.75" customHeight="1">
      <c r="A3574" s="107"/>
      <c r="B3574" s="107"/>
      <c r="C3574" s="22">
        <v>6050</v>
      </c>
      <c r="D3574" s="20" t="s">
        <v>746</v>
      </c>
      <c r="E3574" s="6"/>
      <c r="F3574" s="6"/>
      <c r="G3574" s="6"/>
      <c r="H3574" s="6">
        <f>H3573</f>
        <v>1000000</v>
      </c>
    </row>
    <row r="3575" spans="1:8" s="1" customFormat="1" ht="18.75" customHeight="1" thickBot="1">
      <c r="A3575" s="394">
        <v>801</v>
      </c>
      <c r="B3575" s="394"/>
      <c r="C3575" s="394"/>
      <c r="D3575" s="394" t="s">
        <v>448</v>
      </c>
      <c r="E3575" s="377"/>
      <c r="F3575" s="377"/>
      <c r="G3575" s="377"/>
      <c r="H3575" s="377">
        <f>H3576+H3582+H3590+H3594+H3586</f>
        <v>13550000</v>
      </c>
    </row>
    <row r="3576" spans="1:8" ht="18.75" customHeight="1">
      <c r="A3576" s="56"/>
      <c r="B3576" s="165">
        <v>80101</v>
      </c>
      <c r="C3576" s="165"/>
      <c r="D3576" s="165" t="s">
        <v>449</v>
      </c>
      <c r="E3576" s="167"/>
      <c r="F3576" s="167"/>
      <c r="G3576" s="167"/>
      <c r="H3576" s="167">
        <f>H3577</f>
        <v>10900000</v>
      </c>
    </row>
    <row r="3577" spans="1:8" ht="18.75" customHeight="1">
      <c r="A3577" s="56"/>
      <c r="B3577" s="56"/>
      <c r="C3577" s="56"/>
      <c r="D3577" s="16" t="s">
        <v>322</v>
      </c>
      <c r="E3577" s="169"/>
      <c r="F3577" s="169"/>
      <c r="G3577" s="169"/>
      <c r="H3577" s="169">
        <f>H3581</f>
        <v>10900000</v>
      </c>
    </row>
    <row r="3578" spans="1:8" ht="18.75" customHeight="1">
      <c r="A3578" s="56"/>
      <c r="B3578" s="56"/>
      <c r="C3578" s="170"/>
      <c r="D3578" s="340" t="s">
        <v>194</v>
      </c>
      <c r="E3578" s="296"/>
      <c r="F3578" s="250"/>
      <c r="G3578" s="249"/>
      <c r="H3578" s="249">
        <f>7400000+1000000</f>
        <v>8400000</v>
      </c>
    </row>
    <row r="3579" spans="1:8" ht="18.75" customHeight="1">
      <c r="A3579" s="56"/>
      <c r="B3579" s="56"/>
      <c r="C3579" s="170"/>
      <c r="D3579" s="368" t="s">
        <v>317</v>
      </c>
      <c r="E3579" s="367"/>
      <c r="F3579" s="367"/>
      <c r="G3579" s="367"/>
      <c r="H3579" s="367">
        <v>500000</v>
      </c>
    </row>
    <row r="3580" spans="1:8" ht="18.75" customHeight="1">
      <c r="A3580" s="56"/>
      <c r="B3580" s="56"/>
      <c r="C3580" s="170"/>
      <c r="D3580" s="340" t="s">
        <v>318</v>
      </c>
      <c r="E3580" s="296"/>
      <c r="F3580" s="296"/>
      <c r="G3580" s="296"/>
      <c r="H3580" s="296">
        <v>2000000</v>
      </c>
    </row>
    <row r="3581" spans="1:8" ht="18.75" customHeight="1">
      <c r="A3581" s="158"/>
      <c r="B3581" s="158"/>
      <c r="C3581" s="181">
        <v>6050</v>
      </c>
      <c r="D3581" s="181" t="s">
        <v>746</v>
      </c>
      <c r="E3581" s="297"/>
      <c r="F3581" s="297"/>
      <c r="G3581" s="234"/>
      <c r="H3581" s="234">
        <f>SUM(H3578:H3580)</f>
        <v>10900000</v>
      </c>
    </row>
    <row r="3582" spans="1:8" s="1" customFormat="1" ht="19.5" customHeight="1">
      <c r="A3582" s="5"/>
      <c r="B3582" s="104">
        <v>80104</v>
      </c>
      <c r="C3582" s="401"/>
      <c r="D3582" s="14" t="s">
        <v>725</v>
      </c>
      <c r="E3582" s="15"/>
      <c r="F3582" s="15"/>
      <c r="G3582" s="15"/>
      <c r="H3582" s="15">
        <f>H3583</f>
        <v>500000</v>
      </c>
    </row>
    <row r="3583" spans="1:8" s="1" customFormat="1" ht="18" customHeight="1">
      <c r="A3583" s="86"/>
      <c r="B3583" s="86"/>
      <c r="C3583" s="18"/>
      <c r="D3583" s="16" t="s">
        <v>323</v>
      </c>
      <c r="E3583" s="17"/>
      <c r="F3583" s="17"/>
      <c r="G3583" s="17"/>
      <c r="H3583" s="17">
        <f>H3585</f>
        <v>500000</v>
      </c>
    </row>
    <row r="3584" spans="1:8" s="1" customFormat="1" ht="18" customHeight="1">
      <c r="A3584" s="86"/>
      <c r="B3584" s="86"/>
      <c r="C3584" s="18"/>
      <c r="D3584" s="421" t="s">
        <v>320</v>
      </c>
      <c r="E3584" s="280"/>
      <c r="F3584" s="280"/>
      <c r="G3584" s="10"/>
      <c r="H3584" s="10">
        <v>500000</v>
      </c>
    </row>
    <row r="3585" spans="1:8" s="1" customFormat="1" ht="18" customHeight="1">
      <c r="A3585" s="86"/>
      <c r="B3585" s="107"/>
      <c r="C3585" s="22">
        <v>6050</v>
      </c>
      <c r="D3585" s="22" t="s">
        <v>746</v>
      </c>
      <c r="E3585" s="298"/>
      <c r="F3585" s="298"/>
      <c r="G3585" s="228"/>
      <c r="H3585" s="228">
        <f>SUM(H3584:H3584)</f>
        <v>500000</v>
      </c>
    </row>
    <row r="3586" spans="1:8" s="1" customFormat="1" ht="18.75" customHeight="1">
      <c r="A3586" s="2"/>
      <c r="B3586" s="3">
        <v>80110</v>
      </c>
      <c r="C3586" s="45"/>
      <c r="D3586" s="67" t="s">
        <v>450</v>
      </c>
      <c r="E3586" s="4"/>
      <c r="F3586" s="4"/>
      <c r="G3586" s="4"/>
      <c r="H3586" s="4">
        <f>H3587</f>
        <v>1000000</v>
      </c>
    </row>
    <row r="3587" spans="1:8" s="1" customFormat="1" ht="18" customHeight="1">
      <c r="A3587" s="86"/>
      <c r="B3587" s="86"/>
      <c r="C3587" s="86"/>
      <c r="D3587" s="16" t="s">
        <v>148</v>
      </c>
      <c r="E3587" s="17"/>
      <c r="F3587" s="17"/>
      <c r="G3587" s="17"/>
      <c r="H3587" s="17">
        <f>H3589</f>
        <v>1000000</v>
      </c>
    </row>
    <row r="3588" spans="1:8" s="1" customFormat="1" ht="25.5">
      <c r="A3588" s="86"/>
      <c r="B3588" s="86"/>
      <c r="C3588" s="18"/>
      <c r="D3588" s="331" t="s">
        <v>149</v>
      </c>
      <c r="E3588" s="11"/>
      <c r="F3588" s="231"/>
      <c r="G3588" s="10"/>
      <c r="H3588" s="10">
        <v>1000000</v>
      </c>
    </row>
    <row r="3589" spans="1:8" s="1" customFormat="1" ht="18" customHeight="1">
      <c r="A3589" s="86"/>
      <c r="B3589" s="107"/>
      <c r="C3589" s="22">
        <v>6050</v>
      </c>
      <c r="D3589" s="22" t="s">
        <v>746</v>
      </c>
      <c r="E3589" s="61"/>
      <c r="F3589" s="61"/>
      <c r="G3589" s="6"/>
      <c r="H3589" s="6">
        <f>H3588</f>
        <v>1000000</v>
      </c>
    </row>
    <row r="3590" spans="1:8" s="1" customFormat="1" ht="18.75" customHeight="1">
      <c r="A3590" s="2"/>
      <c r="B3590" s="3">
        <v>80120</v>
      </c>
      <c r="C3590" s="45"/>
      <c r="D3590" s="67" t="s">
        <v>814</v>
      </c>
      <c r="E3590" s="4"/>
      <c r="F3590" s="4"/>
      <c r="G3590" s="4"/>
      <c r="H3590" s="4">
        <f>H3591</f>
        <v>50000</v>
      </c>
    </row>
    <row r="3591" spans="1:8" s="1" customFormat="1" ht="18.75" customHeight="1">
      <c r="A3591" s="86"/>
      <c r="B3591" s="86"/>
      <c r="C3591" s="86"/>
      <c r="D3591" s="16" t="s">
        <v>324</v>
      </c>
      <c r="E3591" s="17"/>
      <c r="F3591" s="17"/>
      <c r="G3591" s="17"/>
      <c r="H3591" s="17">
        <f>H3593</f>
        <v>50000</v>
      </c>
    </row>
    <row r="3592" spans="1:8" s="1" customFormat="1" ht="25.5">
      <c r="A3592" s="86"/>
      <c r="B3592" s="86"/>
      <c r="C3592" s="18"/>
      <c r="D3592" s="331" t="s">
        <v>150</v>
      </c>
      <c r="E3592" s="11"/>
      <c r="F3592" s="231"/>
      <c r="G3592" s="10"/>
      <c r="H3592" s="10">
        <v>50000</v>
      </c>
    </row>
    <row r="3593" spans="1:8" s="1" customFormat="1" ht="18.75" customHeight="1">
      <c r="A3593" s="86"/>
      <c r="B3593" s="107"/>
      <c r="C3593" s="22">
        <v>6050</v>
      </c>
      <c r="D3593" s="22" t="s">
        <v>746</v>
      </c>
      <c r="E3593" s="61"/>
      <c r="F3593" s="61"/>
      <c r="G3593" s="6"/>
      <c r="H3593" s="6">
        <f>H3592</f>
        <v>50000</v>
      </c>
    </row>
    <row r="3594" spans="1:8" ht="18.75" customHeight="1">
      <c r="A3594" s="56"/>
      <c r="B3594" s="165">
        <v>80130</v>
      </c>
      <c r="C3594" s="165"/>
      <c r="D3594" s="165" t="s">
        <v>494</v>
      </c>
      <c r="E3594" s="183"/>
      <c r="F3594" s="183"/>
      <c r="G3594" s="183"/>
      <c r="H3594" s="183">
        <f>H3595</f>
        <v>1100000</v>
      </c>
    </row>
    <row r="3595" spans="1:8" ht="18" customHeight="1">
      <c r="A3595" s="56"/>
      <c r="B3595" s="56"/>
      <c r="C3595" s="56"/>
      <c r="D3595" s="186" t="s">
        <v>326</v>
      </c>
      <c r="E3595" s="169"/>
      <c r="F3595" s="169"/>
      <c r="G3595" s="169"/>
      <c r="H3595" s="169">
        <f>H3598</f>
        <v>1100000</v>
      </c>
    </row>
    <row r="3596" spans="1:8" s="1" customFormat="1" ht="18" customHeight="1">
      <c r="A3596" s="86"/>
      <c r="B3596" s="86"/>
      <c r="C3596" s="18"/>
      <c r="D3596" s="331" t="s">
        <v>546</v>
      </c>
      <c r="E3596" s="300"/>
      <c r="F3596" s="300"/>
      <c r="G3596" s="10"/>
      <c r="H3596" s="10">
        <v>100000</v>
      </c>
    </row>
    <row r="3597" spans="1:8" s="1" customFormat="1" ht="18" customHeight="1">
      <c r="A3597" s="86"/>
      <c r="B3597" s="86"/>
      <c r="C3597" s="18"/>
      <c r="D3597" s="331" t="s">
        <v>547</v>
      </c>
      <c r="E3597" s="231"/>
      <c r="F3597" s="231"/>
      <c r="G3597" s="231"/>
      <c r="H3597" s="231">
        <v>1000000</v>
      </c>
    </row>
    <row r="3598" spans="1:8" ht="18" customHeight="1">
      <c r="A3598" s="56"/>
      <c r="B3598" s="158"/>
      <c r="C3598" s="181">
        <v>6050</v>
      </c>
      <c r="D3598" s="181" t="s">
        <v>746</v>
      </c>
      <c r="E3598" s="297"/>
      <c r="F3598" s="297"/>
      <c r="G3598" s="234"/>
      <c r="H3598" s="234">
        <f>SUM(H3596:H3597)</f>
        <v>1100000</v>
      </c>
    </row>
    <row r="3599" spans="1:8" s="1" customFormat="1" ht="18.75" customHeight="1" thickBot="1">
      <c r="A3599" s="394">
        <v>852</v>
      </c>
      <c r="B3599" s="394"/>
      <c r="C3599" s="394"/>
      <c r="D3599" s="394" t="s">
        <v>129</v>
      </c>
      <c r="E3599" s="377"/>
      <c r="F3599" s="377"/>
      <c r="G3599" s="377"/>
      <c r="H3599" s="377">
        <f>H3600</f>
        <v>5000000</v>
      </c>
    </row>
    <row r="3600" spans="1:8" s="1" customFormat="1" ht="18.75" customHeight="1">
      <c r="A3600" s="2"/>
      <c r="B3600" s="3">
        <v>85202</v>
      </c>
      <c r="C3600" s="3"/>
      <c r="D3600" s="3" t="s">
        <v>125</v>
      </c>
      <c r="E3600" s="4"/>
      <c r="F3600" s="4"/>
      <c r="G3600" s="4"/>
      <c r="H3600" s="4">
        <f>H3601</f>
        <v>5000000</v>
      </c>
    </row>
    <row r="3601" spans="1:8" s="1" customFormat="1" ht="18" customHeight="1">
      <c r="A3601" s="86"/>
      <c r="B3601" s="2"/>
      <c r="C3601" s="50"/>
      <c r="D3601" s="16" t="s">
        <v>417</v>
      </c>
      <c r="E3601" s="66"/>
      <c r="F3601" s="66"/>
      <c r="G3601" s="66"/>
      <c r="H3601" s="66">
        <f>H3604</f>
        <v>5000000</v>
      </c>
    </row>
    <row r="3602" spans="1:8" s="1" customFormat="1" ht="18" customHeight="1">
      <c r="A3602" s="86"/>
      <c r="B3602" s="86"/>
      <c r="C3602" s="18"/>
      <c r="D3602" s="331" t="s">
        <v>418</v>
      </c>
      <c r="E3602" s="300"/>
      <c r="F3602" s="300"/>
      <c r="G3602" s="10"/>
      <c r="H3602" s="10">
        <v>2000000</v>
      </c>
    </row>
    <row r="3603" spans="1:8" s="1" customFormat="1" ht="18" customHeight="1">
      <c r="A3603" s="86"/>
      <c r="B3603" s="86"/>
      <c r="C3603" s="18"/>
      <c r="D3603" s="331" t="s">
        <v>962</v>
      </c>
      <c r="E3603" s="231"/>
      <c r="F3603" s="231"/>
      <c r="G3603" s="231"/>
      <c r="H3603" s="231">
        <v>3000000</v>
      </c>
    </row>
    <row r="3604" spans="1:8" s="1" customFormat="1" ht="18" customHeight="1">
      <c r="A3604" s="107"/>
      <c r="B3604" s="107"/>
      <c r="C3604" s="22">
        <v>6050</v>
      </c>
      <c r="D3604" s="22" t="s">
        <v>746</v>
      </c>
      <c r="E3604" s="61"/>
      <c r="F3604" s="61"/>
      <c r="G3604" s="6"/>
      <c r="H3604" s="6">
        <f>SUM(H3602:H3603)</f>
        <v>5000000</v>
      </c>
    </row>
    <row r="3605" spans="1:8" s="1" customFormat="1" ht="18.75" customHeight="1" thickBot="1">
      <c r="A3605" s="375">
        <v>900</v>
      </c>
      <c r="B3605" s="375"/>
      <c r="C3605" s="375"/>
      <c r="D3605" s="375" t="s">
        <v>1048</v>
      </c>
      <c r="E3605" s="378"/>
      <c r="F3605" s="378"/>
      <c r="G3605" s="378"/>
      <c r="H3605" s="378">
        <f>H3606+H3629+H3635+H3640+H3644</f>
        <v>37405159</v>
      </c>
    </row>
    <row r="3606" spans="1:8" ht="18.75" customHeight="1">
      <c r="A3606" s="56"/>
      <c r="B3606" s="165">
        <v>90001</v>
      </c>
      <c r="C3606" s="165"/>
      <c r="D3606" s="165" t="s">
        <v>1110</v>
      </c>
      <c r="E3606" s="167"/>
      <c r="F3606" s="167"/>
      <c r="G3606" s="167"/>
      <c r="H3606" s="167">
        <f>H3607</f>
        <v>13545000</v>
      </c>
    </row>
    <row r="3607" spans="1:8" ht="18.75" customHeight="1">
      <c r="A3607" s="56"/>
      <c r="B3607" s="301"/>
      <c r="C3607" s="56"/>
      <c r="D3607" s="195" t="s">
        <v>841</v>
      </c>
      <c r="E3607" s="169"/>
      <c r="F3607" s="169"/>
      <c r="G3607" s="169"/>
      <c r="H3607" s="169">
        <f>H3628</f>
        <v>13545000</v>
      </c>
    </row>
    <row r="3608" spans="1:8" ht="18.75" customHeight="1">
      <c r="A3608" s="56"/>
      <c r="B3608" s="301"/>
      <c r="C3608" s="56"/>
      <c r="D3608" s="437" t="s">
        <v>514</v>
      </c>
      <c r="E3608" s="369"/>
      <c r="F3608" s="369"/>
      <c r="G3608" s="369"/>
      <c r="H3608" s="369">
        <f>500000+650000</f>
        <v>1150000</v>
      </c>
    </row>
    <row r="3609" spans="1:8" ht="25.5">
      <c r="A3609" s="56"/>
      <c r="B3609" s="301"/>
      <c r="C3609" s="56"/>
      <c r="D3609" s="340" t="s">
        <v>252</v>
      </c>
      <c r="E3609" s="296"/>
      <c r="F3609" s="296"/>
      <c r="G3609" s="296"/>
      <c r="H3609" s="296">
        <v>1000000</v>
      </c>
    </row>
    <row r="3610" spans="1:8" ht="19.5" customHeight="1">
      <c r="A3610" s="158"/>
      <c r="B3610" s="302"/>
      <c r="C3610" s="158"/>
      <c r="D3610" s="1123" t="s">
        <v>253</v>
      </c>
      <c r="E3610" s="176"/>
      <c r="F3610" s="176"/>
      <c r="G3610" s="234"/>
      <c r="H3610" s="234">
        <v>1500000</v>
      </c>
    </row>
    <row r="3611" spans="1:8" ht="19.5" customHeight="1">
      <c r="A3611" s="193"/>
      <c r="B3611" s="322"/>
      <c r="C3611" s="193"/>
      <c r="D3611" s="1124" t="s">
        <v>254</v>
      </c>
      <c r="E3611" s="180"/>
      <c r="F3611" s="180"/>
      <c r="G3611" s="180"/>
      <c r="H3611" s="180">
        <v>600000</v>
      </c>
    </row>
    <row r="3612" spans="1:8" ht="19.5" customHeight="1">
      <c r="A3612" s="56"/>
      <c r="B3612" s="301"/>
      <c r="C3612" s="56"/>
      <c r="D3612" s="179" t="s">
        <v>255</v>
      </c>
      <c r="E3612" s="250"/>
      <c r="F3612" s="250"/>
      <c r="G3612" s="296"/>
      <c r="H3612" s="296">
        <v>600000</v>
      </c>
    </row>
    <row r="3613" spans="1:8" ht="17.25" customHeight="1">
      <c r="A3613" s="56"/>
      <c r="B3613" s="301"/>
      <c r="C3613" s="56"/>
      <c r="D3613" s="179" t="s">
        <v>230</v>
      </c>
      <c r="E3613" s="250"/>
      <c r="F3613" s="250"/>
      <c r="G3613" s="296"/>
      <c r="H3613" s="296">
        <v>4000000</v>
      </c>
    </row>
    <row r="3614" spans="1:8" ht="33" customHeight="1">
      <c r="A3614" s="56"/>
      <c r="B3614" s="301"/>
      <c r="C3614" s="56"/>
      <c r="D3614" s="179" t="s">
        <v>1150</v>
      </c>
      <c r="E3614" s="250"/>
      <c r="F3614" s="250"/>
      <c r="G3614" s="296"/>
      <c r="H3614" s="296">
        <v>1275000</v>
      </c>
    </row>
    <row r="3615" spans="1:8" ht="25.5">
      <c r="A3615" s="56"/>
      <c r="B3615" s="301"/>
      <c r="C3615" s="56"/>
      <c r="D3615" s="340" t="s">
        <v>988</v>
      </c>
      <c r="E3615" s="250"/>
      <c r="F3615" s="250"/>
      <c r="G3615" s="296"/>
      <c r="H3615" s="296">
        <v>400000</v>
      </c>
    </row>
    <row r="3616" spans="1:8" ht="25.5">
      <c r="A3616" s="56"/>
      <c r="B3616" s="301"/>
      <c r="C3616" s="56"/>
      <c r="D3616" s="179" t="s">
        <v>924</v>
      </c>
      <c r="E3616" s="250"/>
      <c r="F3616" s="250"/>
      <c r="G3616" s="296"/>
      <c r="H3616" s="296">
        <f>300000-100000</f>
        <v>200000</v>
      </c>
    </row>
    <row r="3617" spans="1:8" ht="17.25" customHeight="1">
      <c r="A3617" s="56"/>
      <c r="B3617" s="301"/>
      <c r="C3617" s="56"/>
      <c r="D3617" s="179" t="s">
        <v>1151</v>
      </c>
      <c r="E3617" s="250"/>
      <c r="F3617" s="250"/>
      <c r="G3617" s="296"/>
      <c r="H3617" s="296">
        <v>300000</v>
      </c>
    </row>
    <row r="3618" spans="1:8" ht="18.75" customHeight="1">
      <c r="A3618" s="56"/>
      <c r="B3618" s="301"/>
      <c r="C3618" s="56"/>
      <c r="D3618" s="179" t="s">
        <v>984</v>
      </c>
      <c r="E3618" s="250"/>
      <c r="F3618" s="250"/>
      <c r="G3618" s="296"/>
      <c r="H3618" s="296">
        <f>755000+100000</f>
        <v>855000</v>
      </c>
    </row>
    <row r="3619" spans="1:8" ht="18.75" customHeight="1">
      <c r="A3619" s="56"/>
      <c r="B3619" s="301"/>
      <c r="C3619" s="56"/>
      <c r="D3619" s="179" t="s">
        <v>1152</v>
      </c>
      <c r="E3619" s="250"/>
      <c r="F3619" s="250"/>
      <c r="G3619" s="296"/>
      <c r="H3619" s="296">
        <v>300000</v>
      </c>
    </row>
    <row r="3620" spans="1:8" ht="18.75" customHeight="1">
      <c r="A3620" s="56"/>
      <c r="B3620" s="301"/>
      <c r="C3620" s="56"/>
      <c r="D3620" s="340" t="s">
        <v>1153</v>
      </c>
      <c r="E3620" s="250"/>
      <c r="F3620" s="250"/>
      <c r="G3620" s="296"/>
      <c r="H3620" s="296">
        <v>50000</v>
      </c>
    </row>
    <row r="3621" spans="1:8" ht="18.75" customHeight="1">
      <c r="A3621" s="56"/>
      <c r="B3621" s="301"/>
      <c r="C3621" s="56"/>
      <c r="D3621" s="340" t="s">
        <v>1154</v>
      </c>
      <c r="E3621" s="250"/>
      <c r="F3621" s="250"/>
      <c r="G3621" s="296"/>
      <c r="H3621" s="296">
        <v>300000</v>
      </c>
    </row>
    <row r="3622" spans="1:8" ht="14.25">
      <c r="A3622" s="56"/>
      <c r="B3622" s="301"/>
      <c r="C3622" s="56"/>
      <c r="D3622" s="340" t="s">
        <v>1155</v>
      </c>
      <c r="E3622" s="250"/>
      <c r="F3622" s="250"/>
      <c r="G3622" s="296"/>
      <c r="H3622" s="296">
        <v>400000</v>
      </c>
    </row>
    <row r="3623" spans="1:8" ht="18.75" customHeight="1">
      <c r="A3623" s="56"/>
      <c r="B3623" s="301"/>
      <c r="C3623" s="56"/>
      <c r="D3623" s="340" t="s">
        <v>1156</v>
      </c>
      <c r="E3623" s="250"/>
      <c r="F3623" s="250"/>
      <c r="G3623" s="296"/>
      <c r="H3623" s="296">
        <v>300000</v>
      </c>
    </row>
    <row r="3624" spans="1:8" ht="18.75" customHeight="1">
      <c r="A3624" s="56"/>
      <c r="B3624" s="301"/>
      <c r="C3624" s="56"/>
      <c r="D3624" s="340" t="s">
        <v>1157</v>
      </c>
      <c r="E3624" s="233"/>
      <c r="F3624" s="233"/>
      <c r="G3624" s="296"/>
      <c r="H3624" s="296">
        <v>150000</v>
      </c>
    </row>
    <row r="3625" spans="1:8" s="1" customFormat="1" ht="28.5" customHeight="1">
      <c r="A3625" s="86"/>
      <c r="B3625" s="86"/>
      <c r="C3625" s="86"/>
      <c r="D3625" s="318" t="s">
        <v>764</v>
      </c>
      <c r="E3625" s="11"/>
      <c r="F3625" s="11"/>
      <c r="G3625" s="230"/>
      <c r="H3625" s="230">
        <v>65000</v>
      </c>
    </row>
    <row r="3626" spans="1:8" s="1" customFormat="1" ht="19.5" customHeight="1">
      <c r="A3626" s="86"/>
      <c r="B3626" s="86"/>
      <c r="C3626" s="86"/>
      <c r="D3626" s="331" t="s">
        <v>195</v>
      </c>
      <c r="E3626" s="11"/>
      <c r="F3626" s="11"/>
      <c r="G3626" s="11"/>
      <c r="H3626" s="11">
        <v>20000</v>
      </c>
    </row>
    <row r="3627" spans="1:8" s="1" customFormat="1" ht="19.5" customHeight="1">
      <c r="A3627" s="86"/>
      <c r="B3627" s="86"/>
      <c r="C3627" s="18"/>
      <c r="D3627" s="331" t="s">
        <v>526</v>
      </c>
      <c r="E3627" s="231"/>
      <c r="F3627" s="231"/>
      <c r="G3627" s="11"/>
      <c r="H3627" s="11">
        <v>80000</v>
      </c>
    </row>
    <row r="3628" spans="1:8" ht="18.75" customHeight="1">
      <c r="A3628" s="56"/>
      <c r="B3628" s="302"/>
      <c r="C3628" s="181">
        <v>6050</v>
      </c>
      <c r="D3628" s="181" t="s">
        <v>746</v>
      </c>
      <c r="E3628" s="176"/>
      <c r="F3628" s="176"/>
      <c r="G3628" s="176"/>
      <c r="H3628" s="176">
        <f>SUM(H3608:H3627)</f>
        <v>13545000</v>
      </c>
    </row>
    <row r="3629" spans="1:8" ht="18.75" customHeight="1">
      <c r="A3629" s="56"/>
      <c r="B3629" s="165">
        <v>90002</v>
      </c>
      <c r="C3629" s="165"/>
      <c r="D3629" s="165" t="s">
        <v>176</v>
      </c>
      <c r="E3629" s="167"/>
      <c r="F3629" s="167"/>
      <c r="G3629" s="167"/>
      <c r="H3629" s="167">
        <f>H3630</f>
        <v>364500</v>
      </c>
    </row>
    <row r="3630" spans="1:8" ht="18.75" customHeight="1">
      <c r="A3630" s="56"/>
      <c r="B3630" s="301"/>
      <c r="C3630" s="56"/>
      <c r="D3630" s="195" t="s">
        <v>841</v>
      </c>
      <c r="E3630" s="169"/>
      <c r="F3630" s="169"/>
      <c r="G3630" s="169"/>
      <c r="H3630" s="169">
        <f>H3634</f>
        <v>364500</v>
      </c>
    </row>
    <row r="3631" spans="1:8" ht="18.75" customHeight="1">
      <c r="A3631" s="56"/>
      <c r="B3631" s="301"/>
      <c r="C3631" s="56"/>
      <c r="D3631" s="339" t="s">
        <v>305</v>
      </c>
      <c r="E3631" s="296"/>
      <c r="F3631" s="296"/>
      <c r="G3631" s="296"/>
      <c r="H3631" s="296">
        <v>174500</v>
      </c>
    </row>
    <row r="3632" spans="1:8" ht="21" customHeight="1">
      <c r="A3632" s="56"/>
      <c r="B3632" s="301"/>
      <c r="C3632" s="56"/>
      <c r="D3632" s="340" t="s">
        <v>37</v>
      </c>
      <c r="E3632" s="296"/>
      <c r="F3632" s="296"/>
      <c r="G3632" s="296"/>
      <c r="H3632" s="296">
        <v>100000</v>
      </c>
    </row>
    <row r="3633" spans="1:8" ht="19.5" customHeight="1">
      <c r="A3633" s="56"/>
      <c r="B3633" s="301"/>
      <c r="C3633" s="56"/>
      <c r="D3633" s="340" t="s">
        <v>306</v>
      </c>
      <c r="E3633" s="296"/>
      <c r="F3633" s="296"/>
      <c r="G3633" s="296"/>
      <c r="H3633" s="296">
        <v>90000</v>
      </c>
    </row>
    <row r="3634" spans="1:8" ht="18.75" customHeight="1">
      <c r="A3634" s="56"/>
      <c r="B3634" s="302"/>
      <c r="C3634" s="181">
        <v>6050</v>
      </c>
      <c r="D3634" s="269" t="s">
        <v>746</v>
      </c>
      <c r="E3634" s="176"/>
      <c r="F3634" s="176"/>
      <c r="G3634" s="176"/>
      <c r="H3634" s="176">
        <f>SUM(H3631:H3633)</f>
        <v>364500</v>
      </c>
    </row>
    <row r="3635" spans="1:8" s="1" customFormat="1" ht="19.5" customHeight="1">
      <c r="A3635" s="2"/>
      <c r="B3635" s="3">
        <v>90004</v>
      </c>
      <c r="C3635" s="45"/>
      <c r="D3635" s="67" t="s">
        <v>1000</v>
      </c>
      <c r="E3635" s="4"/>
      <c r="F3635" s="4"/>
      <c r="G3635" s="4"/>
      <c r="H3635" s="4">
        <f>H3636</f>
        <v>1750000</v>
      </c>
    </row>
    <row r="3636" spans="1:8" s="1" customFormat="1" ht="18.75" customHeight="1">
      <c r="A3636" s="86"/>
      <c r="B3636" s="86"/>
      <c r="C3636" s="86"/>
      <c r="D3636" s="87" t="s">
        <v>841</v>
      </c>
      <c r="E3636" s="17"/>
      <c r="F3636" s="17"/>
      <c r="G3636" s="17"/>
      <c r="H3636" s="17">
        <f>H3639</f>
        <v>1750000</v>
      </c>
    </row>
    <row r="3637" spans="1:8" s="1" customFormat="1" ht="18.75" customHeight="1">
      <c r="A3637" s="107"/>
      <c r="B3637" s="107"/>
      <c r="C3637" s="107"/>
      <c r="D3637" s="1125" t="s">
        <v>1158</v>
      </c>
      <c r="E3637" s="228"/>
      <c r="F3637" s="228"/>
      <c r="G3637" s="228"/>
      <c r="H3637" s="228">
        <v>750000</v>
      </c>
    </row>
    <row r="3638" spans="1:8" s="1" customFormat="1" ht="19.5" customHeight="1">
      <c r="A3638" s="122"/>
      <c r="B3638" s="122"/>
      <c r="C3638" s="128"/>
      <c r="D3638" s="1126" t="s">
        <v>197</v>
      </c>
      <c r="E3638" s="178"/>
      <c r="F3638" s="178"/>
      <c r="G3638" s="178"/>
      <c r="H3638" s="178">
        <v>1000000</v>
      </c>
    </row>
    <row r="3639" spans="1:8" s="1" customFormat="1" ht="18.75" customHeight="1">
      <c r="A3639" s="86"/>
      <c r="B3639" s="107"/>
      <c r="C3639" s="22">
        <v>6050</v>
      </c>
      <c r="D3639" s="227" t="s">
        <v>746</v>
      </c>
      <c r="E3639" s="228"/>
      <c r="F3639" s="228"/>
      <c r="G3639" s="228"/>
      <c r="H3639" s="228">
        <f>H3637+H3638</f>
        <v>1750000</v>
      </c>
    </row>
    <row r="3640" spans="1:8" ht="19.5" customHeight="1">
      <c r="A3640" s="55"/>
      <c r="B3640" s="165">
        <v>90015</v>
      </c>
      <c r="C3640" s="165"/>
      <c r="D3640" s="185" t="s">
        <v>1002</v>
      </c>
      <c r="E3640" s="167"/>
      <c r="F3640" s="167"/>
      <c r="G3640" s="167"/>
      <c r="H3640" s="167">
        <f>H3641</f>
        <v>1040000</v>
      </c>
    </row>
    <row r="3641" spans="1:8" ht="18.75" customHeight="1">
      <c r="A3641" s="56"/>
      <c r="B3641" s="56"/>
      <c r="C3641" s="56"/>
      <c r="D3641" s="195" t="s">
        <v>1159</v>
      </c>
      <c r="E3641" s="169"/>
      <c r="F3641" s="169"/>
      <c r="G3641" s="169"/>
      <c r="H3641" s="169">
        <f>H3643</f>
        <v>1040000</v>
      </c>
    </row>
    <row r="3642" spans="1:8" s="174" customFormat="1" ht="18.75" customHeight="1">
      <c r="A3642" s="170"/>
      <c r="B3642" s="170"/>
      <c r="C3642" s="170"/>
      <c r="D3642" s="438" t="s">
        <v>35</v>
      </c>
      <c r="E3642" s="296"/>
      <c r="F3642" s="296"/>
      <c r="G3642" s="296"/>
      <c r="H3642" s="296">
        <f>490000+550000</f>
        <v>1040000</v>
      </c>
    </row>
    <row r="3643" spans="1:8" s="174" customFormat="1" ht="18.75" customHeight="1">
      <c r="A3643" s="170"/>
      <c r="B3643" s="181"/>
      <c r="C3643" s="181">
        <v>6050</v>
      </c>
      <c r="D3643" s="189" t="s">
        <v>746</v>
      </c>
      <c r="E3643" s="234"/>
      <c r="F3643" s="234"/>
      <c r="G3643" s="234"/>
      <c r="H3643" s="234">
        <f>H3642</f>
        <v>1040000</v>
      </c>
    </row>
    <row r="3644" spans="1:8" ht="19.5" customHeight="1">
      <c r="A3644" s="56"/>
      <c r="B3644" s="165">
        <v>90095</v>
      </c>
      <c r="C3644" s="158"/>
      <c r="D3644" s="165" t="s">
        <v>100</v>
      </c>
      <c r="E3644" s="167"/>
      <c r="F3644" s="167"/>
      <c r="G3644" s="167"/>
      <c r="H3644" s="167">
        <f>H3645</f>
        <v>20705659</v>
      </c>
    </row>
    <row r="3645" spans="1:8" ht="19.5" customHeight="1">
      <c r="A3645" s="56"/>
      <c r="B3645" s="56"/>
      <c r="C3645" s="56"/>
      <c r="D3645" s="195" t="s">
        <v>841</v>
      </c>
      <c r="E3645" s="169"/>
      <c r="F3645" s="169"/>
      <c r="G3645" s="169"/>
      <c r="H3645" s="169">
        <f>H3652+H3654</f>
        <v>20705659</v>
      </c>
    </row>
    <row r="3646" spans="1:8" ht="18.75" customHeight="1">
      <c r="A3646" s="56"/>
      <c r="B3646" s="56"/>
      <c r="C3646" s="170"/>
      <c r="D3646" s="340" t="s">
        <v>548</v>
      </c>
      <c r="E3646" s="296"/>
      <c r="F3646" s="296"/>
      <c r="G3646" s="296"/>
      <c r="H3646" s="296">
        <v>8393159</v>
      </c>
    </row>
    <row r="3647" spans="1:8" ht="18.75" customHeight="1">
      <c r="A3647" s="56"/>
      <c r="B3647" s="56"/>
      <c r="C3647" s="170"/>
      <c r="D3647" s="340" t="s">
        <v>102</v>
      </c>
      <c r="E3647" s="296"/>
      <c r="F3647" s="296"/>
      <c r="G3647" s="296"/>
      <c r="H3647" s="296">
        <v>5000000</v>
      </c>
    </row>
    <row r="3648" spans="1:8" ht="18.75" customHeight="1">
      <c r="A3648" s="56"/>
      <c r="B3648" s="56"/>
      <c r="C3648" s="170"/>
      <c r="D3648" s="340" t="s">
        <v>92</v>
      </c>
      <c r="E3648" s="296"/>
      <c r="F3648" s="296"/>
      <c r="G3648" s="296"/>
      <c r="H3648" s="296">
        <v>1200000</v>
      </c>
    </row>
    <row r="3649" spans="1:8" ht="18.75" customHeight="1">
      <c r="A3649" s="56"/>
      <c r="B3649" s="56"/>
      <c r="C3649" s="170"/>
      <c r="D3649" s="340" t="s">
        <v>1160</v>
      </c>
      <c r="E3649" s="296"/>
      <c r="F3649" s="296"/>
      <c r="G3649" s="296"/>
      <c r="H3649" s="296">
        <v>100000</v>
      </c>
    </row>
    <row r="3650" spans="1:8" ht="25.5">
      <c r="A3650" s="56"/>
      <c r="B3650" s="56"/>
      <c r="C3650" s="170"/>
      <c r="D3650" s="340" t="s">
        <v>121</v>
      </c>
      <c r="E3650" s="296"/>
      <c r="F3650" s="296"/>
      <c r="G3650" s="296"/>
      <c r="H3650" s="296">
        <v>1250000</v>
      </c>
    </row>
    <row r="3651" spans="1:8" ht="18.75" customHeight="1">
      <c r="A3651" s="56"/>
      <c r="B3651" s="56"/>
      <c r="C3651" s="170"/>
      <c r="D3651" s="296" t="s">
        <v>1123</v>
      </c>
      <c r="E3651" s="296"/>
      <c r="F3651" s="296"/>
      <c r="G3651" s="296"/>
      <c r="H3651" s="296">
        <v>2220000</v>
      </c>
    </row>
    <row r="3652" spans="1:8" ht="18.75" customHeight="1">
      <c r="A3652" s="56"/>
      <c r="B3652" s="56"/>
      <c r="C3652" s="181">
        <v>6050</v>
      </c>
      <c r="D3652" s="189" t="s">
        <v>746</v>
      </c>
      <c r="E3652" s="234"/>
      <c r="F3652" s="234"/>
      <c r="G3652" s="234"/>
      <c r="H3652" s="234">
        <f>SUM(H3646:H3651)</f>
        <v>18163159</v>
      </c>
    </row>
    <row r="3653" spans="1:8" ht="18.75" customHeight="1">
      <c r="A3653" s="56"/>
      <c r="B3653" s="56"/>
      <c r="C3653" s="170"/>
      <c r="D3653" s="340" t="s">
        <v>96</v>
      </c>
      <c r="E3653" s="296"/>
      <c r="F3653" s="296"/>
      <c r="G3653" s="296"/>
      <c r="H3653" s="296">
        <v>2542500</v>
      </c>
    </row>
    <row r="3654" spans="1:8" ht="38.25">
      <c r="A3654" s="158"/>
      <c r="B3654" s="158"/>
      <c r="C3654" s="181">
        <v>6300</v>
      </c>
      <c r="D3654" s="189" t="s">
        <v>780</v>
      </c>
      <c r="E3654" s="234"/>
      <c r="F3654" s="234"/>
      <c r="G3654" s="234"/>
      <c r="H3654" s="234">
        <f>H3653</f>
        <v>2542500</v>
      </c>
    </row>
    <row r="3655" spans="1:8" s="1" customFormat="1" ht="18.75" customHeight="1" thickBot="1">
      <c r="A3655" s="394">
        <v>921</v>
      </c>
      <c r="B3655" s="394"/>
      <c r="C3655" s="394"/>
      <c r="D3655" s="394" t="s">
        <v>401</v>
      </c>
      <c r="E3655" s="377"/>
      <c r="F3655" s="377"/>
      <c r="G3655" s="377"/>
      <c r="H3655" s="377">
        <f>H3656+H3660</f>
        <v>3125000</v>
      </c>
    </row>
    <row r="3656" spans="1:8" ht="19.5" customHeight="1">
      <c r="A3656" s="56"/>
      <c r="B3656" s="165">
        <v>92113</v>
      </c>
      <c r="C3656" s="165"/>
      <c r="D3656" s="165" t="s">
        <v>398</v>
      </c>
      <c r="E3656" s="167"/>
      <c r="F3656" s="167"/>
      <c r="G3656" s="167"/>
      <c r="H3656" s="167">
        <f>H3657</f>
        <v>300000</v>
      </c>
    </row>
    <row r="3657" spans="1:8" ht="19.5" customHeight="1">
      <c r="A3657" s="56"/>
      <c r="B3657" s="56"/>
      <c r="C3657" s="170"/>
      <c r="D3657" s="439" t="s">
        <v>451</v>
      </c>
      <c r="E3657" s="169"/>
      <c r="F3657" s="169"/>
      <c r="G3657" s="169"/>
      <c r="H3657" s="169">
        <f>H3659</f>
        <v>300000</v>
      </c>
    </row>
    <row r="3658" spans="1:8" ht="19.5" customHeight="1">
      <c r="A3658" s="56"/>
      <c r="B3658" s="56"/>
      <c r="C3658" s="170"/>
      <c r="D3658" s="339" t="s">
        <v>763</v>
      </c>
      <c r="E3658" s="249"/>
      <c r="F3658" s="249"/>
      <c r="G3658" s="249"/>
      <c r="H3658" s="249">
        <v>300000</v>
      </c>
    </row>
    <row r="3659" spans="1:8" ht="19.5" customHeight="1">
      <c r="A3659" s="56"/>
      <c r="B3659" s="158"/>
      <c r="C3659" s="181">
        <v>6050</v>
      </c>
      <c r="D3659" s="189" t="s">
        <v>746</v>
      </c>
      <c r="E3659" s="176"/>
      <c r="F3659" s="176"/>
      <c r="G3659" s="176"/>
      <c r="H3659" s="176">
        <f>H3658</f>
        <v>300000</v>
      </c>
    </row>
    <row r="3660" spans="1:8" ht="19.5" customHeight="1">
      <c r="A3660" s="56"/>
      <c r="B3660" s="303">
        <v>92120</v>
      </c>
      <c r="C3660" s="165"/>
      <c r="D3660" s="304" t="s">
        <v>97</v>
      </c>
      <c r="E3660" s="167"/>
      <c r="F3660" s="167"/>
      <c r="G3660" s="167"/>
      <c r="H3660" s="167">
        <f>H3661+H3671+H3674</f>
        <v>2825000</v>
      </c>
    </row>
    <row r="3661" spans="1:8" ht="25.5">
      <c r="A3661" s="56"/>
      <c r="B3661" s="193"/>
      <c r="C3661" s="254"/>
      <c r="D3661" s="186" t="s">
        <v>231</v>
      </c>
      <c r="E3661" s="169"/>
      <c r="F3661" s="169"/>
      <c r="G3661" s="169"/>
      <c r="H3661" s="169">
        <f>H3670</f>
        <v>1650000</v>
      </c>
    </row>
    <row r="3662" spans="1:8" s="8" customFormat="1" ht="18" customHeight="1">
      <c r="A3662" s="962"/>
      <c r="B3662" s="962"/>
      <c r="C3662" s="963"/>
      <c r="D3662" s="458" t="s">
        <v>793</v>
      </c>
      <c r="E3662" s="967"/>
      <c r="F3662" s="967"/>
      <c r="G3662" s="967"/>
      <c r="H3662" s="968">
        <v>468000</v>
      </c>
    </row>
    <row r="3663" spans="1:8" s="8" customFormat="1" ht="18.75" customHeight="1">
      <c r="A3663" s="962"/>
      <c r="B3663" s="962"/>
      <c r="C3663" s="963"/>
      <c r="D3663" s="242" t="s">
        <v>794</v>
      </c>
      <c r="E3663" s="964"/>
      <c r="F3663" s="964"/>
      <c r="G3663" s="964"/>
      <c r="H3663" s="965">
        <v>55000</v>
      </c>
    </row>
    <row r="3664" spans="1:8" s="8" customFormat="1" ht="18.75" customHeight="1">
      <c r="A3664" s="1127"/>
      <c r="B3664" s="1127"/>
      <c r="C3664" s="961"/>
      <c r="D3664" s="1128" t="s">
        <v>795</v>
      </c>
      <c r="E3664" s="1129"/>
      <c r="F3664" s="1129"/>
      <c r="G3664" s="1129"/>
      <c r="H3664" s="1130">
        <v>18000</v>
      </c>
    </row>
    <row r="3665" spans="1:8" s="8" customFormat="1" ht="18.75" customHeight="1">
      <c r="A3665" s="1131"/>
      <c r="B3665" s="1131"/>
      <c r="C3665" s="1132"/>
      <c r="D3665" s="251" t="s">
        <v>796</v>
      </c>
      <c r="E3665" s="1133"/>
      <c r="F3665" s="1133"/>
      <c r="G3665" s="1133"/>
      <c r="H3665" s="1134">
        <v>45000</v>
      </c>
    </row>
    <row r="3666" spans="1:8" s="8" customFormat="1" ht="18.75" customHeight="1">
      <c r="A3666" s="962"/>
      <c r="B3666" s="962"/>
      <c r="C3666" s="963"/>
      <c r="D3666" s="242" t="s">
        <v>797</v>
      </c>
      <c r="E3666" s="964"/>
      <c r="F3666" s="964"/>
      <c r="G3666" s="964"/>
      <c r="H3666" s="965">
        <v>75000</v>
      </c>
    </row>
    <row r="3667" spans="1:8" s="8" customFormat="1" ht="18.75" customHeight="1">
      <c r="A3667" s="962"/>
      <c r="B3667" s="962"/>
      <c r="C3667" s="963"/>
      <c r="D3667" s="242" t="s">
        <v>798</v>
      </c>
      <c r="E3667" s="964"/>
      <c r="F3667" s="964"/>
      <c r="G3667" s="964"/>
      <c r="H3667" s="965">
        <v>50000</v>
      </c>
    </row>
    <row r="3668" spans="1:8" s="8" customFormat="1" ht="18.75" customHeight="1">
      <c r="A3668" s="962"/>
      <c r="B3668" s="962"/>
      <c r="C3668" s="963"/>
      <c r="D3668" s="242" t="s">
        <v>799</v>
      </c>
      <c r="E3668" s="964"/>
      <c r="F3668" s="964"/>
      <c r="G3668" s="964"/>
      <c r="H3668" s="965">
        <v>140000</v>
      </c>
    </row>
    <row r="3669" spans="1:8" s="8" customFormat="1" ht="18.75" customHeight="1">
      <c r="A3669" s="962"/>
      <c r="B3669" s="962"/>
      <c r="C3669" s="963"/>
      <c r="D3669" s="966" t="s">
        <v>1071</v>
      </c>
      <c r="E3669" s="964"/>
      <c r="F3669" s="964"/>
      <c r="G3669" s="964"/>
      <c r="H3669" s="964">
        <v>799000</v>
      </c>
    </row>
    <row r="3670" spans="1:8" ht="38.25">
      <c r="A3670" s="170"/>
      <c r="B3670" s="170"/>
      <c r="C3670" s="181">
        <v>2720</v>
      </c>
      <c r="D3670" s="455" t="s">
        <v>428</v>
      </c>
      <c r="E3670" s="176"/>
      <c r="F3670" s="176"/>
      <c r="G3670" s="176"/>
      <c r="H3670" s="176">
        <f>SUM(H3662:H3669)</f>
        <v>1650000</v>
      </c>
    </row>
    <row r="3671" spans="1:8" ht="19.5" customHeight="1">
      <c r="A3671" s="56"/>
      <c r="B3671" s="56"/>
      <c r="C3671" s="170"/>
      <c r="D3671" s="196" t="s">
        <v>47</v>
      </c>
      <c r="E3671" s="233"/>
      <c r="F3671" s="233"/>
      <c r="G3671" s="282"/>
      <c r="H3671" s="282">
        <f>H3673</f>
        <v>455000</v>
      </c>
    </row>
    <row r="3672" spans="1:8" ht="19.5" customHeight="1">
      <c r="A3672" s="170"/>
      <c r="B3672" s="170"/>
      <c r="C3672" s="170"/>
      <c r="D3672" s="305" t="s">
        <v>137</v>
      </c>
      <c r="E3672" s="249"/>
      <c r="F3672" s="249"/>
      <c r="G3672" s="249"/>
      <c r="H3672" s="249">
        <v>455000</v>
      </c>
    </row>
    <row r="3673" spans="1:8" ht="19.5" customHeight="1">
      <c r="A3673" s="56"/>
      <c r="B3673" s="56"/>
      <c r="C3673" s="181">
        <v>4270</v>
      </c>
      <c r="D3673" s="189" t="s">
        <v>753</v>
      </c>
      <c r="E3673" s="158"/>
      <c r="F3673" s="158"/>
      <c r="G3673" s="176"/>
      <c r="H3673" s="176">
        <f>H3672</f>
        <v>455000</v>
      </c>
    </row>
    <row r="3674" spans="1:8" ht="18.75" customHeight="1">
      <c r="A3674" s="56"/>
      <c r="B3674" s="56"/>
      <c r="C3674" s="254"/>
      <c r="D3674" s="186" t="s">
        <v>451</v>
      </c>
      <c r="E3674" s="361"/>
      <c r="F3674" s="361"/>
      <c r="G3674" s="270"/>
      <c r="H3674" s="270">
        <f>H3677</f>
        <v>720000</v>
      </c>
    </row>
    <row r="3675" spans="1:8" s="8" customFormat="1" ht="18.75" customHeight="1">
      <c r="A3675" s="962"/>
      <c r="B3675" s="962"/>
      <c r="C3675" s="963"/>
      <c r="D3675" s="967" t="s">
        <v>800</v>
      </c>
      <c r="E3675" s="969"/>
      <c r="F3675" s="969"/>
      <c r="G3675" s="969"/>
      <c r="H3675" s="969">
        <v>700000</v>
      </c>
    </row>
    <row r="3676" spans="1:8" ht="18.75" customHeight="1">
      <c r="A3676" s="170"/>
      <c r="B3676" s="170"/>
      <c r="C3676" s="170"/>
      <c r="D3676" s="971" t="s">
        <v>138</v>
      </c>
      <c r="E3676" s="296"/>
      <c r="F3676" s="296"/>
      <c r="G3676" s="296"/>
      <c r="H3676" s="296">
        <v>20000</v>
      </c>
    </row>
    <row r="3677" spans="1:8" ht="18.75" customHeight="1">
      <c r="A3677" s="170"/>
      <c r="B3677" s="170"/>
      <c r="C3677" s="181">
        <v>6050</v>
      </c>
      <c r="D3677" s="189" t="s">
        <v>746</v>
      </c>
      <c r="E3677" s="158"/>
      <c r="F3677" s="158"/>
      <c r="G3677" s="176"/>
      <c r="H3677" s="176">
        <f>H3676+H3675</f>
        <v>720000</v>
      </c>
    </row>
    <row r="3678" spans="1:8" s="1" customFormat="1" ht="20.25" customHeight="1" thickBot="1">
      <c r="A3678" s="394">
        <v>926</v>
      </c>
      <c r="B3678" s="394"/>
      <c r="C3678" s="440"/>
      <c r="D3678" s="377" t="s">
        <v>1045</v>
      </c>
      <c r="E3678" s="377"/>
      <c r="F3678" s="377"/>
      <c r="G3678" s="377"/>
      <c r="H3678" s="377">
        <f>H3695+H3683+H3679</f>
        <v>10350000</v>
      </c>
    </row>
    <row r="3679" spans="1:8" ht="19.5" customHeight="1">
      <c r="A3679" s="56"/>
      <c r="B3679" s="165">
        <v>92601</v>
      </c>
      <c r="C3679" s="165"/>
      <c r="D3679" s="165" t="s">
        <v>1046</v>
      </c>
      <c r="E3679" s="167"/>
      <c r="F3679" s="167"/>
      <c r="G3679" s="167"/>
      <c r="H3679" s="167">
        <f>H3680</f>
        <v>200000</v>
      </c>
    </row>
    <row r="3680" spans="1:8" ht="18.75" customHeight="1">
      <c r="A3680" s="56"/>
      <c r="B3680" s="56"/>
      <c r="C3680" s="170"/>
      <c r="D3680" s="196" t="s">
        <v>451</v>
      </c>
      <c r="E3680" s="233"/>
      <c r="F3680" s="233"/>
      <c r="G3680" s="282"/>
      <c r="H3680" s="282">
        <f>H3682</f>
        <v>200000</v>
      </c>
    </row>
    <row r="3681" spans="1:8" ht="18.75" customHeight="1">
      <c r="A3681" s="170"/>
      <c r="B3681" s="170"/>
      <c r="C3681" s="170"/>
      <c r="D3681" s="305" t="s">
        <v>765</v>
      </c>
      <c r="E3681" s="249"/>
      <c r="F3681" s="249"/>
      <c r="G3681" s="249"/>
      <c r="H3681" s="249">
        <f>2000000-1800000</f>
        <v>200000</v>
      </c>
    </row>
    <row r="3682" spans="1:8" ht="18.75" customHeight="1">
      <c r="A3682" s="170"/>
      <c r="B3682" s="181"/>
      <c r="C3682" s="181">
        <v>6050</v>
      </c>
      <c r="D3682" s="189" t="s">
        <v>746</v>
      </c>
      <c r="E3682" s="158"/>
      <c r="F3682" s="158"/>
      <c r="G3682" s="176"/>
      <c r="H3682" s="176">
        <f>H3681</f>
        <v>200000</v>
      </c>
    </row>
    <row r="3683" spans="1:8" ht="19.5" customHeight="1">
      <c r="A3683" s="56"/>
      <c r="B3683" s="307">
        <v>92604</v>
      </c>
      <c r="C3683" s="158"/>
      <c r="D3683" s="165" t="s">
        <v>1047</v>
      </c>
      <c r="E3683" s="167"/>
      <c r="F3683" s="167"/>
      <c r="G3683" s="167"/>
      <c r="H3683" s="167">
        <f>H3684</f>
        <v>9250000</v>
      </c>
    </row>
    <row r="3684" spans="1:8" ht="19.5" customHeight="1">
      <c r="A3684" s="56"/>
      <c r="B3684" s="308"/>
      <c r="C3684" s="56"/>
      <c r="D3684" s="195" t="s">
        <v>522</v>
      </c>
      <c r="E3684" s="309"/>
      <c r="F3684" s="309"/>
      <c r="G3684" s="169"/>
      <c r="H3684" s="169">
        <f>H3694</f>
        <v>9250000</v>
      </c>
    </row>
    <row r="3685" spans="1:8" ht="19.5" customHeight="1">
      <c r="A3685" s="56"/>
      <c r="B3685" s="170"/>
      <c r="C3685" s="170"/>
      <c r="D3685" s="323" t="s">
        <v>143</v>
      </c>
      <c r="E3685" s="441"/>
      <c r="F3685" s="441"/>
      <c r="G3685" s="441"/>
      <c r="H3685" s="441">
        <v>500000</v>
      </c>
    </row>
    <row r="3686" spans="1:8" ht="15.75" customHeight="1">
      <c r="A3686" s="56"/>
      <c r="B3686" s="170"/>
      <c r="C3686" s="170"/>
      <c r="D3686" s="340" t="s">
        <v>144</v>
      </c>
      <c r="E3686" s="442"/>
      <c r="F3686" s="442"/>
      <c r="G3686" s="442"/>
      <c r="H3686" s="442">
        <v>1500000</v>
      </c>
    </row>
    <row r="3687" spans="1:8" ht="20.25" customHeight="1">
      <c r="A3687" s="56"/>
      <c r="B3687" s="170"/>
      <c r="C3687" s="170"/>
      <c r="D3687" s="332" t="s">
        <v>145</v>
      </c>
      <c r="E3687" s="442"/>
      <c r="F3687" s="442"/>
      <c r="G3687" s="442"/>
      <c r="H3687" s="442">
        <f>2000000+380000</f>
        <v>2380000</v>
      </c>
    </row>
    <row r="3688" spans="1:8" ht="19.5" customHeight="1">
      <c r="A3688" s="56"/>
      <c r="B3688" s="170"/>
      <c r="C3688" s="170"/>
      <c r="D3688" s="332" t="s">
        <v>146</v>
      </c>
      <c r="E3688" s="442"/>
      <c r="F3688" s="442"/>
      <c r="G3688" s="442"/>
      <c r="H3688" s="442">
        <f>1670000-1380000</f>
        <v>290000</v>
      </c>
    </row>
    <row r="3689" spans="1:8" ht="19.5" customHeight="1">
      <c r="A3689" s="56"/>
      <c r="B3689" s="170"/>
      <c r="C3689" s="170"/>
      <c r="D3689" s="332" t="s">
        <v>139</v>
      </c>
      <c r="E3689" s="442"/>
      <c r="F3689" s="442"/>
      <c r="G3689" s="442"/>
      <c r="H3689" s="442">
        <v>200000</v>
      </c>
    </row>
    <row r="3690" spans="1:8" ht="19.5" customHeight="1">
      <c r="A3690" s="56"/>
      <c r="B3690" s="170"/>
      <c r="C3690" s="170"/>
      <c r="D3690" s="332" t="s">
        <v>140</v>
      </c>
      <c r="E3690" s="442"/>
      <c r="F3690" s="442"/>
      <c r="G3690" s="442"/>
      <c r="H3690" s="442">
        <v>1500000</v>
      </c>
    </row>
    <row r="3691" spans="1:8" ht="19.5" customHeight="1">
      <c r="A3691" s="56"/>
      <c r="B3691" s="170"/>
      <c r="C3691" s="170"/>
      <c r="D3691" s="332" t="s">
        <v>141</v>
      </c>
      <c r="E3691" s="442"/>
      <c r="F3691" s="442"/>
      <c r="G3691" s="442"/>
      <c r="H3691" s="442">
        <f>500000+450000</f>
        <v>950000</v>
      </c>
    </row>
    <row r="3692" spans="1:8" ht="17.25" customHeight="1">
      <c r="A3692" s="158"/>
      <c r="B3692" s="181"/>
      <c r="C3692" s="181"/>
      <c r="D3692" s="306" t="s">
        <v>142</v>
      </c>
      <c r="E3692" s="1116"/>
      <c r="F3692" s="1116"/>
      <c r="G3692" s="1116"/>
      <c r="H3692" s="1116">
        <v>80000</v>
      </c>
    </row>
    <row r="3693" spans="1:8" ht="19.5" customHeight="1">
      <c r="A3693" s="193"/>
      <c r="B3693" s="254"/>
      <c r="C3693" s="254"/>
      <c r="D3693" s="418" t="s">
        <v>802</v>
      </c>
      <c r="E3693" s="1117"/>
      <c r="F3693" s="1117"/>
      <c r="G3693" s="1117"/>
      <c r="H3693" s="1117">
        <f>1300000+550000</f>
        <v>1850000</v>
      </c>
    </row>
    <row r="3694" spans="1:8" ht="29.25" customHeight="1">
      <c r="A3694" s="56"/>
      <c r="B3694" s="181"/>
      <c r="C3694" s="181">
        <v>6210</v>
      </c>
      <c r="D3694" s="306" t="s">
        <v>697</v>
      </c>
      <c r="E3694" s="176"/>
      <c r="F3694" s="176"/>
      <c r="G3694" s="176"/>
      <c r="H3694" s="176">
        <f>SUM(H3685:H3693)</f>
        <v>9250000</v>
      </c>
    </row>
    <row r="3695" spans="1:8" ht="21" customHeight="1">
      <c r="A3695" s="56"/>
      <c r="B3695" s="303">
        <v>92605</v>
      </c>
      <c r="C3695" s="165"/>
      <c r="D3695" s="310" t="s">
        <v>402</v>
      </c>
      <c r="E3695" s="167"/>
      <c r="F3695" s="167"/>
      <c r="G3695" s="167"/>
      <c r="H3695" s="167">
        <f>H3696</f>
        <v>900000</v>
      </c>
    </row>
    <row r="3696" spans="1:8" ht="21" customHeight="1">
      <c r="A3696" s="86"/>
      <c r="B3696" s="86"/>
      <c r="C3696" s="18"/>
      <c r="D3696" s="316" t="s">
        <v>451</v>
      </c>
      <c r="E3696" s="152"/>
      <c r="F3696" s="152"/>
      <c r="G3696" s="152"/>
      <c r="H3696" s="152">
        <f>H3699</f>
        <v>900000</v>
      </c>
    </row>
    <row r="3697" spans="1:8" ht="21" customHeight="1">
      <c r="A3697" s="18"/>
      <c r="B3697" s="18"/>
      <c r="C3697" s="18"/>
      <c r="D3697" s="290" t="s">
        <v>147</v>
      </c>
      <c r="E3697" s="231"/>
      <c r="F3697" s="231"/>
      <c r="G3697" s="231"/>
      <c r="H3697" s="231">
        <v>700000</v>
      </c>
    </row>
    <row r="3698" spans="1:8" ht="21" customHeight="1">
      <c r="A3698" s="18"/>
      <c r="B3698" s="18"/>
      <c r="C3698" s="18"/>
      <c r="D3698" s="331" t="s">
        <v>745</v>
      </c>
      <c r="E3698" s="11"/>
      <c r="F3698" s="11"/>
      <c r="G3698" s="11"/>
      <c r="H3698" s="11">
        <v>200000</v>
      </c>
    </row>
    <row r="3699" spans="1:8" ht="21" customHeight="1">
      <c r="A3699" s="18"/>
      <c r="B3699" s="18"/>
      <c r="C3699" s="18">
        <v>6050</v>
      </c>
      <c r="D3699" s="221" t="s">
        <v>746</v>
      </c>
      <c r="E3699" s="230"/>
      <c r="F3699" s="230"/>
      <c r="G3699" s="230"/>
      <c r="H3699" s="230">
        <f>SUM(H3697:H3698)</f>
        <v>900000</v>
      </c>
    </row>
    <row r="3700" spans="1:8" ht="27" customHeight="1" thickBot="1">
      <c r="A3700" s="158"/>
      <c r="B3700" s="158"/>
      <c r="C3700" s="255"/>
      <c r="D3700" s="266" t="s">
        <v>1041</v>
      </c>
      <c r="E3700" s="267"/>
      <c r="F3700" s="267"/>
      <c r="G3700" s="267"/>
      <c r="H3700" s="267">
        <f>H3701</f>
        <v>318000</v>
      </c>
    </row>
    <row r="3701" spans="1:8" s="1" customFormat="1" ht="21" customHeight="1" thickBot="1" thickTop="1">
      <c r="A3701" s="394">
        <v>900</v>
      </c>
      <c r="B3701" s="394"/>
      <c r="C3701" s="409"/>
      <c r="D3701" s="395" t="s">
        <v>1109</v>
      </c>
      <c r="E3701" s="377"/>
      <c r="F3701" s="377"/>
      <c r="G3701" s="377"/>
      <c r="H3701" s="377">
        <f>H3707+H3702</f>
        <v>318000</v>
      </c>
    </row>
    <row r="3702" spans="1:8" s="1" customFormat="1" ht="21" customHeight="1">
      <c r="A3702" s="2"/>
      <c r="B3702" s="3">
        <v>90002</v>
      </c>
      <c r="C3702" s="45"/>
      <c r="D3702" s="67" t="s">
        <v>176</v>
      </c>
      <c r="E3702" s="4"/>
      <c r="F3702" s="4"/>
      <c r="G3702" s="4"/>
      <c r="H3702" s="4">
        <f>H3703</f>
        <v>35500</v>
      </c>
    </row>
    <row r="3703" spans="1:8" s="1" customFormat="1" ht="21" customHeight="1">
      <c r="A3703" s="86"/>
      <c r="B3703" s="5"/>
      <c r="C3703" s="47"/>
      <c r="D3703" s="16" t="s">
        <v>451</v>
      </c>
      <c r="E3703" s="17"/>
      <c r="F3703" s="17"/>
      <c r="G3703" s="17"/>
      <c r="H3703" s="17">
        <f>H3706</f>
        <v>35500</v>
      </c>
    </row>
    <row r="3704" spans="1:8" s="1" customFormat="1" ht="21" customHeight="1">
      <c r="A3704" s="18"/>
      <c r="B3704" s="50"/>
      <c r="C3704" s="50"/>
      <c r="D3704" s="421" t="s">
        <v>305</v>
      </c>
      <c r="E3704" s="10"/>
      <c r="F3704" s="10"/>
      <c r="G3704" s="10"/>
      <c r="H3704" s="10">
        <v>25500</v>
      </c>
    </row>
    <row r="3705" spans="1:8" s="1" customFormat="1" ht="21" customHeight="1">
      <c r="A3705" s="86"/>
      <c r="B3705" s="2"/>
      <c r="C3705" s="50"/>
      <c r="D3705" s="331" t="s">
        <v>306</v>
      </c>
      <c r="E3705" s="231"/>
      <c r="F3705" s="231"/>
      <c r="G3705" s="231"/>
      <c r="H3705" s="231">
        <v>10000</v>
      </c>
    </row>
    <row r="3706" spans="1:8" s="1" customFormat="1" ht="21" customHeight="1">
      <c r="A3706" s="86"/>
      <c r="B3706" s="3"/>
      <c r="C3706" s="22">
        <v>6050</v>
      </c>
      <c r="D3706" s="238" t="s">
        <v>746</v>
      </c>
      <c r="E3706" s="228"/>
      <c r="F3706" s="228"/>
      <c r="G3706" s="228"/>
      <c r="H3706" s="228">
        <f>SUM(H3704:H3705)</f>
        <v>35500</v>
      </c>
    </row>
    <row r="3707" spans="1:8" s="1" customFormat="1" ht="21" customHeight="1">
      <c r="A3707" s="2"/>
      <c r="B3707" s="3">
        <v>90095</v>
      </c>
      <c r="C3707" s="45"/>
      <c r="D3707" s="67" t="s">
        <v>100</v>
      </c>
      <c r="E3707" s="4"/>
      <c r="F3707" s="4"/>
      <c r="G3707" s="4"/>
      <c r="H3707" s="4">
        <f>H3708</f>
        <v>282500</v>
      </c>
    </row>
    <row r="3708" spans="1:8" s="1" customFormat="1" ht="21" customHeight="1">
      <c r="A3708" s="86"/>
      <c r="B3708" s="5"/>
      <c r="C3708" s="47"/>
      <c r="D3708" s="16" t="s">
        <v>451</v>
      </c>
      <c r="E3708" s="17"/>
      <c r="F3708" s="17"/>
      <c r="G3708" s="17"/>
      <c r="H3708" s="17">
        <f>H3710</f>
        <v>282500</v>
      </c>
    </row>
    <row r="3709" spans="1:8" s="1" customFormat="1" ht="21" customHeight="1">
      <c r="A3709" s="18"/>
      <c r="B3709" s="50"/>
      <c r="C3709" s="50"/>
      <c r="D3709" s="421" t="s">
        <v>96</v>
      </c>
      <c r="E3709" s="10"/>
      <c r="F3709" s="10"/>
      <c r="G3709" s="10"/>
      <c r="H3709" s="10">
        <v>282500</v>
      </c>
    </row>
    <row r="3710" spans="1:8" s="1" customFormat="1" ht="41.25" customHeight="1">
      <c r="A3710" s="18"/>
      <c r="B3710" s="50"/>
      <c r="C3710" s="22">
        <v>6300</v>
      </c>
      <c r="D3710" s="20" t="s">
        <v>780</v>
      </c>
      <c r="E3710" s="228"/>
      <c r="F3710" s="228"/>
      <c r="G3710" s="228"/>
      <c r="H3710" s="228">
        <f>H3709</f>
        <v>282500</v>
      </c>
    </row>
    <row r="3711" spans="1:8" ht="33" customHeight="1" thickBot="1">
      <c r="A3711" s="158"/>
      <c r="B3711" s="158"/>
      <c r="C3711" s="181"/>
      <c r="D3711" s="266" t="s">
        <v>1021</v>
      </c>
      <c r="E3711" s="267"/>
      <c r="F3711" s="267"/>
      <c r="G3711" s="267"/>
      <c r="H3711" s="267">
        <f>H3712</f>
        <v>300000</v>
      </c>
    </row>
    <row r="3712" spans="1:8" ht="21" customHeight="1" thickBot="1" thickTop="1">
      <c r="A3712" s="382">
        <v>700</v>
      </c>
      <c r="B3712" s="382"/>
      <c r="C3712" s="443"/>
      <c r="D3712" s="382" t="s">
        <v>433</v>
      </c>
      <c r="E3712" s="444"/>
      <c r="F3712" s="444"/>
      <c r="G3712" s="444"/>
      <c r="H3712" s="444">
        <f>H3713</f>
        <v>300000</v>
      </c>
    </row>
    <row r="3713" spans="1:8" ht="21" customHeight="1">
      <c r="A3713" s="56"/>
      <c r="B3713" s="165">
        <v>70005</v>
      </c>
      <c r="C3713" s="256"/>
      <c r="D3713" s="165" t="s">
        <v>435</v>
      </c>
      <c r="E3713" s="167"/>
      <c r="F3713" s="167"/>
      <c r="G3713" s="167"/>
      <c r="H3713" s="167">
        <f>H3714</f>
        <v>300000</v>
      </c>
    </row>
    <row r="3714" spans="1:8" ht="21" customHeight="1">
      <c r="A3714" s="56"/>
      <c r="B3714" s="56"/>
      <c r="C3714" s="170"/>
      <c r="D3714" s="186" t="s">
        <v>288</v>
      </c>
      <c r="E3714" s="212"/>
      <c r="F3714" s="212"/>
      <c r="G3714" s="212"/>
      <c r="H3714" s="212">
        <f>H3716</f>
        <v>300000</v>
      </c>
    </row>
    <row r="3715" spans="1:8" ht="21" customHeight="1">
      <c r="A3715" s="56"/>
      <c r="B3715" s="56"/>
      <c r="C3715" s="170"/>
      <c r="D3715" s="299" t="s">
        <v>232</v>
      </c>
      <c r="E3715" s="249"/>
      <c r="F3715" s="249"/>
      <c r="G3715" s="249"/>
      <c r="H3715" s="249">
        <v>300000</v>
      </c>
    </row>
    <row r="3716" spans="1:8" ht="21" customHeight="1">
      <c r="A3716" s="158"/>
      <c r="B3716" s="158"/>
      <c r="C3716" s="181">
        <v>4270</v>
      </c>
      <c r="D3716" s="181" t="s">
        <v>98</v>
      </c>
      <c r="E3716" s="176"/>
      <c r="F3716" s="176"/>
      <c r="G3716" s="176"/>
      <c r="H3716" s="176">
        <f>H3715</f>
        <v>300000</v>
      </c>
    </row>
    <row r="3717" spans="1:8" ht="21" customHeight="1">
      <c r="A3717" s="193"/>
      <c r="B3717" s="193"/>
      <c r="C3717" s="193"/>
      <c r="D3717" s="1142" t="s">
        <v>210</v>
      </c>
      <c r="E3717" s="1142"/>
      <c r="F3717" s="1142"/>
      <c r="G3717" s="1143">
        <f>G3718</f>
        <v>50000</v>
      </c>
      <c r="H3717" s="1143"/>
    </row>
    <row r="3718" spans="1:8" ht="21" customHeight="1" thickBot="1">
      <c r="A3718" s="158"/>
      <c r="B3718" s="158"/>
      <c r="C3718" s="158"/>
      <c r="D3718" s="159" t="s">
        <v>646</v>
      </c>
      <c r="E3718" s="159"/>
      <c r="F3718" s="159"/>
      <c r="G3718" s="160">
        <f>G3719</f>
        <v>50000</v>
      </c>
      <c r="H3718" s="160"/>
    </row>
    <row r="3719" spans="1:8" ht="19.5" customHeight="1" thickBot="1" thickTop="1">
      <c r="A3719" s="382">
        <v>750</v>
      </c>
      <c r="B3719" s="382"/>
      <c r="C3719" s="382"/>
      <c r="D3719" s="382" t="s">
        <v>439</v>
      </c>
      <c r="E3719" s="382"/>
      <c r="F3719" s="382"/>
      <c r="G3719" s="384">
        <f>G3720</f>
        <v>50000</v>
      </c>
      <c r="H3719" s="384"/>
    </row>
    <row r="3720" spans="1:8" ht="19.5" customHeight="1">
      <c r="A3720" s="56"/>
      <c r="B3720" s="165">
        <v>75075</v>
      </c>
      <c r="C3720" s="256"/>
      <c r="D3720" s="185" t="s">
        <v>993</v>
      </c>
      <c r="E3720" s="185"/>
      <c r="F3720" s="185"/>
      <c r="G3720" s="310">
        <f>G3721</f>
        <v>50000</v>
      </c>
      <c r="H3720" s="310"/>
    </row>
    <row r="3721" spans="1:8" ht="19.5" customHeight="1">
      <c r="A3721" s="56"/>
      <c r="B3721" s="193"/>
      <c r="C3721" s="254"/>
      <c r="D3721" s="186" t="s">
        <v>994</v>
      </c>
      <c r="E3721" s="186"/>
      <c r="F3721" s="186"/>
      <c r="G3721" s="608">
        <f>G3722</f>
        <v>50000</v>
      </c>
      <c r="H3721" s="608"/>
    </row>
    <row r="3722" spans="1:8" ht="19.5" customHeight="1">
      <c r="A3722" s="56"/>
      <c r="B3722" s="56"/>
      <c r="C3722" s="181">
        <v>4300</v>
      </c>
      <c r="D3722" s="189" t="s">
        <v>815</v>
      </c>
      <c r="E3722" s="189"/>
      <c r="F3722" s="189"/>
      <c r="G3722" s="455">
        <v>50000</v>
      </c>
      <c r="H3722" s="455"/>
    </row>
    <row r="3723" spans="1:8" ht="19.5" customHeight="1">
      <c r="A3723" s="56"/>
      <c r="B3723" s="56"/>
      <c r="C3723" s="56"/>
      <c r="D3723" s="606" t="s">
        <v>211</v>
      </c>
      <c r="E3723" s="606"/>
      <c r="F3723" s="606"/>
      <c r="G3723" s="607"/>
      <c r="H3723" s="607">
        <f>H3724</f>
        <v>50000</v>
      </c>
    </row>
    <row r="3724" spans="1:8" ht="19.5" customHeight="1" thickBot="1">
      <c r="A3724" s="158"/>
      <c r="B3724" s="158"/>
      <c r="C3724" s="158"/>
      <c r="D3724" s="159" t="s">
        <v>646</v>
      </c>
      <c r="E3724" s="159"/>
      <c r="F3724" s="159"/>
      <c r="G3724" s="160"/>
      <c r="H3724" s="160">
        <f>H3725</f>
        <v>50000</v>
      </c>
    </row>
    <row r="3725" spans="1:8" ht="19.5" customHeight="1" thickBot="1" thickTop="1">
      <c r="A3725" s="382">
        <v>750</v>
      </c>
      <c r="B3725" s="382"/>
      <c r="C3725" s="382"/>
      <c r="D3725" s="382" t="s">
        <v>439</v>
      </c>
      <c r="E3725" s="382"/>
      <c r="F3725" s="382"/>
      <c r="G3725" s="384"/>
      <c r="H3725" s="384">
        <f>H3726</f>
        <v>50000</v>
      </c>
    </row>
    <row r="3726" spans="1:8" ht="19.5" customHeight="1">
      <c r="A3726" s="56"/>
      <c r="B3726" s="165">
        <v>75075</v>
      </c>
      <c r="C3726" s="256"/>
      <c r="D3726" s="185" t="s">
        <v>993</v>
      </c>
      <c r="E3726" s="185"/>
      <c r="F3726" s="185"/>
      <c r="G3726" s="310"/>
      <c r="H3726" s="310">
        <f>H3727</f>
        <v>50000</v>
      </c>
    </row>
    <row r="3727" spans="1:8" ht="19.5" customHeight="1">
      <c r="A3727" s="56"/>
      <c r="B3727" s="193"/>
      <c r="C3727" s="254"/>
      <c r="D3727" s="186" t="s">
        <v>994</v>
      </c>
      <c r="E3727" s="186"/>
      <c r="F3727" s="186"/>
      <c r="G3727" s="608"/>
      <c r="H3727" s="608">
        <f>H3728</f>
        <v>50000</v>
      </c>
    </row>
    <row r="3728" spans="1:8" ht="19.5" customHeight="1">
      <c r="A3728" s="158"/>
      <c r="B3728" s="158"/>
      <c r="C3728" s="181">
        <v>4300</v>
      </c>
      <c r="D3728" s="189" t="s">
        <v>815</v>
      </c>
      <c r="E3728" s="189"/>
      <c r="F3728" s="189"/>
      <c r="G3728" s="455"/>
      <c r="H3728" s="455">
        <v>50000</v>
      </c>
    </row>
    <row r="3729" spans="5:8" ht="12.75">
      <c r="E3729" s="1"/>
      <c r="F3729" s="1"/>
      <c r="G3729" s="1"/>
      <c r="H3729" s="1"/>
    </row>
    <row r="3730" spans="5:8" ht="12.75">
      <c r="E3730" s="1"/>
      <c r="F3730" s="1"/>
      <c r="G3730" s="1"/>
      <c r="H3730" s="1"/>
    </row>
    <row r="3731" spans="5:8" ht="12.75">
      <c r="E3731" s="1"/>
      <c r="F3731" s="1"/>
      <c r="G3731" s="1"/>
      <c r="H3731" s="1"/>
    </row>
    <row r="3732" spans="5:8" ht="12.75">
      <c r="E3732" s="1"/>
      <c r="F3732" s="1"/>
      <c r="G3732" s="1"/>
      <c r="H3732" s="1"/>
    </row>
    <row r="3733" spans="3:8" ht="12.75">
      <c r="C3733" s="141" t="s">
        <v>781</v>
      </c>
      <c r="E3733" s="1"/>
      <c r="F3733" s="1" t="s">
        <v>783</v>
      </c>
      <c r="G3733" s="1"/>
      <c r="H3733" s="1"/>
    </row>
    <row r="3734" spans="3:8" ht="12.75">
      <c r="C3734" s="174" t="s">
        <v>782</v>
      </c>
      <c r="E3734" s="1"/>
      <c r="F3734" s="1" t="s">
        <v>784</v>
      </c>
      <c r="G3734" s="1"/>
      <c r="H3734" s="1"/>
    </row>
    <row r="3735" spans="5:8" ht="12.75">
      <c r="E3735" s="1"/>
      <c r="F3735" s="1"/>
      <c r="G3735" s="1"/>
      <c r="H3735" s="1"/>
    </row>
    <row r="3736" spans="5:8" ht="12.75">
      <c r="E3736" s="1"/>
      <c r="F3736" s="1"/>
      <c r="G3736" s="1"/>
      <c r="H3736" s="1"/>
    </row>
    <row r="3737" spans="5:8" ht="12.75">
      <c r="E3737" s="1"/>
      <c r="F3737" s="1"/>
      <c r="G3737" s="1"/>
      <c r="H3737" s="1"/>
    </row>
    <row r="3738" spans="5:8" ht="12.75">
      <c r="E3738" s="1"/>
      <c r="F3738" s="1"/>
      <c r="G3738" s="1"/>
      <c r="H3738" s="1"/>
    </row>
    <row r="3739" spans="5:8" ht="12.75">
      <c r="E3739" s="1"/>
      <c r="F3739" s="1"/>
      <c r="G3739" s="1"/>
      <c r="H3739" s="1"/>
    </row>
    <row r="3740" spans="5:8" ht="12.75">
      <c r="E3740" s="1"/>
      <c r="F3740" s="1"/>
      <c r="G3740" s="1"/>
      <c r="H3740" s="1"/>
    </row>
    <row r="3741" spans="5:8" ht="12.75">
      <c r="E3741" s="1"/>
      <c r="F3741" s="1"/>
      <c r="G3741" s="1"/>
      <c r="H3741" s="1"/>
    </row>
    <row r="3742" spans="5:8" ht="12.75">
      <c r="E3742" s="1"/>
      <c r="F3742" s="1"/>
      <c r="G3742" s="1"/>
      <c r="H3742" s="1"/>
    </row>
    <row r="3743" spans="5:8" ht="12.75">
      <c r="E3743" s="1"/>
      <c r="F3743" s="1"/>
      <c r="G3743" s="1"/>
      <c r="H3743" s="1"/>
    </row>
    <row r="3744" spans="5:8" ht="12.75">
      <c r="E3744" s="1"/>
      <c r="F3744" s="1"/>
      <c r="G3744" s="1"/>
      <c r="H3744" s="1"/>
    </row>
    <row r="3745" spans="5:8" ht="12.75">
      <c r="E3745" s="1"/>
      <c r="F3745" s="1"/>
      <c r="G3745" s="1"/>
      <c r="H3745" s="1"/>
    </row>
    <row r="3746" spans="5:8" ht="12.75">
      <c r="E3746" s="1"/>
      <c r="F3746" s="1"/>
      <c r="G3746" s="1"/>
      <c r="H3746" s="1"/>
    </row>
    <row r="3747" spans="5:8" ht="12.75">
      <c r="E3747" s="1"/>
      <c r="F3747" s="1"/>
      <c r="G3747" s="1"/>
      <c r="H3747" s="1"/>
    </row>
    <row r="3748" spans="5:8" ht="12.75">
      <c r="E3748" s="1"/>
      <c r="F3748" s="1"/>
      <c r="G3748" s="1"/>
      <c r="H3748" s="1"/>
    </row>
    <row r="3749" spans="5:8" ht="12.75">
      <c r="E3749" s="1"/>
      <c r="F3749" s="1"/>
      <c r="G3749" s="1"/>
      <c r="H3749" s="1"/>
    </row>
    <row r="3750" spans="5:8" ht="12.75">
      <c r="E3750" s="1"/>
      <c r="F3750" s="1"/>
      <c r="G3750" s="1"/>
      <c r="H3750" s="1"/>
    </row>
    <row r="3751" spans="5:8" ht="12.75">
      <c r="E3751" s="1"/>
      <c r="F3751" s="1"/>
      <c r="G3751" s="1"/>
      <c r="H3751" s="1"/>
    </row>
    <row r="3752" spans="5:8" ht="12.75">
      <c r="E3752" s="1"/>
      <c r="F3752" s="1"/>
      <c r="G3752" s="1"/>
      <c r="H3752" s="1"/>
    </row>
    <row r="3753" spans="5:8" ht="12.75">
      <c r="E3753" s="1"/>
      <c r="F3753" s="1"/>
      <c r="G3753" s="1"/>
      <c r="H3753" s="1"/>
    </row>
    <row r="3754" spans="5:8" ht="12.75">
      <c r="E3754" s="1"/>
      <c r="F3754" s="1"/>
      <c r="G3754" s="1"/>
      <c r="H3754" s="1"/>
    </row>
    <row r="3755" spans="5:8" ht="12.75">
      <c r="E3755" s="1"/>
      <c r="F3755" s="1"/>
      <c r="G3755" s="1"/>
      <c r="H3755" s="1"/>
    </row>
    <row r="3756" spans="5:8" ht="12.75">
      <c r="E3756" s="1"/>
      <c r="F3756" s="1"/>
      <c r="G3756" s="1"/>
      <c r="H3756" s="1"/>
    </row>
    <row r="3757" spans="5:8" ht="12.75">
      <c r="E3757" s="1"/>
      <c r="F3757" s="1"/>
      <c r="G3757" s="1"/>
      <c r="H3757" s="1"/>
    </row>
    <row r="3758" spans="5:8" ht="12.75">
      <c r="E3758" s="1"/>
      <c r="F3758" s="1"/>
      <c r="G3758" s="1"/>
      <c r="H3758" s="1"/>
    </row>
    <row r="3759" spans="5:8" ht="12.75">
      <c r="E3759" s="1"/>
      <c r="F3759" s="1"/>
      <c r="G3759" s="1"/>
      <c r="H3759" s="1"/>
    </row>
    <row r="3760" spans="5:8" ht="12.75">
      <c r="E3760" s="1"/>
      <c r="F3760" s="1"/>
      <c r="G3760" s="1"/>
      <c r="H3760" s="1"/>
    </row>
    <row r="3761" spans="5:8" ht="12.75">
      <c r="E3761" s="1"/>
      <c r="F3761" s="1"/>
      <c r="G3761" s="1"/>
      <c r="H3761" s="1"/>
    </row>
    <row r="3762" spans="5:8" ht="12.75">
      <c r="E3762" s="1"/>
      <c r="F3762" s="1"/>
      <c r="G3762" s="1"/>
      <c r="H3762" s="1"/>
    </row>
    <row r="3763" spans="5:8" ht="12.75">
      <c r="E3763" s="1"/>
      <c r="F3763" s="1"/>
      <c r="G3763" s="1"/>
      <c r="H3763" s="1"/>
    </row>
    <row r="3764" spans="5:8" ht="12.75">
      <c r="E3764" s="1"/>
      <c r="F3764" s="1"/>
      <c r="G3764" s="1"/>
      <c r="H3764" s="1"/>
    </row>
    <row r="3765" spans="5:8" ht="12.75">
      <c r="E3765" s="1"/>
      <c r="F3765" s="1"/>
      <c r="G3765" s="1"/>
      <c r="H3765" s="1"/>
    </row>
    <row r="3766" spans="5:8" ht="12.75">
      <c r="E3766" s="1"/>
      <c r="F3766" s="1"/>
      <c r="G3766" s="1"/>
      <c r="H3766" s="1"/>
    </row>
    <row r="3767" spans="5:8" ht="12.75">
      <c r="E3767" s="1"/>
      <c r="F3767" s="1"/>
      <c r="G3767" s="1"/>
      <c r="H3767" s="1"/>
    </row>
    <row r="3768" spans="5:8" ht="12.75">
      <c r="E3768" s="1"/>
      <c r="F3768" s="1"/>
      <c r="G3768" s="1"/>
      <c r="H3768" s="1"/>
    </row>
    <row r="3769" spans="5:8" ht="12.75">
      <c r="E3769" s="1"/>
      <c r="F3769" s="1"/>
      <c r="G3769" s="1"/>
      <c r="H3769" s="1"/>
    </row>
    <row r="3770" spans="5:8" ht="12.75">
      <c r="E3770" s="1"/>
      <c r="F3770" s="1"/>
      <c r="G3770" s="1"/>
      <c r="H3770" s="1"/>
    </row>
    <row r="3771" spans="5:8" ht="12.75">
      <c r="E3771" s="1"/>
      <c r="F3771" s="1"/>
      <c r="G3771" s="1"/>
      <c r="H3771" s="1"/>
    </row>
    <row r="3772" spans="5:8" ht="12.75">
      <c r="E3772" s="1"/>
      <c r="F3772" s="1"/>
      <c r="G3772" s="1"/>
      <c r="H3772" s="1"/>
    </row>
    <row r="3773" spans="5:8" ht="12.75">
      <c r="E3773" s="1"/>
      <c r="F3773" s="1"/>
      <c r="G3773" s="1"/>
      <c r="H3773" s="1"/>
    </row>
    <row r="3774" spans="5:8" ht="12.75">
      <c r="E3774" s="1"/>
      <c r="F3774" s="1"/>
      <c r="G3774" s="1"/>
      <c r="H3774" s="1"/>
    </row>
    <row r="3775" spans="5:8" ht="12.75">
      <c r="E3775" s="1"/>
      <c r="F3775" s="1"/>
      <c r="G3775" s="1"/>
      <c r="H3775" s="1"/>
    </row>
    <row r="3776" spans="5:8" ht="12.75">
      <c r="E3776" s="1"/>
      <c r="F3776" s="1"/>
      <c r="G3776" s="1"/>
      <c r="H3776" s="1"/>
    </row>
    <row r="3777" spans="5:8" ht="12.75">
      <c r="E3777" s="1"/>
      <c r="F3777" s="1"/>
      <c r="G3777" s="1"/>
      <c r="H3777" s="1"/>
    </row>
    <row r="3778" spans="5:8" ht="12.75">
      <c r="E3778" s="1"/>
      <c r="F3778" s="1"/>
      <c r="G3778" s="1"/>
      <c r="H3778" s="1"/>
    </row>
    <row r="3779" spans="5:8" ht="12.75">
      <c r="E3779" s="1"/>
      <c r="F3779" s="1"/>
      <c r="G3779" s="1"/>
      <c r="H3779" s="1"/>
    </row>
    <row r="3780" spans="5:8" ht="12.75">
      <c r="E3780" s="1"/>
      <c r="F3780" s="1"/>
      <c r="G3780" s="1"/>
      <c r="H3780" s="1"/>
    </row>
    <row r="3781" spans="5:8" ht="12.75">
      <c r="E3781" s="1"/>
      <c r="F3781" s="1"/>
      <c r="G3781" s="1"/>
      <c r="H3781" s="1"/>
    </row>
    <row r="3782" spans="5:8" ht="12.75">
      <c r="E3782" s="1"/>
      <c r="F3782" s="1"/>
      <c r="G3782" s="1"/>
      <c r="H3782" s="1"/>
    </row>
    <row r="3783" spans="5:8" ht="12.75">
      <c r="E3783" s="1"/>
      <c r="F3783" s="1"/>
      <c r="G3783" s="1"/>
      <c r="H3783" s="1"/>
    </row>
    <row r="3784" spans="5:8" ht="12.75">
      <c r="E3784" s="1"/>
      <c r="F3784" s="1"/>
      <c r="G3784" s="1"/>
      <c r="H3784" s="1"/>
    </row>
    <row r="3785" spans="5:8" ht="12.75">
      <c r="E3785" s="1"/>
      <c r="F3785" s="1"/>
      <c r="G3785" s="1"/>
      <c r="H3785" s="1"/>
    </row>
    <row r="3786" spans="5:8" ht="12.75">
      <c r="E3786" s="1"/>
      <c r="F3786" s="1"/>
      <c r="G3786" s="1"/>
      <c r="H3786" s="1"/>
    </row>
    <row r="3787" spans="5:8" ht="12.75">
      <c r="E3787" s="1"/>
      <c r="F3787" s="1"/>
      <c r="G3787" s="1"/>
      <c r="H3787" s="1"/>
    </row>
    <row r="3788" spans="5:8" ht="12.75">
      <c r="E3788" s="1"/>
      <c r="F3788" s="1"/>
      <c r="G3788" s="1"/>
      <c r="H3788" s="1"/>
    </row>
    <row r="3789" spans="5:8" ht="12.75">
      <c r="E3789" s="1"/>
      <c r="F3789" s="1"/>
      <c r="G3789" s="1"/>
      <c r="H3789" s="1"/>
    </row>
    <row r="3790" spans="5:8" ht="12.75">
      <c r="E3790" s="1"/>
      <c r="F3790" s="1"/>
      <c r="G3790" s="1"/>
      <c r="H3790" s="1"/>
    </row>
    <row r="3791" spans="5:8" ht="12.75">
      <c r="E3791" s="1"/>
      <c r="F3791" s="1"/>
      <c r="G3791" s="1"/>
      <c r="H3791" s="1"/>
    </row>
    <row r="3792" spans="5:8" ht="12.75">
      <c r="E3792" s="1"/>
      <c r="F3792" s="1"/>
      <c r="G3792" s="1"/>
      <c r="H3792" s="1"/>
    </row>
    <row r="3793" spans="5:8" ht="12.75">
      <c r="E3793" s="1"/>
      <c r="F3793" s="1"/>
      <c r="G3793" s="1"/>
      <c r="H3793" s="1"/>
    </row>
    <row r="3794" spans="5:8" ht="12.75">
      <c r="E3794" s="1"/>
      <c r="F3794" s="1"/>
      <c r="G3794" s="1"/>
      <c r="H3794" s="1"/>
    </row>
    <row r="3795" spans="5:8" ht="12.75">
      <c r="E3795" s="1"/>
      <c r="F3795" s="1"/>
      <c r="G3795" s="1"/>
      <c r="H3795" s="1"/>
    </row>
    <row r="3796" spans="5:8" ht="12.75">
      <c r="E3796" s="1"/>
      <c r="F3796" s="1"/>
      <c r="G3796" s="1"/>
      <c r="H3796" s="1"/>
    </row>
    <row r="3797" spans="5:8" ht="12.75">
      <c r="E3797" s="1"/>
      <c r="F3797" s="1"/>
      <c r="G3797" s="1"/>
      <c r="H3797" s="1"/>
    </row>
    <row r="3798" spans="5:8" ht="12.75">
      <c r="E3798" s="1"/>
      <c r="F3798" s="1"/>
      <c r="G3798" s="1"/>
      <c r="H3798" s="1"/>
    </row>
    <row r="3799" spans="5:8" ht="12.75">
      <c r="E3799" s="1"/>
      <c r="F3799" s="1"/>
      <c r="G3799" s="1"/>
      <c r="H3799" s="1"/>
    </row>
    <row r="3800" spans="5:8" ht="12.75">
      <c r="E3800" s="1"/>
      <c r="F3800" s="1"/>
      <c r="G3800" s="1"/>
      <c r="H3800" s="1"/>
    </row>
    <row r="3801" spans="5:8" ht="12.75">
      <c r="E3801" s="1"/>
      <c r="F3801" s="1"/>
      <c r="G3801" s="1"/>
      <c r="H3801" s="1"/>
    </row>
    <row r="3802" spans="5:8" ht="12.75">
      <c r="E3802" s="1"/>
      <c r="F3802" s="1"/>
      <c r="G3802" s="1"/>
      <c r="H3802" s="1"/>
    </row>
    <row r="3803" spans="5:8" ht="12.75">
      <c r="E3803" s="1"/>
      <c r="F3803" s="1"/>
      <c r="G3803" s="1"/>
      <c r="H3803" s="1"/>
    </row>
    <row r="3804" spans="5:8" ht="12.75">
      <c r="E3804" s="1"/>
      <c r="F3804" s="1"/>
      <c r="G3804" s="1"/>
      <c r="H3804" s="1"/>
    </row>
    <row r="3805" spans="5:8" ht="12.75">
      <c r="E3805" s="1"/>
      <c r="F3805" s="1"/>
      <c r="G3805" s="1"/>
      <c r="H3805" s="1"/>
    </row>
    <row r="3806" spans="5:8" ht="12.75">
      <c r="E3806" s="1"/>
      <c r="F3806" s="1"/>
      <c r="G3806" s="1"/>
      <c r="H3806" s="1"/>
    </row>
    <row r="3807" spans="5:8" ht="12.75">
      <c r="E3807" s="1"/>
      <c r="F3807" s="1"/>
      <c r="G3807" s="1"/>
      <c r="H3807" s="1"/>
    </row>
    <row r="3808" spans="5:8" ht="12.75">
      <c r="E3808" s="1"/>
      <c r="F3808" s="1"/>
      <c r="G3808" s="1"/>
      <c r="H3808" s="1"/>
    </row>
    <row r="3809" spans="5:8" ht="12.75">
      <c r="E3809" s="1"/>
      <c r="F3809" s="1"/>
      <c r="G3809" s="1"/>
      <c r="H3809" s="1"/>
    </row>
    <row r="3810" spans="5:8" ht="12.75">
      <c r="E3810" s="1"/>
      <c r="F3810" s="1"/>
      <c r="G3810" s="1"/>
      <c r="H3810" s="1"/>
    </row>
    <row r="3811" spans="5:8" ht="12.75">
      <c r="E3811" s="1"/>
      <c r="F3811" s="1"/>
      <c r="G3811" s="1"/>
      <c r="H3811" s="1"/>
    </row>
    <row r="3812" spans="5:8" ht="12.75">
      <c r="E3812" s="1"/>
      <c r="F3812" s="1"/>
      <c r="G3812" s="1"/>
      <c r="H3812" s="1"/>
    </row>
    <row r="3813" spans="5:8" ht="12.75">
      <c r="E3813" s="1"/>
      <c r="F3813" s="1"/>
      <c r="G3813" s="1"/>
      <c r="H3813" s="1"/>
    </row>
    <row r="3814" spans="5:8" ht="12.75">
      <c r="E3814" s="1"/>
      <c r="F3814" s="1"/>
      <c r="G3814" s="1"/>
      <c r="H3814" s="1"/>
    </row>
    <row r="3815" spans="5:8" ht="12.75">
      <c r="E3815" s="1"/>
      <c r="F3815" s="1"/>
      <c r="G3815" s="1"/>
      <c r="H3815" s="1"/>
    </row>
    <row r="3816" spans="5:8" ht="12.75">
      <c r="E3816" s="1"/>
      <c r="F3816" s="1"/>
      <c r="G3816" s="1"/>
      <c r="H3816" s="1"/>
    </row>
    <row r="3817" spans="5:8" ht="12.75">
      <c r="E3817" s="1"/>
      <c r="F3817" s="1"/>
      <c r="G3817" s="1"/>
      <c r="H3817" s="1"/>
    </row>
    <row r="3818" spans="5:8" ht="12.75">
      <c r="E3818" s="1"/>
      <c r="F3818" s="1"/>
      <c r="G3818" s="1"/>
      <c r="H3818" s="1"/>
    </row>
    <row r="3819" spans="5:8" ht="12.75">
      <c r="E3819" s="1"/>
      <c r="F3819" s="1"/>
      <c r="G3819" s="1"/>
      <c r="H3819" s="1"/>
    </row>
    <row r="3820" spans="5:8" ht="12.75">
      <c r="E3820" s="1"/>
      <c r="F3820" s="1"/>
      <c r="G3820" s="1"/>
      <c r="H3820" s="1"/>
    </row>
    <row r="3821" spans="5:8" ht="12.75">
      <c r="E3821" s="1"/>
      <c r="F3821" s="1"/>
      <c r="G3821" s="1"/>
      <c r="H3821" s="1"/>
    </row>
    <row r="3822" spans="5:8" ht="12.75">
      <c r="E3822" s="1"/>
      <c r="F3822" s="1"/>
      <c r="G3822" s="1"/>
      <c r="H3822" s="1"/>
    </row>
    <row r="3823" spans="5:8" ht="12.75">
      <c r="E3823" s="1"/>
      <c r="F3823" s="1"/>
      <c r="G3823" s="1"/>
      <c r="H3823" s="1"/>
    </row>
    <row r="3824" spans="5:8" ht="12.75">
      <c r="E3824" s="1"/>
      <c r="F3824" s="1"/>
      <c r="G3824" s="1"/>
      <c r="H3824" s="1"/>
    </row>
    <row r="3825" spans="5:8" ht="12.75">
      <c r="E3825" s="1"/>
      <c r="F3825" s="1"/>
      <c r="G3825" s="1"/>
      <c r="H3825" s="1"/>
    </row>
    <row r="3826" spans="5:8" ht="12.75">
      <c r="E3826" s="1"/>
      <c r="F3826" s="1"/>
      <c r="G3826" s="1"/>
      <c r="H3826" s="1"/>
    </row>
    <row r="3827" spans="5:8" ht="12.75">
      <c r="E3827" s="1"/>
      <c r="F3827" s="1"/>
      <c r="G3827" s="1"/>
      <c r="H3827" s="1"/>
    </row>
    <row r="3828" spans="5:8" ht="12.75">
      <c r="E3828" s="1"/>
      <c r="F3828" s="1"/>
      <c r="G3828" s="1"/>
      <c r="H3828" s="1"/>
    </row>
    <row r="3829" spans="5:8" ht="12.75">
      <c r="E3829" s="1"/>
      <c r="F3829" s="1"/>
      <c r="G3829" s="1"/>
      <c r="H3829" s="1"/>
    </row>
    <row r="3830" spans="5:8" ht="12.75">
      <c r="E3830" s="1"/>
      <c r="F3830" s="1"/>
      <c r="G3830" s="1"/>
      <c r="H3830" s="1"/>
    </row>
    <row r="3831" spans="5:8" ht="12.75">
      <c r="E3831" s="1"/>
      <c r="F3831" s="1"/>
      <c r="G3831" s="1"/>
      <c r="H3831" s="1"/>
    </row>
    <row r="3832" spans="5:8" ht="12.75">
      <c r="E3832" s="1"/>
      <c r="F3832" s="1"/>
      <c r="G3832" s="1"/>
      <c r="H3832" s="1"/>
    </row>
    <row r="3833" spans="5:8" ht="12.75">
      <c r="E3833" s="1"/>
      <c r="F3833" s="1"/>
      <c r="G3833" s="1"/>
      <c r="H3833" s="1"/>
    </row>
    <row r="3834" spans="5:8" ht="12.75">
      <c r="E3834" s="1"/>
      <c r="F3834" s="1"/>
      <c r="G3834" s="1"/>
      <c r="H3834" s="1"/>
    </row>
    <row r="3835" spans="5:8" ht="12.75">
      <c r="E3835" s="1"/>
      <c r="F3835" s="1"/>
      <c r="G3835" s="1"/>
      <c r="H3835" s="1"/>
    </row>
    <row r="3836" spans="5:8" ht="12.75">
      <c r="E3836" s="1"/>
      <c r="F3836" s="1"/>
      <c r="G3836" s="1"/>
      <c r="H3836" s="1"/>
    </row>
    <row r="3837" spans="5:8" ht="12.75">
      <c r="E3837" s="1"/>
      <c r="F3837" s="1"/>
      <c r="G3837" s="1"/>
      <c r="H3837" s="1"/>
    </row>
    <row r="3838" spans="5:8" ht="12.75">
      <c r="E3838" s="1"/>
      <c r="F3838" s="1"/>
      <c r="G3838" s="1"/>
      <c r="H3838" s="1"/>
    </row>
    <row r="3839" spans="5:8" ht="12.75">
      <c r="E3839" s="1"/>
      <c r="F3839" s="1"/>
      <c r="G3839" s="1"/>
      <c r="H3839" s="1"/>
    </row>
    <row r="3840" spans="5:8" ht="12.75">
      <c r="E3840" s="1"/>
      <c r="F3840" s="1"/>
      <c r="G3840" s="1"/>
      <c r="H3840" s="1"/>
    </row>
    <row r="3841" spans="5:8" ht="12.75">
      <c r="E3841" s="1"/>
      <c r="F3841" s="1"/>
      <c r="G3841" s="1"/>
      <c r="H3841" s="1"/>
    </row>
    <row r="3842" spans="5:8" ht="12.75">
      <c r="E3842" s="1"/>
      <c r="F3842" s="1"/>
      <c r="G3842" s="1"/>
      <c r="H3842" s="1"/>
    </row>
    <row r="3843" spans="5:8" ht="12.75">
      <c r="E3843" s="1"/>
      <c r="F3843" s="1"/>
      <c r="G3843" s="1"/>
      <c r="H3843" s="1"/>
    </row>
    <row r="3844" spans="5:8" ht="12.75">
      <c r="E3844" s="1"/>
      <c r="F3844" s="1"/>
      <c r="G3844" s="1"/>
      <c r="H3844" s="1"/>
    </row>
    <row r="3845" spans="5:8" ht="12.75">
      <c r="E3845" s="1"/>
      <c r="F3845" s="1"/>
      <c r="G3845" s="1"/>
      <c r="H3845" s="1"/>
    </row>
    <row r="3846" spans="5:8" ht="12.75">
      <c r="E3846" s="1"/>
      <c r="F3846" s="1"/>
      <c r="G3846" s="1"/>
      <c r="H3846" s="1"/>
    </row>
    <row r="3847" spans="5:8" ht="12.75">
      <c r="E3847" s="1"/>
      <c r="F3847" s="1"/>
      <c r="G3847" s="1"/>
      <c r="H3847" s="1"/>
    </row>
    <row r="3848" spans="5:8" ht="12.75">
      <c r="E3848" s="1"/>
      <c r="F3848" s="1"/>
      <c r="G3848" s="1"/>
      <c r="H3848" s="1"/>
    </row>
    <row r="3849" spans="5:8" ht="12.75">
      <c r="E3849" s="1"/>
      <c r="F3849" s="1"/>
      <c r="G3849" s="1"/>
      <c r="H3849" s="1"/>
    </row>
    <row r="3850" spans="5:8" ht="12.75">
      <c r="E3850" s="1"/>
      <c r="F3850" s="1"/>
      <c r="G3850" s="1"/>
      <c r="H3850" s="1"/>
    </row>
    <row r="3851" spans="5:8" ht="12.75">
      <c r="E3851" s="1"/>
      <c r="F3851" s="1"/>
      <c r="G3851" s="1"/>
      <c r="H3851" s="1"/>
    </row>
    <row r="3852" spans="5:8" ht="12.75">
      <c r="E3852" s="1"/>
      <c r="F3852" s="1"/>
      <c r="G3852" s="1"/>
      <c r="H3852" s="1"/>
    </row>
    <row r="3853" spans="5:8" ht="12.75">
      <c r="E3853" s="1"/>
      <c r="F3853" s="1"/>
      <c r="G3853" s="1"/>
      <c r="H3853" s="1"/>
    </row>
    <row r="3854" spans="5:8" ht="12.75">
      <c r="E3854" s="1"/>
      <c r="F3854" s="1"/>
      <c r="G3854" s="1"/>
      <c r="H3854" s="1"/>
    </row>
    <row r="3855" spans="5:8" ht="12.75">
      <c r="E3855" s="1"/>
      <c r="F3855" s="1"/>
      <c r="G3855" s="1"/>
      <c r="H3855" s="1"/>
    </row>
    <row r="3856" spans="5:8" ht="12.75">
      <c r="E3856" s="1"/>
      <c r="F3856" s="1"/>
      <c r="G3856" s="1"/>
      <c r="H3856" s="1"/>
    </row>
    <row r="3857" spans="5:8" ht="12.75">
      <c r="E3857" s="1"/>
      <c r="F3857" s="1"/>
      <c r="G3857" s="1"/>
      <c r="H3857" s="1"/>
    </row>
    <row r="3858" spans="5:8" ht="12.75">
      <c r="E3858" s="1"/>
      <c r="F3858" s="1"/>
      <c r="G3858" s="1"/>
      <c r="H3858" s="1"/>
    </row>
    <row r="3859" spans="5:8" ht="12.75">
      <c r="E3859" s="1"/>
      <c r="F3859" s="1"/>
      <c r="G3859" s="1"/>
      <c r="H3859" s="1"/>
    </row>
    <row r="3860" spans="5:8" ht="12.75">
      <c r="E3860" s="1"/>
      <c r="F3860" s="1"/>
      <c r="G3860" s="1"/>
      <c r="H3860" s="1"/>
    </row>
    <row r="3861" spans="5:8" ht="12.75">
      <c r="E3861" s="1"/>
      <c r="F3861" s="1"/>
      <c r="G3861" s="1"/>
      <c r="H3861" s="1"/>
    </row>
    <row r="3862" spans="5:8" ht="12.75">
      <c r="E3862" s="1"/>
      <c r="F3862" s="1"/>
      <c r="G3862" s="1"/>
      <c r="H3862" s="1"/>
    </row>
    <row r="3863" spans="5:8" ht="12.75">
      <c r="E3863" s="1"/>
      <c r="F3863" s="1"/>
      <c r="G3863" s="1"/>
      <c r="H3863" s="1"/>
    </row>
    <row r="3864" spans="5:8" ht="12.75">
      <c r="E3864" s="1"/>
      <c r="F3864" s="1"/>
      <c r="G3864" s="1"/>
      <c r="H3864" s="1"/>
    </row>
    <row r="3865" spans="5:8" ht="12.75">
      <c r="E3865" s="1"/>
      <c r="F3865" s="1"/>
      <c r="G3865" s="1"/>
      <c r="H3865" s="1"/>
    </row>
    <row r="3866" spans="5:8" ht="12.75">
      <c r="E3866" s="1"/>
      <c r="F3866" s="1"/>
      <c r="G3866" s="1"/>
      <c r="H3866" s="1"/>
    </row>
    <row r="3867" spans="5:8" ht="12.75">
      <c r="E3867" s="1"/>
      <c r="F3867" s="1"/>
      <c r="G3867" s="1"/>
      <c r="H3867" s="1"/>
    </row>
    <row r="3868" spans="5:8" ht="12.75">
      <c r="E3868" s="1"/>
      <c r="F3868" s="1"/>
      <c r="G3868" s="1"/>
      <c r="H3868" s="1"/>
    </row>
    <row r="3869" spans="5:8" ht="12.75">
      <c r="E3869" s="1"/>
      <c r="F3869" s="1"/>
      <c r="G3869" s="1"/>
      <c r="H3869" s="1"/>
    </row>
    <row r="3870" spans="5:8" ht="12.75">
      <c r="E3870" s="1"/>
      <c r="F3870" s="1"/>
      <c r="G3870" s="1"/>
      <c r="H3870" s="1"/>
    </row>
    <row r="3871" spans="5:8" ht="12.75">
      <c r="E3871" s="1"/>
      <c r="F3871" s="1"/>
      <c r="G3871" s="1"/>
      <c r="H3871" s="1"/>
    </row>
    <row r="3872" spans="5:8" ht="12.75">
      <c r="E3872" s="1"/>
      <c r="F3872" s="1"/>
      <c r="G3872" s="1"/>
      <c r="H3872" s="1"/>
    </row>
    <row r="3873" spans="5:8" ht="12.75">
      <c r="E3873" s="1"/>
      <c r="F3873" s="1"/>
      <c r="G3873" s="1"/>
      <c r="H3873" s="1"/>
    </row>
    <row r="3874" spans="5:8" ht="12.75">
      <c r="E3874" s="1"/>
      <c r="F3874" s="1"/>
      <c r="G3874" s="1"/>
      <c r="H3874" s="1"/>
    </row>
    <row r="3875" spans="5:8" ht="12.75">
      <c r="E3875" s="1"/>
      <c r="F3875" s="1"/>
      <c r="G3875" s="1"/>
      <c r="H3875" s="1"/>
    </row>
    <row r="3876" spans="5:8" ht="12.75">
      <c r="E3876" s="1"/>
      <c r="F3876" s="1"/>
      <c r="G3876" s="1"/>
      <c r="H3876" s="1"/>
    </row>
    <row r="3877" spans="5:8" ht="12.75">
      <c r="E3877" s="1"/>
      <c r="F3877" s="1"/>
      <c r="G3877" s="1"/>
      <c r="H3877" s="1"/>
    </row>
    <row r="3878" spans="5:8" ht="12.75">
      <c r="E3878" s="1"/>
      <c r="F3878" s="1"/>
      <c r="G3878" s="1"/>
      <c r="H3878" s="1"/>
    </row>
    <row r="3879" spans="5:8" ht="12.75">
      <c r="E3879" s="1"/>
      <c r="F3879" s="1"/>
      <c r="G3879" s="1"/>
      <c r="H3879" s="1"/>
    </row>
    <row r="3880" spans="5:8" ht="12.75">
      <c r="E3880" s="1"/>
      <c r="F3880" s="1"/>
      <c r="G3880" s="1"/>
      <c r="H3880" s="1"/>
    </row>
    <row r="3881" spans="5:8" ht="12.75">
      <c r="E3881" s="1"/>
      <c r="F3881" s="1"/>
      <c r="G3881" s="1"/>
      <c r="H3881" s="1"/>
    </row>
    <row r="3882" spans="5:8" ht="12.75">
      <c r="E3882" s="1"/>
      <c r="F3882" s="1"/>
      <c r="G3882" s="1"/>
      <c r="H3882" s="1"/>
    </row>
    <row r="3883" spans="5:8" ht="12.75">
      <c r="E3883" s="1"/>
      <c r="F3883" s="1"/>
      <c r="G3883" s="1"/>
      <c r="H3883" s="1"/>
    </row>
    <row r="3884" spans="5:8" ht="12.75">
      <c r="E3884" s="1"/>
      <c r="F3884" s="1"/>
      <c r="G3884" s="1"/>
      <c r="H3884" s="1"/>
    </row>
    <row r="3885" spans="5:8" ht="12.75">
      <c r="E3885" s="1"/>
      <c r="F3885" s="1"/>
      <c r="G3885" s="1"/>
      <c r="H3885" s="1"/>
    </row>
    <row r="3886" spans="5:8" ht="12.75">
      <c r="E3886" s="1"/>
      <c r="F3886" s="1"/>
      <c r="G3886" s="1"/>
      <c r="H3886" s="1"/>
    </row>
    <row r="3887" spans="5:8" ht="12.75">
      <c r="E3887" s="1"/>
      <c r="F3887" s="1"/>
      <c r="G3887" s="1"/>
      <c r="H3887" s="1"/>
    </row>
    <row r="3888" spans="5:8" ht="12.75">
      <c r="E3888" s="1"/>
      <c r="F3888" s="1"/>
      <c r="G3888" s="1"/>
      <c r="H3888" s="1"/>
    </row>
    <row r="3889" spans="5:8" ht="12.75">
      <c r="E3889" s="1"/>
      <c r="F3889" s="1"/>
      <c r="G3889" s="1"/>
      <c r="H3889" s="1"/>
    </row>
    <row r="3890" spans="5:8" ht="12.75">
      <c r="E3890" s="1"/>
      <c r="F3890" s="1"/>
      <c r="G3890" s="1"/>
      <c r="H3890" s="1"/>
    </row>
    <row r="3891" spans="5:8" ht="12.75">
      <c r="E3891" s="1"/>
      <c r="F3891" s="1"/>
      <c r="G3891" s="1"/>
      <c r="H3891" s="1"/>
    </row>
    <row r="3892" spans="5:8" ht="12.75">
      <c r="E3892" s="1"/>
      <c r="F3892" s="1"/>
      <c r="G3892" s="1"/>
      <c r="H3892" s="1"/>
    </row>
    <row r="3893" spans="5:8" ht="12.75">
      <c r="E3893" s="1"/>
      <c r="F3893" s="1"/>
      <c r="G3893" s="1"/>
      <c r="H3893" s="1"/>
    </row>
    <row r="3894" spans="5:8" ht="12.75">
      <c r="E3894" s="1"/>
      <c r="F3894" s="1"/>
      <c r="G3894" s="1"/>
      <c r="H3894" s="1"/>
    </row>
    <row r="3895" spans="5:8" ht="12.75">
      <c r="E3895" s="1"/>
      <c r="F3895" s="1"/>
      <c r="G3895" s="1"/>
      <c r="H3895" s="1"/>
    </row>
    <row r="3896" spans="5:8" ht="12.75">
      <c r="E3896" s="1"/>
      <c r="F3896" s="1"/>
      <c r="G3896" s="1"/>
      <c r="H3896" s="1"/>
    </row>
    <row r="3897" spans="5:8" ht="12.75">
      <c r="E3897" s="1"/>
      <c r="F3897" s="1"/>
      <c r="G3897" s="1"/>
      <c r="H3897" s="1"/>
    </row>
    <row r="3898" spans="5:8" ht="12.75">
      <c r="E3898" s="1"/>
      <c r="F3898" s="1"/>
      <c r="G3898" s="1"/>
      <c r="H3898" s="1"/>
    </row>
    <row r="3899" spans="5:8" ht="12.75">
      <c r="E3899" s="1"/>
      <c r="F3899" s="1"/>
      <c r="G3899" s="1"/>
      <c r="H3899" s="1"/>
    </row>
    <row r="3900" spans="5:8" ht="12.75">
      <c r="E3900" s="1"/>
      <c r="F3900" s="1"/>
      <c r="G3900" s="1"/>
      <c r="H3900" s="1"/>
    </row>
    <row r="3901" spans="5:8" ht="12.75">
      <c r="E3901" s="1"/>
      <c r="F3901" s="1"/>
      <c r="G3901" s="1"/>
      <c r="H3901" s="1"/>
    </row>
    <row r="3902" spans="5:8" ht="12.75">
      <c r="E3902" s="1"/>
      <c r="F3902" s="1"/>
      <c r="G3902" s="1"/>
      <c r="H3902" s="1"/>
    </row>
    <row r="3903" spans="5:8" ht="12.75">
      <c r="E3903" s="1"/>
      <c r="F3903" s="1"/>
      <c r="G3903" s="1"/>
      <c r="H3903" s="1"/>
    </row>
    <row r="3904" spans="5:8" ht="12.75">
      <c r="E3904" s="1"/>
      <c r="F3904" s="1"/>
      <c r="G3904" s="1"/>
      <c r="H3904" s="1"/>
    </row>
    <row r="3905" spans="5:8" ht="12.75">
      <c r="E3905" s="1"/>
      <c r="F3905" s="1"/>
      <c r="G3905" s="1"/>
      <c r="H3905" s="1"/>
    </row>
    <row r="3906" spans="5:8" ht="12.75">
      <c r="E3906" s="1"/>
      <c r="F3906" s="1"/>
      <c r="G3906" s="1"/>
      <c r="H3906" s="1"/>
    </row>
    <row r="3907" spans="5:8" ht="12.75">
      <c r="E3907" s="1"/>
      <c r="F3907" s="1"/>
      <c r="G3907" s="1"/>
      <c r="H3907" s="1"/>
    </row>
    <row r="3908" spans="5:8" ht="12.75">
      <c r="E3908" s="1"/>
      <c r="F3908" s="1"/>
      <c r="G3908" s="1"/>
      <c r="H3908" s="1"/>
    </row>
    <row r="3909" spans="5:8" ht="12.75">
      <c r="E3909" s="1"/>
      <c r="F3909" s="1"/>
      <c r="G3909" s="1"/>
      <c r="H3909" s="1"/>
    </row>
    <row r="3910" spans="5:8" ht="12.75">
      <c r="E3910" s="1"/>
      <c r="F3910" s="1"/>
      <c r="G3910" s="1"/>
      <c r="H3910" s="1"/>
    </row>
    <row r="3911" spans="5:8" ht="12.75">
      <c r="E3911" s="1"/>
      <c r="F3911" s="1"/>
      <c r="G3911" s="1"/>
      <c r="H3911" s="1"/>
    </row>
    <row r="3912" spans="5:8" ht="12.75">
      <c r="E3912" s="1"/>
      <c r="F3912" s="1"/>
      <c r="G3912" s="1"/>
      <c r="H3912" s="1"/>
    </row>
    <row r="3913" spans="5:8" ht="12.75">
      <c r="E3913" s="1"/>
      <c r="F3913" s="1"/>
      <c r="G3913" s="1"/>
      <c r="H3913" s="1"/>
    </row>
    <row r="3914" spans="5:8" ht="12.75">
      <c r="E3914" s="1"/>
      <c r="F3914" s="1"/>
      <c r="G3914" s="1"/>
      <c r="H3914" s="1"/>
    </row>
    <row r="3915" spans="5:8" ht="12.75">
      <c r="E3915" s="1"/>
      <c r="F3915" s="1"/>
      <c r="G3915" s="1"/>
      <c r="H3915" s="1"/>
    </row>
    <row r="3916" spans="5:8" ht="12.75">
      <c r="E3916" s="1"/>
      <c r="F3916" s="1"/>
      <c r="G3916" s="1"/>
      <c r="H3916" s="1"/>
    </row>
    <row r="3917" spans="5:8" ht="12.75">
      <c r="E3917" s="1"/>
      <c r="F3917" s="1"/>
      <c r="G3917" s="1"/>
      <c r="H3917" s="1"/>
    </row>
    <row r="3918" spans="5:8" ht="12.75">
      <c r="E3918" s="1"/>
      <c r="F3918" s="1"/>
      <c r="G3918" s="1"/>
      <c r="H3918" s="1"/>
    </row>
    <row r="3919" spans="5:8" ht="12.75">
      <c r="E3919" s="1"/>
      <c r="F3919" s="1"/>
      <c r="G3919" s="1"/>
      <c r="H3919" s="1"/>
    </row>
    <row r="3920" spans="5:8" ht="12.75">
      <c r="E3920" s="1"/>
      <c r="F3920" s="1"/>
      <c r="G3920" s="1"/>
      <c r="H3920" s="1"/>
    </row>
    <row r="3921" spans="5:8" ht="12.75">
      <c r="E3921" s="1"/>
      <c r="F3921" s="1"/>
      <c r="G3921" s="1"/>
      <c r="H3921" s="1"/>
    </row>
    <row r="3922" spans="5:8" ht="12.75">
      <c r="E3922" s="1"/>
      <c r="F3922" s="1"/>
      <c r="G3922" s="1"/>
      <c r="H3922" s="1"/>
    </row>
    <row r="3923" spans="5:8" ht="12.75">
      <c r="E3923" s="1"/>
      <c r="F3923" s="1"/>
      <c r="G3923" s="1"/>
      <c r="H3923" s="1"/>
    </row>
    <row r="3924" spans="5:8" ht="12.75">
      <c r="E3924" s="1"/>
      <c r="F3924" s="1"/>
      <c r="G3924" s="1"/>
      <c r="H3924" s="1"/>
    </row>
    <row r="3925" spans="5:8" ht="12.75">
      <c r="E3925" s="1"/>
      <c r="F3925" s="1"/>
      <c r="G3925" s="1"/>
      <c r="H3925" s="1"/>
    </row>
    <row r="3926" spans="5:8" ht="12.75">
      <c r="E3926" s="1"/>
      <c r="F3926" s="1"/>
      <c r="G3926" s="1"/>
      <c r="H3926" s="1"/>
    </row>
    <row r="3927" spans="5:8" ht="12.75">
      <c r="E3927" s="1"/>
      <c r="F3927" s="1"/>
      <c r="G3927" s="1"/>
      <c r="H3927" s="1"/>
    </row>
    <row r="3928" spans="5:8" ht="12.75">
      <c r="E3928" s="1"/>
      <c r="F3928" s="1"/>
      <c r="G3928" s="1"/>
      <c r="H3928" s="1"/>
    </row>
    <row r="3929" spans="5:8" ht="12.75">
      <c r="E3929" s="1"/>
      <c r="F3929" s="1"/>
      <c r="G3929" s="1"/>
      <c r="H3929" s="1"/>
    </row>
    <row r="3930" spans="5:8" ht="12.75">
      <c r="E3930" s="1"/>
      <c r="F3930" s="1"/>
      <c r="G3930" s="1"/>
      <c r="H3930" s="1"/>
    </row>
    <row r="3931" spans="5:8" ht="12.75">
      <c r="E3931" s="1"/>
      <c r="F3931" s="1"/>
      <c r="G3931" s="1"/>
      <c r="H3931" s="1"/>
    </row>
    <row r="3932" spans="5:8" ht="12.75">
      <c r="E3932" s="1"/>
      <c r="F3932" s="1"/>
      <c r="G3932" s="1"/>
      <c r="H3932" s="1"/>
    </row>
    <row r="3933" spans="5:8" ht="12.75">
      <c r="E3933" s="1"/>
      <c r="F3933" s="1"/>
      <c r="G3933" s="1"/>
      <c r="H3933" s="1"/>
    </row>
    <row r="3934" spans="5:8" ht="12.75">
      <c r="E3934" s="1"/>
      <c r="F3934" s="1"/>
      <c r="G3934" s="1"/>
      <c r="H3934" s="1"/>
    </row>
    <row r="3935" spans="5:8" ht="12.75">
      <c r="E3935" s="1"/>
      <c r="F3935" s="1"/>
      <c r="G3935" s="1"/>
      <c r="H3935" s="1"/>
    </row>
    <row r="3936" spans="5:8" ht="12.75">
      <c r="E3936" s="1"/>
      <c r="F3936" s="1"/>
      <c r="G3936" s="1"/>
      <c r="H3936" s="1"/>
    </row>
    <row r="3937" spans="5:8" ht="12.75">
      <c r="E3937" s="1"/>
      <c r="F3937" s="1"/>
      <c r="G3937" s="1"/>
      <c r="H3937" s="1"/>
    </row>
    <row r="3938" spans="5:8" ht="12.75">
      <c r="E3938" s="1"/>
      <c r="F3938" s="1"/>
      <c r="G3938" s="1"/>
      <c r="H3938" s="1"/>
    </row>
    <row r="3939" spans="5:8" ht="12.75">
      <c r="E3939" s="1"/>
      <c r="F3939" s="1"/>
      <c r="G3939" s="1"/>
      <c r="H3939" s="1"/>
    </row>
    <row r="3940" spans="5:8" ht="12.75">
      <c r="E3940" s="1"/>
      <c r="F3940" s="1"/>
      <c r="G3940" s="1"/>
      <c r="H3940" s="1"/>
    </row>
    <row r="3941" spans="5:8" ht="12.75">
      <c r="E3941" s="1"/>
      <c r="F3941" s="1"/>
      <c r="G3941" s="1"/>
      <c r="H3941" s="1"/>
    </row>
    <row r="3942" spans="5:8" ht="12.75">
      <c r="E3942" s="1"/>
      <c r="F3942" s="1"/>
      <c r="G3942" s="1"/>
      <c r="H3942" s="1"/>
    </row>
    <row r="3943" spans="5:8" ht="12.75">
      <c r="E3943" s="1"/>
      <c r="F3943" s="1"/>
      <c r="G3943" s="1"/>
      <c r="H3943" s="1"/>
    </row>
    <row r="3944" spans="5:8" ht="12.75">
      <c r="E3944" s="1"/>
      <c r="F3944" s="1"/>
      <c r="G3944" s="1"/>
      <c r="H3944" s="1"/>
    </row>
    <row r="3945" spans="5:8" ht="12.75">
      <c r="E3945" s="1"/>
      <c r="F3945" s="1"/>
      <c r="G3945" s="1"/>
      <c r="H3945" s="1"/>
    </row>
    <row r="3946" spans="5:8" ht="12.75">
      <c r="E3946" s="1"/>
      <c r="F3946" s="1"/>
      <c r="G3946" s="1"/>
      <c r="H3946" s="1"/>
    </row>
    <row r="3947" spans="5:8" ht="12.75">
      <c r="E3947" s="1"/>
      <c r="F3947" s="1"/>
      <c r="G3947" s="1"/>
      <c r="H3947" s="1"/>
    </row>
    <row r="3948" spans="5:8" ht="12.75">
      <c r="E3948" s="1"/>
      <c r="F3948" s="1"/>
      <c r="G3948" s="1"/>
      <c r="H3948" s="1"/>
    </row>
    <row r="3949" spans="5:8" ht="12.75">
      <c r="E3949" s="1"/>
      <c r="F3949" s="1"/>
      <c r="G3949" s="1"/>
      <c r="H3949" s="1"/>
    </row>
    <row r="3950" spans="5:8" ht="12.75">
      <c r="E3950" s="1"/>
      <c r="F3950" s="1"/>
      <c r="G3950" s="1"/>
      <c r="H3950" s="1"/>
    </row>
    <row r="3951" spans="5:8" ht="12.75">
      <c r="E3951" s="1"/>
      <c r="F3951" s="1"/>
      <c r="G3951" s="1"/>
      <c r="H3951" s="1"/>
    </row>
    <row r="3952" spans="5:8" ht="12.75">
      <c r="E3952" s="1"/>
      <c r="F3952" s="1"/>
      <c r="G3952" s="1"/>
      <c r="H3952" s="1"/>
    </row>
    <row r="3953" spans="5:8" ht="12.75">
      <c r="E3953" s="1"/>
      <c r="F3953" s="1"/>
      <c r="G3953" s="1"/>
      <c r="H3953" s="1"/>
    </row>
    <row r="3954" spans="5:8" ht="12.75">
      <c r="E3954" s="1"/>
      <c r="F3954" s="1"/>
      <c r="G3954" s="1"/>
      <c r="H3954" s="1"/>
    </row>
    <row r="3955" spans="5:8" ht="12.75">
      <c r="E3955" s="1"/>
      <c r="F3955" s="1"/>
      <c r="G3955" s="1"/>
      <c r="H3955" s="1"/>
    </row>
    <row r="3956" spans="5:8" ht="12.75">
      <c r="E3956" s="1"/>
      <c r="F3956" s="1"/>
      <c r="G3956" s="1"/>
      <c r="H3956" s="1"/>
    </row>
    <row r="3957" spans="5:8" ht="12.75">
      <c r="E3957" s="1"/>
      <c r="F3957" s="1"/>
      <c r="G3957" s="1"/>
      <c r="H3957" s="1"/>
    </row>
    <row r="3958" spans="5:8" ht="12.75">
      <c r="E3958" s="1"/>
      <c r="F3958" s="1"/>
      <c r="G3958" s="1"/>
      <c r="H3958" s="1"/>
    </row>
    <row r="3959" spans="5:8" ht="12.75">
      <c r="E3959" s="1"/>
      <c r="F3959" s="1"/>
      <c r="G3959" s="1"/>
      <c r="H3959" s="1"/>
    </row>
    <row r="3960" spans="5:8" ht="12.75">
      <c r="E3960" s="1"/>
      <c r="F3960" s="1"/>
      <c r="G3960" s="1"/>
      <c r="H3960" s="1"/>
    </row>
    <row r="3961" spans="5:8" ht="12.75">
      <c r="E3961" s="1"/>
      <c r="F3961" s="1"/>
      <c r="G3961" s="1"/>
      <c r="H3961" s="1"/>
    </row>
    <row r="3962" spans="5:8" ht="12.75">
      <c r="E3962" s="1"/>
      <c r="F3962" s="1"/>
      <c r="G3962" s="1"/>
      <c r="H3962" s="1"/>
    </row>
    <row r="3963" spans="5:8" ht="12.75">
      <c r="E3963" s="1"/>
      <c r="F3963" s="1"/>
      <c r="G3963" s="1"/>
      <c r="H3963" s="1"/>
    </row>
    <row r="3964" spans="5:8" ht="12.75">
      <c r="E3964" s="1"/>
      <c r="F3964" s="1"/>
      <c r="G3964" s="1"/>
      <c r="H3964" s="1"/>
    </row>
    <row r="3965" spans="5:8" ht="12.75">
      <c r="E3965" s="1"/>
      <c r="F3965" s="1"/>
      <c r="G3965" s="1"/>
      <c r="H3965" s="1"/>
    </row>
    <row r="3966" spans="5:8" ht="12.75">
      <c r="E3966" s="1"/>
      <c r="F3966" s="1"/>
      <c r="G3966" s="1"/>
      <c r="H3966" s="1"/>
    </row>
    <row r="3967" spans="5:8" ht="12.75">
      <c r="E3967" s="1"/>
      <c r="F3967" s="1"/>
      <c r="G3967" s="1"/>
      <c r="H3967" s="1"/>
    </row>
    <row r="3968" spans="5:8" ht="12.75">
      <c r="E3968" s="1"/>
      <c r="F3968" s="1"/>
      <c r="G3968" s="1"/>
      <c r="H3968" s="1"/>
    </row>
    <row r="3969" spans="5:8" ht="12.75">
      <c r="E3969" s="1"/>
      <c r="F3969" s="1"/>
      <c r="G3969" s="1"/>
      <c r="H3969" s="1"/>
    </row>
    <row r="3970" spans="5:8" ht="12.75">
      <c r="E3970" s="1"/>
      <c r="F3970" s="1"/>
      <c r="G3970" s="1"/>
      <c r="H3970" s="1"/>
    </row>
    <row r="3971" spans="5:8" ht="12.75">
      <c r="E3971" s="1"/>
      <c r="F3971" s="1"/>
      <c r="G3971" s="1"/>
      <c r="H3971" s="1"/>
    </row>
    <row r="3972" spans="5:8" ht="12.75">
      <c r="E3972" s="1"/>
      <c r="F3972" s="1"/>
      <c r="G3972" s="1"/>
      <c r="H3972" s="1"/>
    </row>
    <row r="3973" spans="5:8" ht="12.75">
      <c r="E3973" s="1"/>
      <c r="F3973" s="1"/>
      <c r="G3973" s="1"/>
      <c r="H3973" s="1"/>
    </row>
    <row r="3974" spans="5:8" ht="12.75">
      <c r="E3974" s="1"/>
      <c r="F3974" s="1"/>
      <c r="G3974" s="1"/>
      <c r="H3974" s="1"/>
    </row>
    <row r="3975" spans="5:8" ht="12.75">
      <c r="E3975" s="1"/>
      <c r="F3975" s="1"/>
      <c r="G3975" s="1"/>
      <c r="H3975" s="1"/>
    </row>
    <row r="3976" spans="5:8" ht="12.75">
      <c r="E3976" s="1"/>
      <c r="F3976" s="1"/>
      <c r="G3976" s="1"/>
      <c r="H3976" s="1"/>
    </row>
    <row r="3977" spans="5:8" ht="12.75">
      <c r="E3977" s="1"/>
      <c r="F3977" s="1"/>
      <c r="G3977" s="1"/>
      <c r="H3977" s="1"/>
    </row>
    <row r="3978" spans="5:8" ht="12.75">
      <c r="E3978" s="1"/>
      <c r="F3978" s="1"/>
      <c r="G3978" s="1"/>
      <c r="H3978" s="1"/>
    </row>
    <row r="3979" spans="5:8" ht="12.75">
      <c r="E3979" s="1"/>
      <c r="F3979" s="1"/>
      <c r="G3979" s="1"/>
      <c r="H3979" s="1"/>
    </row>
    <row r="3980" spans="5:8" ht="12.75">
      <c r="E3980" s="1"/>
      <c r="F3980" s="1"/>
      <c r="G3980" s="1"/>
      <c r="H3980" s="1"/>
    </row>
    <row r="3981" spans="5:8" ht="12.75">
      <c r="E3981" s="1"/>
      <c r="F3981" s="1"/>
      <c r="G3981" s="1"/>
      <c r="H3981" s="1"/>
    </row>
    <row r="3982" spans="5:8" ht="12.75">
      <c r="E3982" s="1"/>
      <c r="F3982" s="1"/>
      <c r="G3982" s="1"/>
      <c r="H3982" s="1"/>
    </row>
    <row r="3983" spans="5:8" ht="12.75">
      <c r="E3983" s="1"/>
      <c r="F3983" s="1"/>
      <c r="G3983" s="1"/>
      <c r="H3983" s="1"/>
    </row>
    <row r="3984" spans="5:8" ht="12.75">
      <c r="E3984" s="1"/>
      <c r="F3984" s="1"/>
      <c r="G3984" s="1"/>
      <c r="H3984" s="1"/>
    </row>
    <row r="3985" spans="5:8" ht="12.75">
      <c r="E3985" s="1"/>
      <c r="F3985" s="1"/>
      <c r="G3985" s="1"/>
      <c r="H3985" s="1"/>
    </row>
    <row r="3986" spans="5:8" ht="12.75">
      <c r="E3986" s="1"/>
      <c r="F3986" s="1"/>
      <c r="G3986" s="1"/>
      <c r="H3986" s="1"/>
    </row>
    <row r="3987" spans="5:8" ht="12.75">
      <c r="E3987" s="1"/>
      <c r="F3987" s="1"/>
      <c r="G3987" s="1"/>
      <c r="H3987" s="1"/>
    </row>
    <row r="3988" spans="5:8" ht="12.75">
      <c r="E3988" s="1"/>
      <c r="F3988" s="1"/>
      <c r="G3988" s="1"/>
      <c r="H3988" s="1"/>
    </row>
    <row r="3989" spans="5:8" ht="12.75">
      <c r="E3989" s="1"/>
      <c r="F3989" s="1"/>
      <c r="G3989" s="1"/>
      <c r="H3989" s="1"/>
    </row>
    <row r="3990" spans="5:8" ht="12.75">
      <c r="E3990" s="1"/>
      <c r="F3990" s="1"/>
      <c r="G3990" s="1"/>
      <c r="H3990" s="1"/>
    </row>
    <row r="3991" spans="5:8" ht="12.75">
      <c r="E3991" s="1"/>
      <c r="F3991" s="1"/>
      <c r="G3991" s="1"/>
      <c r="H3991" s="1"/>
    </row>
    <row r="3992" spans="5:8" ht="12.75">
      <c r="E3992" s="1"/>
      <c r="F3992" s="1"/>
      <c r="G3992" s="1"/>
      <c r="H3992" s="1"/>
    </row>
    <row r="3993" spans="5:8" ht="12.75">
      <c r="E3993" s="1"/>
      <c r="F3993" s="1"/>
      <c r="G3993" s="1"/>
      <c r="H3993" s="1"/>
    </row>
    <row r="3994" spans="5:8" ht="12.75">
      <c r="E3994" s="1"/>
      <c r="F3994" s="1"/>
      <c r="G3994" s="1"/>
      <c r="H3994" s="1"/>
    </row>
    <row r="3995" spans="5:8" ht="12.75">
      <c r="E3995" s="1"/>
      <c r="F3995" s="1"/>
      <c r="G3995" s="1"/>
      <c r="H3995" s="1"/>
    </row>
    <row r="3996" spans="5:8" ht="12.75">
      <c r="E3996" s="1"/>
      <c r="F3996" s="1"/>
      <c r="G3996" s="1"/>
      <c r="H3996" s="1"/>
    </row>
    <row r="3997" spans="5:8" ht="12.75">
      <c r="E3997" s="1"/>
      <c r="F3997" s="1"/>
      <c r="G3997" s="1"/>
      <c r="H3997" s="1"/>
    </row>
    <row r="3998" spans="5:8" ht="12.75">
      <c r="E3998" s="1"/>
      <c r="F3998" s="1"/>
      <c r="G3998" s="1"/>
      <c r="H3998" s="1"/>
    </row>
    <row r="3999" spans="5:8" ht="12.75">
      <c r="E3999" s="1"/>
      <c r="F3999" s="1"/>
      <c r="G3999" s="1"/>
      <c r="H3999" s="1"/>
    </row>
    <row r="4000" spans="5:8" ht="12.75">
      <c r="E4000" s="1"/>
      <c r="F4000" s="1"/>
      <c r="G4000" s="1"/>
      <c r="H4000" s="1"/>
    </row>
    <row r="4001" spans="5:8" ht="12.75">
      <c r="E4001" s="1"/>
      <c r="F4001" s="1"/>
      <c r="G4001" s="1"/>
      <c r="H4001" s="1"/>
    </row>
    <row r="4002" spans="5:8" ht="12.75">
      <c r="E4002" s="1"/>
      <c r="F4002" s="1"/>
      <c r="G4002" s="1"/>
      <c r="H4002" s="1"/>
    </row>
    <row r="4003" spans="5:8" ht="12.75">
      <c r="E4003" s="1"/>
      <c r="F4003" s="1"/>
      <c r="G4003" s="1"/>
      <c r="H4003" s="1"/>
    </row>
    <row r="4004" spans="5:8" ht="12.75">
      <c r="E4004" s="1"/>
      <c r="F4004" s="1"/>
      <c r="G4004" s="1"/>
      <c r="H4004" s="1"/>
    </row>
    <row r="4005" spans="5:8" ht="12.75">
      <c r="E4005" s="1"/>
      <c r="F4005" s="1"/>
      <c r="G4005" s="1"/>
      <c r="H4005" s="1"/>
    </row>
    <row r="4006" spans="5:8" ht="12.75">
      <c r="E4006" s="1"/>
      <c r="F4006" s="1"/>
      <c r="G4006" s="1"/>
      <c r="H4006" s="1"/>
    </row>
    <row r="4007" spans="5:8" ht="12.75">
      <c r="E4007" s="1"/>
      <c r="F4007" s="1"/>
      <c r="G4007" s="1"/>
      <c r="H4007" s="1"/>
    </row>
    <row r="4008" spans="5:8" ht="12.75">
      <c r="E4008" s="1"/>
      <c r="F4008" s="1"/>
      <c r="G4008" s="1"/>
      <c r="H4008" s="1"/>
    </row>
    <row r="4009" spans="5:8" ht="12.75">
      <c r="E4009" s="1"/>
      <c r="F4009" s="1"/>
      <c r="G4009" s="1"/>
      <c r="H4009" s="1"/>
    </row>
    <row r="4010" spans="5:8" ht="12.75">
      <c r="E4010" s="1"/>
      <c r="F4010" s="1"/>
      <c r="G4010" s="1"/>
      <c r="H4010" s="1"/>
    </row>
    <row r="4011" spans="5:8" ht="12.75">
      <c r="E4011" s="1"/>
      <c r="F4011" s="1"/>
      <c r="G4011" s="1"/>
      <c r="H4011" s="1"/>
    </row>
    <row r="4012" spans="5:8" ht="12.75">
      <c r="E4012" s="1"/>
      <c r="F4012" s="1"/>
      <c r="G4012" s="1"/>
      <c r="H4012" s="1"/>
    </row>
    <row r="4013" spans="5:8" ht="12.75">
      <c r="E4013" s="1"/>
      <c r="F4013" s="1"/>
      <c r="G4013" s="1"/>
      <c r="H4013" s="1"/>
    </row>
    <row r="4014" spans="5:8" ht="12.75">
      <c r="E4014" s="1"/>
      <c r="F4014" s="1"/>
      <c r="G4014" s="1"/>
      <c r="H4014" s="1"/>
    </row>
    <row r="4015" spans="5:8" ht="12.75">
      <c r="E4015" s="1"/>
      <c r="F4015" s="1"/>
      <c r="G4015" s="1"/>
      <c r="H4015" s="1"/>
    </row>
    <row r="4016" spans="5:8" ht="12.75">
      <c r="E4016" s="1"/>
      <c r="F4016" s="1"/>
      <c r="G4016" s="1"/>
      <c r="H4016" s="1"/>
    </row>
    <row r="4017" spans="5:8" ht="12.75">
      <c r="E4017" s="1"/>
      <c r="F4017" s="1"/>
      <c r="G4017" s="1"/>
      <c r="H4017" s="1"/>
    </row>
    <row r="4018" spans="5:8" ht="12.75">
      <c r="E4018" s="1"/>
      <c r="F4018" s="1"/>
      <c r="G4018" s="1"/>
      <c r="H4018" s="1"/>
    </row>
    <row r="4019" spans="5:8" ht="12.75">
      <c r="E4019" s="1"/>
      <c r="F4019" s="1"/>
      <c r="G4019" s="1"/>
      <c r="H4019" s="1"/>
    </row>
    <row r="4020" spans="5:8" ht="12.75">
      <c r="E4020" s="1"/>
      <c r="F4020" s="1"/>
      <c r="G4020" s="1"/>
      <c r="H4020" s="1"/>
    </row>
    <row r="4021" spans="5:8" ht="12.75">
      <c r="E4021" s="1"/>
      <c r="F4021" s="1"/>
      <c r="G4021" s="1"/>
      <c r="H4021" s="1"/>
    </row>
    <row r="4022" spans="5:8" ht="12.75">
      <c r="E4022" s="1"/>
      <c r="F4022" s="1"/>
      <c r="G4022" s="1"/>
      <c r="H4022" s="1"/>
    </row>
    <row r="4023" spans="5:8" ht="12.75">
      <c r="E4023" s="1"/>
      <c r="F4023" s="1"/>
      <c r="G4023" s="1"/>
      <c r="H4023" s="1"/>
    </row>
    <row r="4024" spans="5:8" ht="12.75">
      <c r="E4024" s="1"/>
      <c r="F4024" s="1"/>
      <c r="G4024" s="1"/>
      <c r="H4024" s="1"/>
    </row>
    <row r="4025" spans="5:8" ht="12.75">
      <c r="E4025" s="1"/>
      <c r="F4025" s="1"/>
      <c r="G4025" s="1"/>
      <c r="H4025" s="1"/>
    </row>
    <row r="4026" spans="5:8" ht="12.75">
      <c r="E4026" s="1"/>
      <c r="F4026" s="1"/>
      <c r="G4026" s="1"/>
      <c r="H4026" s="1"/>
    </row>
    <row r="4027" spans="5:8" ht="12.75">
      <c r="E4027" s="1"/>
      <c r="F4027" s="1"/>
      <c r="G4027" s="1"/>
      <c r="H4027" s="1"/>
    </row>
    <row r="4028" spans="5:8" ht="12.75">
      <c r="E4028" s="1"/>
      <c r="F4028" s="1"/>
      <c r="G4028" s="1"/>
      <c r="H4028" s="1"/>
    </row>
    <row r="4029" spans="5:8" ht="12.75">
      <c r="E4029" s="1"/>
      <c r="F4029" s="1"/>
      <c r="G4029" s="1"/>
      <c r="H4029" s="1"/>
    </row>
    <row r="4030" spans="5:8" ht="12.75">
      <c r="E4030" s="1"/>
      <c r="F4030" s="1"/>
      <c r="G4030" s="1"/>
      <c r="H4030" s="1"/>
    </row>
    <row r="4031" spans="5:8" ht="12.75">
      <c r="E4031" s="1"/>
      <c r="F4031" s="1"/>
      <c r="G4031" s="1"/>
      <c r="H4031" s="1"/>
    </row>
    <row r="4032" spans="5:8" ht="12.75">
      <c r="E4032" s="1"/>
      <c r="F4032" s="1"/>
      <c r="G4032" s="1"/>
      <c r="H4032" s="1"/>
    </row>
    <row r="4033" spans="5:8" ht="12.75">
      <c r="E4033" s="1"/>
      <c r="F4033" s="1"/>
      <c r="G4033" s="1"/>
      <c r="H4033" s="1"/>
    </row>
    <row r="4034" spans="5:8" ht="12.75">
      <c r="E4034" s="1"/>
      <c r="F4034" s="1"/>
      <c r="G4034" s="1"/>
      <c r="H4034" s="1"/>
    </row>
    <row r="4035" spans="5:8" ht="12.75">
      <c r="E4035" s="1"/>
      <c r="F4035" s="1"/>
      <c r="G4035" s="1"/>
      <c r="H4035" s="1"/>
    </row>
    <row r="4036" spans="5:8" ht="12.75">
      <c r="E4036" s="1"/>
      <c r="F4036" s="1"/>
      <c r="G4036" s="1"/>
      <c r="H4036" s="1"/>
    </row>
    <row r="4037" spans="5:8" ht="12.75">
      <c r="E4037" s="1"/>
      <c r="F4037" s="1"/>
      <c r="G4037" s="1"/>
      <c r="H4037" s="1"/>
    </row>
    <row r="4038" spans="5:8" ht="12.75">
      <c r="E4038" s="1"/>
      <c r="F4038" s="1"/>
      <c r="G4038" s="1"/>
      <c r="H4038" s="1"/>
    </row>
    <row r="4039" spans="5:8" ht="12.75">
      <c r="E4039" s="1"/>
      <c r="F4039" s="1"/>
      <c r="G4039" s="1"/>
      <c r="H4039" s="1"/>
    </row>
    <row r="4040" spans="5:8" ht="12.75">
      <c r="E4040" s="1"/>
      <c r="F4040" s="1"/>
      <c r="G4040" s="1"/>
      <c r="H4040" s="1"/>
    </row>
    <row r="4041" spans="5:8" ht="12.75">
      <c r="E4041" s="1"/>
      <c r="F4041" s="1"/>
      <c r="G4041" s="1"/>
      <c r="H4041" s="1"/>
    </row>
    <row r="4042" spans="5:8" ht="12.75">
      <c r="E4042" s="1"/>
      <c r="F4042" s="1"/>
      <c r="G4042" s="1"/>
      <c r="H4042" s="1"/>
    </row>
    <row r="4043" spans="5:8" ht="12.75">
      <c r="E4043" s="1"/>
      <c r="F4043" s="1"/>
      <c r="G4043" s="1"/>
      <c r="H4043" s="1"/>
    </row>
    <row r="4044" spans="5:8" ht="12.75">
      <c r="E4044" s="1"/>
      <c r="F4044" s="1"/>
      <c r="G4044" s="1"/>
      <c r="H4044" s="1"/>
    </row>
    <row r="4045" spans="5:8" ht="12.75">
      <c r="E4045" s="1"/>
      <c r="F4045" s="1"/>
      <c r="G4045" s="1"/>
      <c r="H4045" s="1"/>
    </row>
    <row r="4046" spans="5:8" ht="12.75">
      <c r="E4046" s="1"/>
      <c r="F4046" s="1"/>
      <c r="G4046" s="1"/>
      <c r="H4046" s="1"/>
    </row>
    <row r="4047" spans="5:8" ht="12.75">
      <c r="E4047" s="1"/>
      <c r="F4047" s="1"/>
      <c r="G4047" s="1"/>
      <c r="H4047" s="1"/>
    </row>
    <row r="4048" spans="5:8" ht="12.75">
      <c r="E4048" s="1"/>
      <c r="F4048" s="1"/>
      <c r="G4048" s="1"/>
      <c r="H4048" s="1"/>
    </row>
    <row r="4049" spans="5:8" ht="12.75">
      <c r="E4049" s="1"/>
      <c r="F4049" s="1"/>
      <c r="G4049" s="1"/>
      <c r="H4049" s="1"/>
    </row>
    <row r="4050" spans="5:8" ht="12.75">
      <c r="E4050" s="1"/>
      <c r="F4050" s="1"/>
      <c r="G4050" s="1"/>
      <c r="H4050" s="1"/>
    </row>
    <row r="4051" spans="5:8" ht="12.75">
      <c r="E4051" s="1"/>
      <c r="F4051" s="1"/>
      <c r="G4051" s="1"/>
      <c r="H4051" s="1"/>
    </row>
    <row r="4052" spans="5:8" ht="12.75">
      <c r="E4052" s="1"/>
      <c r="F4052" s="1"/>
      <c r="G4052" s="1"/>
      <c r="H4052" s="1"/>
    </row>
    <row r="4053" spans="5:8" ht="12.75">
      <c r="E4053" s="1"/>
      <c r="F4053" s="1"/>
      <c r="G4053" s="1"/>
      <c r="H4053" s="1"/>
    </row>
    <row r="4054" spans="5:8" ht="12.75">
      <c r="E4054" s="1"/>
      <c r="F4054" s="1"/>
      <c r="G4054" s="1"/>
      <c r="H4054" s="1"/>
    </row>
    <row r="4055" spans="5:8" ht="12.75">
      <c r="E4055" s="1"/>
      <c r="F4055" s="1"/>
      <c r="G4055" s="1"/>
      <c r="H4055" s="1"/>
    </row>
    <row r="4056" spans="5:8" ht="12.75">
      <c r="E4056" s="1"/>
      <c r="F4056" s="1"/>
      <c r="G4056" s="1"/>
      <c r="H4056" s="1"/>
    </row>
    <row r="4057" spans="5:8" ht="12.75">
      <c r="E4057" s="1"/>
      <c r="F4057" s="1"/>
      <c r="G4057" s="1"/>
      <c r="H4057" s="1"/>
    </row>
    <row r="4058" spans="5:8" ht="12.75">
      <c r="E4058" s="1"/>
      <c r="F4058" s="1"/>
      <c r="G4058" s="1"/>
      <c r="H4058" s="1"/>
    </row>
    <row r="4059" spans="5:8" ht="12.75">
      <c r="E4059" s="1"/>
      <c r="F4059" s="1"/>
      <c r="G4059" s="1"/>
      <c r="H4059" s="1"/>
    </row>
    <row r="4060" spans="5:8" ht="12.75">
      <c r="E4060" s="1"/>
      <c r="F4060" s="1"/>
      <c r="G4060" s="1"/>
      <c r="H4060" s="1"/>
    </row>
    <row r="4061" spans="5:8" ht="12.75">
      <c r="E4061" s="1"/>
      <c r="F4061" s="1"/>
      <c r="G4061" s="1"/>
      <c r="H4061" s="1"/>
    </row>
    <row r="4062" spans="5:8" ht="12.75">
      <c r="E4062" s="1"/>
      <c r="F4062" s="1"/>
      <c r="G4062" s="1"/>
      <c r="H4062" s="1"/>
    </row>
    <row r="4063" spans="5:8" ht="12.75">
      <c r="E4063" s="1"/>
      <c r="F4063" s="1"/>
      <c r="G4063" s="1"/>
      <c r="H4063" s="1"/>
    </row>
    <row r="4064" spans="5:8" ht="12.75">
      <c r="E4064" s="1"/>
      <c r="F4064" s="1"/>
      <c r="G4064" s="1"/>
      <c r="H4064" s="1"/>
    </row>
    <row r="4065" spans="5:8" ht="12.75">
      <c r="E4065" s="1"/>
      <c r="F4065" s="1"/>
      <c r="G4065" s="1"/>
      <c r="H4065" s="1"/>
    </row>
    <row r="4066" spans="5:8" ht="12.75">
      <c r="E4066" s="1"/>
      <c r="F4066" s="1"/>
      <c r="G4066" s="1"/>
      <c r="H4066" s="1"/>
    </row>
    <row r="4067" spans="5:8" ht="12.75">
      <c r="E4067" s="1"/>
      <c r="F4067" s="1"/>
      <c r="G4067" s="1"/>
      <c r="H4067" s="1"/>
    </row>
    <row r="4068" spans="5:8" ht="12.75">
      <c r="E4068" s="1"/>
      <c r="F4068" s="1"/>
      <c r="G4068" s="1"/>
      <c r="H4068" s="1"/>
    </row>
    <row r="4069" spans="5:8" ht="12.75">
      <c r="E4069" s="1"/>
      <c r="F4069" s="1"/>
      <c r="G4069" s="1"/>
      <c r="H4069" s="1"/>
    </row>
    <row r="4070" spans="5:8" ht="12.75">
      <c r="E4070" s="1"/>
      <c r="F4070" s="1"/>
      <c r="G4070" s="1"/>
      <c r="H4070" s="1"/>
    </row>
    <row r="4071" spans="5:8" ht="12.75">
      <c r="E4071" s="1"/>
      <c r="F4071" s="1"/>
      <c r="G4071" s="1"/>
      <c r="H4071" s="1"/>
    </row>
    <row r="4072" spans="5:8" ht="12.75">
      <c r="E4072" s="1"/>
      <c r="F4072" s="1"/>
      <c r="G4072" s="1"/>
      <c r="H4072" s="1"/>
    </row>
    <row r="4073" spans="5:8" ht="12.75">
      <c r="E4073" s="1"/>
      <c r="F4073" s="1"/>
      <c r="G4073" s="1"/>
      <c r="H4073" s="1"/>
    </row>
    <row r="4074" spans="5:8" ht="12.75">
      <c r="E4074" s="1"/>
      <c r="F4074" s="1"/>
      <c r="G4074" s="1"/>
      <c r="H4074" s="1"/>
    </row>
    <row r="4075" spans="5:8" ht="12.75">
      <c r="E4075" s="1"/>
      <c r="F4075" s="1"/>
      <c r="G4075" s="1"/>
      <c r="H4075" s="1"/>
    </row>
    <row r="4076" spans="5:8" ht="12.75">
      <c r="E4076" s="1"/>
      <c r="F4076" s="1"/>
      <c r="G4076" s="1"/>
      <c r="H4076" s="1"/>
    </row>
    <row r="4077" spans="5:8" ht="12.75">
      <c r="E4077" s="1"/>
      <c r="F4077" s="1"/>
      <c r="G4077" s="1"/>
      <c r="H4077" s="1"/>
    </row>
    <row r="4078" spans="5:8" ht="12.75">
      <c r="E4078" s="1"/>
      <c r="F4078" s="1"/>
      <c r="G4078" s="1"/>
      <c r="H4078" s="1"/>
    </row>
    <row r="4079" spans="5:8" ht="12.75">
      <c r="E4079" s="1"/>
      <c r="F4079" s="1"/>
      <c r="G4079" s="1"/>
      <c r="H4079" s="1"/>
    </row>
    <row r="4080" spans="5:8" ht="12.75">
      <c r="E4080" s="1"/>
      <c r="F4080" s="1"/>
      <c r="G4080" s="1"/>
      <c r="H4080" s="1"/>
    </row>
    <row r="4081" spans="5:8" ht="12.75">
      <c r="E4081" s="1"/>
      <c r="F4081" s="1"/>
      <c r="G4081" s="1"/>
      <c r="H4081" s="1"/>
    </row>
    <row r="4082" spans="5:8" ht="12.75">
      <c r="E4082" s="1"/>
      <c r="F4082" s="1"/>
      <c r="G4082" s="1"/>
      <c r="H4082" s="1"/>
    </row>
    <row r="4083" spans="5:8" ht="12.75">
      <c r="E4083" s="1"/>
      <c r="F4083" s="1"/>
      <c r="G4083" s="1"/>
      <c r="H4083" s="1"/>
    </row>
    <row r="4084" spans="5:8" ht="12.75">
      <c r="E4084" s="1"/>
      <c r="F4084" s="1"/>
      <c r="G4084" s="1"/>
      <c r="H4084" s="1"/>
    </row>
    <row r="4085" spans="5:8" ht="12.75">
      <c r="E4085" s="1"/>
      <c r="F4085" s="1"/>
      <c r="G4085" s="1"/>
      <c r="H4085" s="1"/>
    </row>
    <row r="4086" spans="5:8" ht="12.75">
      <c r="E4086" s="1"/>
      <c r="F4086" s="1"/>
      <c r="G4086" s="1"/>
      <c r="H4086" s="1"/>
    </row>
    <row r="4087" spans="5:8" ht="12.75">
      <c r="E4087" s="1"/>
      <c r="F4087" s="1"/>
      <c r="G4087" s="1"/>
      <c r="H4087" s="1"/>
    </row>
    <row r="4088" spans="5:8" ht="12.75">
      <c r="E4088" s="1"/>
      <c r="F4088" s="1"/>
      <c r="G4088" s="1"/>
      <c r="H4088" s="1"/>
    </row>
    <row r="4089" spans="5:8" ht="12.75">
      <c r="E4089" s="1"/>
      <c r="F4089" s="1"/>
      <c r="G4089" s="1"/>
      <c r="H4089" s="1"/>
    </row>
    <row r="4090" spans="5:8" ht="12.75">
      <c r="E4090" s="1"/>
      <c r="F4090" s="1"/>
      <c r="G4090" s="1"/>
      <c r="H4090" s="1"/>
    </row>
    <row r="4091" spans="5:8" ht="12.75">
      <c r="E4091" s="1"/>
      <c r="F4091" s="1"/>
      <c r="G4091" s="1"/>
      <c r="H4091" s="1"/>
    </row>
    <row r="4092" spans="5:8" ht="12.75">
      <c r="E4092" s="1"/>
      <c r="F4092" s="1"/>
      <c r="G4092" s="1"/>
      <c r="H4092" s="1"/>
    </row>
    <row r="4093" spans="5:8" ht="12.75">
      <c r="E4093" s="1"/>
      <c r="F4093" s="1"/>
      <c r="G4093" s="1"/>
      <c r="H4093" s="1"/>
    </row>
    <row r="4094" spans="5:8" ht="12.75">
      <c r="E4094" s="1"/>
      <c r="F4094" s="1"/>
      <c r="G4094" s="1"/>
      <c r="H4094" s="1"/>
    </row>
    <row r="4095" spans="5:8" ht="12.75">
      <c r="E4095" s="1"/>
      <c r="F4095" s="1"/>
      <c r="G4095" s="1"/>
      <c r="H4095" s="1"/>
    </row>
    <row r="4096" spans="5:8" ht="12.75">
      <c r="E4096" s="1"/>
      <c r="F4096" s="1"/>
      <c r="G4096" s="1"/>
      <c r="H4096" s="1"/>
    </row>
    <row r="4097" spans="5:8" ht="12.75">
      <c r="E4097" s="1"/>
      <c r="F4097" s="1"/>
      <c r="G4097" s="1"/>
      <c r="H4097" s="1"/>
    </row>
    <row r="4098" spans="5:8" ht="12.75">
      <c r="E4098" s="1"/>
      <c r="F4098" s="1"/>
      <c r="G4098" s="1"/>
      <c r="H4098" s="1"/>
    </row>
    <row r="4099" spans="5:8" ht="12.75">
      <c r="E4099" s="1"/>
      <c r="F4099" s="1"/>
      <c r="G4099" s="1"/>
      <c r="H4099" s="1"/>
    </row>
    <row r="4100" spans="5:8" ht="12.75">
      <c r="E4100" s="1"/>
      <c r="F4100" s="1"/>
      <c r="G4100" s="1"/>
      <c r="H4100" s="1"/>
    </row>
    <row r="4101" spans="5:8" ht="12.75">
      <c r="E4101" s="1"/>
      <c r="F4101" s="1"/>
      <c r="G4101" s="1"/>
      <c r="H4101" s="1"/>
    </row>
    <row r="4102" spans="5:8" ht="12.75">
      <c r="E4102" s="1"/>
      <c r="F4102" s="1"/>
      <c r="G4102" s="1"/>
      <c r="H4102" s="1"/>
    </row>
    <row r="4103" spans="5:8" ht="12.75">
      <c r="E4103" s="1"/>
      <c r="F4103" s="1"/>
      <c r="G4103" s="1"/>
      <c r="H4103" s="1"/>
    </row>
    <row r="4104" spans="5:8" ht="12.75">
      <c r="E4104" s="1"/>
      <c r="F4104" s="1"/>
      <c r="G4104" s="1"/>
      <c r="H4104" s="1"/>
    </row>
    <row r="4105" spans="5:8" ht="12.75">
      <c r="E4105" s="1"/>
      <c r="F4105" s="1"/>
      <c r="G4105" s="1"/>
      <c r="H4105" s="1"/>
    </row>
    <row r="4106" spans="5:8" ht="12.75">
      <c r="E4106" s="1"/>
      <c r="F4106" s="1"/>
      <c r="G4106" s="1"/>
      <c r="H4106" s="1"/>
    </row>
    <row r="4107" spans="5:8" ht="12.75">
      <c r="E4107" s="1"/>
      <c r="F4107" s="1"/>
      <c r="G4107" s="1"/>
      <c r="H4107" s="1"/>
    </row>
    <row r="4108" spans="5:8" ht="12.75">
      <c r="E4108" s="1"/>
      <c r="F4108" s="1"/>
      <c r="G4108" s="1"/>
      <c r="H4108" s="1"/>
    </row>
    <row r="4109" spans="5:8" ht="12.75">
      <c r="E4109" s="1"/>
      <c r="F4109" s="1"/>
      <c r="G4109" s="1"/>
      <c r="H4109" s="1"/>
    </row>
    <row r="4110" spans="5:8" ht="12.75">
      <c r="E4110" s="1"/>
      <c r="F4110" s="1"/>
      <c r="G4110" s="1"/>
      <c r="H4110" s="1"/>
    </row>
    <row r="4111" spans="5:8" ht="12.75">
      <c r="E4111" s="1"/>
      <c r="F4111" s="1"/>
      <c r="G4111" s="1"/>
      <c r="H4111" s="1"/>
    </row>
    <row r="4112" spans="5:8" ht="12.75">
      <c r="E4112" s="1"/>
      <c r="F4112" s="1"/>
      <c r="G4112" s="1"/>
      <c r="H4112" s="1"/>
    </row>
    <row r="4113" spans="5:8" ht="12.75">
      <c r="E4113" s="1"/>
      <c r="F4113" s="1"/>
      <c r="G4113" s="1"/>
      <c r="H4113" s="1"/>
    </row>
    <row r="4114" spans="5:8" ht="12.75">
      <c r="E4114" s="1"/>
      <c r="F4114" s="1"/>
      <c r="G4114" s="1"/>
      <c r="H4114" s="1"/>
    </row>
    <row r="4115" spans="5:8" ht="12.75">
      <c r="E4115" s="1"/>
      <c r="F4115" s="1"/>
      <c r="G4115" s="1"/>
      <c r="H4115" s="1"/>
    </row>
    <row r="4116" spans="5:8" ht="12.75">
      <c r="E4116" s="1"/>
      <c r="F4116" s="1"/>
      <c r="G4116" s="1"/>
      <c r="H4116" s="1"/>
    </row>
    <row r="4117" spans="5:8" ht="12.75">
      <c r="E4117" s="1"/>
      <c r="F4117" s="1"/>
      <c r="G4117" s="1"/>
      <c r="H4117" s="1"/>
    </row>
    <row r="4118" spans="5:8" ht="12.75">
      <c r="E4118" s="1"/>
      <c r="F4118" s="1"/>
      <c r="G4118" s="1"/>
      <c r="H4118" s="1"/>
    </row>
    <row r="4119" spans="5:8" ht="12.75">
      <c r="E4119" s="1"/>
      <c r="F4119" s="1"/>
      <c r="G4119" s="1"/>
      <c r="H4119" s="1"/>
    </row>
    <row r="4120" spans="5:8" ht="12.75">
      <c r="E4120" s="1"/>
      <c r="F4120" s="1"/>
      <c r="G4120" s="1"/>
      <c r="H4120" s="1"/>
    </row>
    <row r="4121" spans="5:8" ht="12.75">
      <c r="E4121" s="1"/>
      <c r="F4121" s="1"/>
      <c r="G4121" s="1"/>
      <c r="H4121" s="1"/>
    </row>
    <row r="4122" spans="5:8" ht="12.75">
      <c r="E4122" s="1"/>
      <c r="F4122" s="1"/>
      <c r="G4122" s="1"/>
      <c r="H4122" s="1"/>
    </row>
    <row r="4123" spans="5:8" ht="12.75">
      <c r="E4123" s="1"/>
      <c r="F4123" s="1"/>
      <c r="G4123" s="1"/>
      <c r="H4123" s="1"/>
    </row>
    <row r="4124" spans="5:8" ht="12.75">
      <c r="E4124" s="1"/>
      <c r="F4124" s="1"/>
      <c r="G4124" s="1"/>
      <c r="H4124" s="1"/>
    </row>
    <row r="4125" spans="5:8" ht="12.75">
      <c r="E4125" s="1"/>
      <c r="F4125" s="1"/>
      <c r="G4125" s="1"/>
      <c r="H4125" s="1"/>
    </row>
    <row r="4126" spans="5:8" ht="12.75">
      <c r="E4126" s="1"/>
      <c r="F4126" s="1"/>
      <c r="G4126" s="1"/>
      <c r="H4126" s="1"/>
    </row>
    <row r="4127" spans="5:8" ht="12.75">
      <c r="E4127" s="1"/>
      <c r="F4127" s="1"/>
      <c r="G4127" s="1"/>
      <c r="H4127" s="1"/>
    </row>
    <row r="4128" spans="5:8" ht="12.75">
      <c r="E4128" s="1"/>
      <c r="F4128" s="1"/>
      <c r="G4128" s="1"/>
      <c r="H4128" s="1"/>
    </row>
    <row r="4129" spans="5:8" ht="12.75">
      <c r="E4129" s="1"/>
      <c r="F4129" s="1"/>
      <c r="G4129" s="1"/>
      <c r="H4129" s="1"/>
    </row>
    <row r="4130" spans="5:8" ht="12.75">
      <c r="E4130" s="1"/>
      <c r="F4130" s="1"/>
      <c r="G4130" s="1"/>
      <c r="H4130" s="1"/>
    </row>
    <row r="4131" spans="5:8" ht="12.75">
      <c r="E4131" s="1"/>
      <c r="F4131" s="1"/>
      <c r="G4131" s="1"/>
      <c r="H4131" s="1"/>
    </row>
    <row r="4132" spans="5:8" ht="12.75">
      <c r="E4132" s="1"/>
      <c r="F4132" s="1"/>
      <c r="G4132" s="1"/>
      <c r="H4132" s="1"/>
    </row>
    <row r="4133" spans="5:8" ht="12.75">
      <c r="E4133" s="1"/>
      <c r="F4133" s="1"/>
      <c r="G4133" s="1"/>
      <c r="H4133" s="1"/>
    </row>
    <row r="4134" spans="5:8" ht="12.75">
      <c r="E4134" s="1"/>
      <c r="F4134" s="1"/>
      <c r="G4134" s="1"/>
      <c r="H4134" s="1"/>
    </row>
    <row r="4135" spans="5:8" ht="12.75">
      <c r="E4135" s="1"/>
      <c r="F4135" s="1"/>
      <c r="G4135" s="1"/>
      <c r="H4135" s="1"/>
    </row>
    <row r="4136" spans="5:8" ht="12.75">
      <c r="E4136" s="1"/>
      <c r="F4136" s="1"/>
      <c r="G4136" s="1"/>
      <c r="H4136" s="1"/>
    </row>
    <row r="4137" spans="5:8" ht="12.75">
      <c r="E4137" s="1"/>
      <c r="F4137" s="1"/>
      <c r="G4137" s="1"/>
      <c r="H4137" s="1"/>
    </row>
    <row r="4138" spans="5:8" ht="12.75">
      <c r="E4138" s="1"/>
      <c r="F4138" s="1"/>
      <c r="G4138" s="1"/>
      <c r="H4138" s="1"/>
    </row>
    <row r="4139" spans="5:8" ht="12.75">
      <c r="E4139" s="1"/>
      <c r="F4139" s="1"/>
      <c r="G4139" s="1"/>
      <c r="H4139" s="1"/>
    </row>
    <row r="4140" spans="5:8" ht="12.75">
      <c r="E4140" s="1"/>
      <c r="F4140" s="1"/>
      <c r="G4140" s="1"/>
      <c r="H4140" s="1"/>
    </row>
    <row r="4141" spans="5:8" ht="12.75">
      <c r="E4141" s="1"/>
      <c r="F4141" s="1"/>
      <c r="G4141" s="1"/>
      <c r="H4141" s="1"/>
    </row>
    <row r="4142" spans="5:8" ht="12.75">
      <c r="E4142" s="1"/>
      <c r="F4142" s="1"/>
      <c r="G4142" s="1"/>
      <c r="H4142" s="1"/>
    </row>
    <row r="4143" spans="5:8" ht="12.75">
      <c r="E4143" s="1"/>
      <c r="F4143" s="1"/>
      <c r="G4143" s="1"/>
      <c r="H4143" s="1"/>
    </row>
    <row r="4144" spans="5:8" ht="12.75">
      <c r="E4144" s="1"/>
      <c r="F4144" s="1"/>
      <c r="G4144" s="1"/>
      <c r="H4144" s="1"/>
    </row>
    <row r="4145" spans="5:8" ht="12.75">
      <c r="E4145" s="1"/>
      <c r="F4145" s="1"/>
      <c r="G4145" s="1"/>
      <c r="H4145" s="1"/>
    </row>
    <row r="4146" spans="5:8" ht="12.75">
      <c r="E4146" s="1"/>
      <c r="F4146" s="1"/>
      <c r="G4146" s="1"/>
      <c r="H4146" s="1"/>
    </row>
    <row r="4147" spans="5:8" ht="12.75">
      <c r="E4147" s="1"/>
      <c r="F4147" s="1"/>
      <c r="G4147" s="1"/>
      <c r="H4147" s="1"/>
    </row>
    <row r="4148" spans="5:8" ht="12.75">
      <c r="E4148" s="1"/>
      <c r="F4148" s="1"/>
      <c r="G4148" s="1"/>
      <c r="H4148" s="1"/>
    </row>
    <row r="4149" spans="5:8" ht="12.75">
      <c r="E4149" s="1"/>
      <c r="F4149" s="1"/>
      <c r="G4149" s="1"/>
      <c r="H4149" s="1"/>
    </row>
    <row r="4150" spans="5:8" ht="12.75">
      <c r="E4150" s="1"/>
      <c r="F4150" s="1"/>
      <c r="G4150" s="1"/>
      <c r="H4150" s="1"/>
    </row>
    <row r="4151" spans="5:8" ht="12.75">
      <c r="E4151" s="1"/>
      <c r="F4151" s="1"/>
      <c r="G4151" s="1"/>
      <c r="H4151" s="1"/>
    </row>
    <row r="4152" spans="5:8" ht="12.75">
      <c r="E4152" s="1"/>
      <c r="F4152" s="1"/>
      <c r="G4152" s="1"/>
      <c r="H4152" s="1"/>
    </row>
    <row r="4153" spans="5:8" ht="12.75">
      <c r="E4153" s="1"/>
      <c r="F4153" s="1"/>
      <c r="G4153" s="1"/>
      <c r="H4153" s="1"/>
    </row>
    <row r="4154" spans="5:8" ht="12.75">
      <c r="E4154" s="1"/>
      <c r="F4154" s="1"/>
      <c r="G4154" s="1"/>
      <c r="H4154" s="1"/>
    </row>
    <row r="4155" spans="5:8" ht="12.75">
      <c r="E4155" s="1"/>
      <c r="F4155" s="1"/>
      <c r="G4155" s="1"/>
      <c r="H4155" s="1"/>
    </row>
    <row r="4156" spans="5:8" ht="12.75">
      <c r="E4156" s="1"/>
      <c r="F4156" s="1"/>
      <c r="G4156" s="1"/>
      <c r="H4156" s="1"/>
    </row>
    <row r="4157" spans="5:8" ht="12.75">
      <c r="E4157" s="1"/>
      <c r="F4157" s="1"/>
      <c r="G4157" s="1"/>
      <c r="H4157" s="1"/>
    </row>
    <row r="4158" spans="5:8" ht="12.75">
      <c r="E4158" s="1"/>
      <c r="F4158" s="1"/>
      <c r="G4158" s="1"/>
      <c r="H4158" s="1"/>
    </row>
    <row r="4159" spans="5:8" ht="12.75">
      <c r="E4159" s="1"/>
      <c r="F4159" s="1"/>
      <c r="G4159" s="1"/>
      <c r="H4159" s="1"/>
    </row>
    <row r="4160" spans="5:8" ht="12.75">
      <c r="E4160" s="1"/>
      <c r="F4160" s="1"/>
      <c r="G4160" s="1"/>
      <c r="H4160" s="1"/>
    </row>
    <row r="4161" spans="5:8" ht="12.75">
      <c r="E4161" s="1"/>
      <c r="F4161" s="1"/>
      <c r="G4161" s="1"/>
      <c r="H4161" s="1"/>
    </row>
    <row r="4162" spans="5:8" ht="12.75">
      <c r="E4162" s="1"/>
      <c r="F4162" s="1"/>
      <c r="G4162" s="1"/>
      <c r="H4162" s="1"/>
    </row>
    <row r="4163" spans="5:8" ht="12.75">
      <c r="E4163" s="1"/>
      <c r="F4163" s="1"/>
      <c r="G4163" s="1"/>
      <c r="H4163" s="1"/>
    </row>
    <row r="4164" spans="5:8" ht="12.75">
      <c r="E4164" s="1"/>
      <c r="F4164" s="1"/>
      <c r="G4164" s="1"/>
      <c r="H4164" s="1"/>
    </row>
    <row r="4165" spans="5:8" ht="12.75">
      <c r="E4165" s="1"/>
      <c r="F4165" s="1"/>
      <c r="G4165" s="1"/>
      <c r="H4165" s="1"/>
    </row>
    <row r="4166" spans="5:8" ht="12.75">
      <c r="E4166" s="1"/>
      <c r="F4166" s="1"/>
      <c r="G4166" s="1"/>
      <c r="H4166" s="1"/>
    </row>
    <row r="4167" spans="5:8" ht="12.75">
      <c r="E4167" s="1"/>
      <c r="F4167" s="1"/>
      <c r="G4167" s="1"/>
      <c r="H4167" s="1"/>
    </row>
    <row r="4168" spans="5:8" ht="12.75">
      <c r="E4168" s="1"/>
      <c r="F4168" s="1"/>
      <c r="G4168" s="1"/>
      <c r="H4168" s="1"/>
    </row>
    <row r="4169" spans="5:8" ht="12.75">
      <c r="E4169" s="1"/>
      <c r="F4169" s="1"/>
      <c r="G4169" s="1"/>
      <c r="H4169" s="1"/>
    </row>
    <row r="4170" spans="5:8" ht="12.75">
      <c r="E4170" s="1"/>
      <c r="F4170" s="1"/>
      <c r="G4170" s="1"/>
      <c r="H4170" s="1"/>
    </row>
    <row r="4171" spans="5:8" ht="12.75">
      <c r="E4171" s="1"/>
      <c r="F4171" s="1"/>
      <c r="G4171" s="1"/>
      <c r="H4171" s="1"/>
    </row>
    <row r="4172" spans="5:8" ht="12.75">
      <c r="E4172" s="1"/>
      <c r="F4172" s="1"/>
      <c r="G4172" s="1"/>
      <c r="H4172" s="1"/>
    </row>
    <row r="4173" spans="5:8" ht="12.75">
      <c r="E4173" s="1"/>
      <c r="F4173" s="1"/>
      <c r="G4173" s="1"/>
      <c r="H4173" s="1"/>
    </row>
    <row r="4174" spans="5:8" ht="12.75">
      <c r="E4174" s="1"/>
      <c r="F4174" s="1"/>
      <c r="G4174" s="1"/>
      <c r="H4174" s="1"/>
    </row>
    <row r="4175" spans="5:8" ht="12.75">
      <c r="E4175" s="1"/>
      <c r="F4175" s="1"/>
      <c r="G4175" s="1"/>
      <c r="H4175" s="1"/>
    </row>
    <row r="4176" spans="5:8" ht="12.75">
      <c r="E4176" s="1"/>
      <c r="F4176" s="1"/>
      <c r="G4176" s="1"/>
      <c r="H4176" s="1"/>
    </row>
    <row r="4177" spans="5:8" ht="12.75">
      <c r="E4177" s="1"/>
      <c r="F4177" s="1"/>
      <c r="G4177" s="1"/>
      <c r="H4177" s="1"/>
    </row>
    <row r="4178" spans="5:8" ht="12.75">
      <c r="E4178" s="1"/>
      <c r="F4178" s="1"/>
      <c r="G4178" s="1"/>
      <c r="H4178" s="1"/>
    </row>
    <row r="4179" spans="5:8" ht="12.75">
      <c r="E4179" s="1"/>
      <c r="F4179" s="1"/>
      <c r="G4179" s="1"/>
      <c r="H4179" s="1"/>
    </row>
    <row r="4180" spans="5:8" ht="12.75">
      <c r="E4180" s="1"/>
      <c r="F4180" s="1"/>
      <c r="G4180" s="1"/>
      <c r="H4180" s="1"/>
    </row>
    <row r="4181" spans="5:8" ht="12.75">
      <c r="E4181" s="1"/>
      <c r="F4181" s="1"/>
      <c r="G4181" s="1"/>
      <c r="H4181" s="1"/>
    </row>
    <row r="4182" spans="5:8" ht="12.75">
      <c r="E4182" s="1"/>
      <c r="F4182" s="1"/>
      <c r="G4182" s="1"/>
      <c r="H4182" s="1"/>
    </row>
    <row r="4183" spans="5:8" ht="12.75">
      <c r="E4183" s="1"/>
      <c r="F4183" s="1"/>
      <c r="G4183" s="1"/>
      <c r="H4183" s="1"/>
    </row>
    <row r="4184" spans="5:8" ht="12.75">
      <c r="E4184" s="1"/>
      <c r="F4184" s="1"/>
      <c r="G4184" s="1"/>
      <c r="H4184" s="1"/>
    </row>
    <row r="4185" spans="5:8" ht="12.75">
      <c r="E4185" s="1"/>
      <c r="F4185" s="1"/>
      <c r="G4185" s="1"/>
      <c r="H4185" s="1"/>
    </row>
    <row r="4186" spans="5:8" ht="12.75">
      <c r="E4186" s="1"/>
      <c r="F4186" s="1"/>
      <c r="G4186" s="1"/>
      <c r="H4186" s="1"/>
    </row>
    <row r="4187" spans="5:8" ht="12.75">
      <c r="E4187" s="1"/>
      <c r="F4187" s="1"/>
      <c r="G4187" s="1"/>
      <c r="H4187" s="1"/>
    </row>
    <row r="4188" spans="5:8" ht="12.75">
      <c r="E4188" s="1"/>
      <c r="F4188" s="1"/>
      <c r="G4188" s="1"/>
      <c r="H4188" s="1"/>
    </row>
    <row r="4189" spans="5:8" ht="12.75">
      <c r="E4189" s="1"/>
      <c r="F4189" s="1"/>
      <c r="G4189" s="1"/>
      <c r="H4189" s="1"/>
    </row>
    <row r="4190" spans="5:8" ht="12.75">
      <c r="E4190" s="1"/>
      <c r="F4190" s="1"/>
      <c r="G4190" s="1"/>
      <c r="H4190" s="1"/>
    </row>
    <row r="4191" spans="5:8" ht="12.75">
      <c r="E4191" s="1"/>
      <c r="F4191" s="1"/>
      <c r="G4191" s="1"/>
      <c r="H4191" s="1"/>
    </row>
    <row r="4192" spans="5:8" ht="12.75">
      <c r="E4192" s="1"/>
      <c r="F4192" s="1"/>
      <c r="G4192" s="1"/>
      <c r="H4192" s="1"/>
    </row>
    <row r="4193" spans="5:8" ht="12.75">
      <c r="E4193" s="1"/>
      <c r="F4193" s="1"/>
      <c r="G4193" s="1"/>
      <c r="H4193" s="1"/>
    </row>
    <row r="4194" spans="5:8" ht="12.75">
      <c r="E4194" s="1"/>
      <c r="F4194" s="1"/>
      <c r="G4194" s="1"/>
      <c r="H4194" s="1"/>
    </row>
    <row r="4195" spans="5:8" ht="12.75">
      <c r="E4195" s="1"/>
      <c r="F4195" s="1"/>
      <c r="G4195" s="1"/>
      <c r="H4195" s="1"/>
    </row>
    <row r="4196" spans="5:8" ht="12.75">
      <c r="E4196" s="1"/>
      <c r="F4196" s="1"/>
      <c r="G4196" s="1"/>
      <c r="H4196" s="1"/>
    </row>
    <row r="4197" spans="5:8" ht="12.75">
      <c r="E4197" s="1"/>
      <c r="F4197" s="1"/>
      <c r="G4197" s="1"/>
      <c r="H4197" s="1"/>
    </row>
    <row r="4198" spans="5:8" ht="12.75">
      <c r="E4198" s="1"/>
      <c r="F4198" s="1"/>
      <c r="G4198" s="1"/>
      <c r="H4198" s="1"/>
    </row>
    <row r="4199" spans="5:8" ht="12.75">
      <c r="E4199" s="1"/>
      <c r="F4199" s="1"/>
      <c r="G4199" s="1"/>
      <c r="H4199" s="1"/>
    </row>
    <row r="4200" spans="5:8" ht="12.75">
      <c r="E4200" s="1"/>
      <c r="F4200" s="1"/>
      <c r="G4200" s="1"/>
      <c r="H4200" s="1"/>
    </row>
    <row r="4201" spans="5:8" ht="12.75">
      <c r="E4201" s="1"/>
      <c r="F4201" s="1"/>
      <c r="G4201" s="1"/>
      <c r="H4201" s="1"/>
    </row>
    <row r="4202" spans="5:8" ht="12.75">
      <c r="E4202" s="1"/>
      <c r="F4202" s="1"/>
      <c r="G4202" s="1"/>
      <c r="H4202" s="1"/>
    </row>
    <row r="4203" spans="5:8" ht="12.75">
      <c r="E4203" s="1"/>
      <c r="F4203" s="1"/>
      <c r="G4203" s="1"/>
      <c r="H4203" s="1"/>
    </row>
    <row r="4204" spans="5:8" ht="12.75">
      <c r="E4204" s="1"/>
      <c r="F4204" s="1"/>
      <c r="G4204" s="1"/>
      <c r="H4204" s="1"/>
    </row>
    <row r="4205" spans="5:8" ht="12.75">
      <c r="E4205" s="1"/>
      <c r="F4205" s="1"/>
      <c r="G4205" s="1"/>
      <c r="H4205" s="1"/>
    </row>
    <row r="4206" spans="5:8" ht="12.75">
      <c r="E4206" s="1"/>
      <c r="F4206" s="1"/>
      <c r="G4206" s="1"/>
      <c r="H4206" s="1"/>
    </row>
    <row r="4207" spans="5:8" ht="12.75">
      <c r="E4207" s="1"/>
      <c r="F4207" s="1"/>
      <c r="G4207" s="1"/>
      <c r="H4207" s="1"/>
    </row>
    <row r="4208" spans="5:8" ht="12.75">
      <c r="E4208" s="1"/>
      <c r="F4208" s="1"/>
      <c r="G4208" s="1"/>
      <c r="H4208" s="1"/>
    </row>
    <row r="4209" spans="5:8" ht="12.75">
      <c r="E4209" s="1"/>
      <c r="F4209" s="1"/>
      <c r="G4209" s="1"/>
      <c r="H4209" s="1"/>
    </row>
    <row r="4210" spans="5:8" ht="12.75">
      <c r="E4210" s="1"/>
      <c r="F4210" s="1"/>
      <c r="G4210" s="1"/>
      <c r="H4210" s="1"/>
    </row>
    <row r="4211" spans="5:8" ht="12.75">
      <c r="E4211" s="1"/>
      <c r="F4211" s="1"/>
      <c r="G4211" s="1"/>
      <c r="H4211" s="1"/>
    </row>
    <row r="4212" spans="5:8" ht="12.75">
      <c r="E4212" s="1"/>
      <c r="F4212" s="1"/>
      <c r="G4212" s="1"/>
      <c r="H4212" s="1"/>
    </row>
    <row r="4213" spans="5:8" ht="12.75">
      <c r="E4213" s="1"/>
      <c r="F4213" s="1"/>
      <c r="G4213" s="1"/>
      <c r="H4213" s="1"/>
    </row>
    <row r="4214" spans="5:8" ht="12.75">
      <c r="E4214" s="1"/>
      <c r="F4214" s="1"/>
      <c r="G4214" s="1"/>
      <c r="H4214" s="1"/>
    </row>
    <row r="4215" spans="5:8" ht="12.75">
      <c r="E4215" s="1"/>
      <c r="F4215" s="1"/>
      <c r="G4215" s="1"/>
      <c r="H4215" s="1"/>
    </row>
    <row r="4216" spans="5:8" ht="12.75">
      <c r="E4216" s="1"/>
      <c r="F4216" s="1"/>
      <c r="G4216" s="1"/>
      <c r="H4216" s="1"/>
    </row>
    <row r="4217" spans="5:8" ht="12.75">
      <c r="E4217" s="1"/>
      <c r="F4217" s="1"/>
      <c r="G4217" s="1"/>
      <c r="H4217" s="1"/>
    </row>
    <row r="4218" spans="5:8" ht="12.75">
      <c r="E4218" s="1"/>
      <c r="F4218" s="1"/>
      <c r="G4218" s="1"/>
      <c r="H4218" s="1"/>
    </row>
    <row r="4219" spans="5:8" ht="12.75">
      <c r="E4219" s="1"/>
      <c r="F4219" s="1"/>
      <c r="G4219" s="1"/>
      <c r="H4219" s="1"/>
    </row>
    <row r="4220" spans="5:8" ht="12.75">
      <c r="E4220" s="1"/>
      <c r="F4220" s="1"/>
      <c r="G4220" s="1"/>
      <c r="H4220" s="1"/>
    </row>
    <row r="4221" spans="5:8" ht="12.75">
      <c r="E4221" s="1"/>
      <c r="F4221" s="1"/>
      <c r="G4221" s="1"/>
      <c r="H4221" s="1"/>
    </row>
    <row r="4222" spans="5:8" ht="12.75">
      <c r="E4222" s="1"/>
      <c r="F4222" s="1"/>
      <c r="G4222" s="1"/>
      <c r="H4222" s="1"/>
    </row>
    <row r="4223" spans="5:8" ht="12.75">
      <c r="E4223" s="1"/>
      <c r="F4223" s="1"/>
      <c r="G4223" s="1"/>
      <c r="H4223" s="1"/>
    </row>
    <row r="4224" spans="5:8" ht="12.75">
      <c r="E4224" s="1"/>
      <c r="F4224" s="1"/>
      <c r="G4224" s="1"/>
      <c r="H4224" s="1"/>
    </row>
    <row r="4225" spans="5:8" ht="12.75">
      <c r="E4225" s="1"/>
      <c r="F4225" s="1"/>
      <c r="G4225" s="1"/>
      <c r="H4225" s="1"/>
    </row>
    <row r="4226" spans="5:8" ht="12.75">
      <c r="E4226" s="1"/>
      <c r="F4226" s="1"/>
      <c r="G4226" s="1"/>
      <c r="H4226" s="1"/>
    </row>
  </sheetData>
  <mergeCells count="6">
    <mergeCell ref="E7:F7"/>
    <mergeCell ref="G7:H7"/>
    <mergeCell ref="A7:A8"/>
    <mergeCell ref="B7:B8"/>
    <mergeCell ref="C7:C8"/>
    <mergeCell ref="D7:D8"/>
  </mergeCells>
  <printOptions horizontalCentered="1"/>
  <pageMargins left="0.1968503937007874" right="0.1968503937007874" top="0.6692913385826772" bottom="0.4330708661417323" header="0.5118110236220472" footer="0.2755905511811024"/>
  <pageSetup firstPageNumber="2" useFirstPageNumber="1" horizontalDpi="300" verticalDpi="300" orientation="landscape" paperSize="9" scale="8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B1">
      <selection activeCell="D32" sqref="D32"/>
    </sheetView>
  </sheetViews>
  <sheetFormatPr defaultColWidth="9.00390625" defaultRowHeight="12.75"/>
  <cols>
    <col min="1" max="1" width="7.875" style="470" customWidth="1"/>
    <col min="2" max="2" width="9.875" style="470" customWidth="1"/>
    <col min="3" max="3" width="9.125" style="470" customWidth="1"/>
    <col min="4" max="4" width="74.125" style="470" customWidth="1"/>
    <col min="5" max="5" width="20.875" style="496" customWidth="1"/>
    <col min="6" max="6" width="18.75390625" style="496" customWidth="1"/>
    <col min="7" max="7" width="20.875" style="496" customWidth="1"/>
    <col min="8" max="11" width="14.125" style="469" customWidth="1"/>
    <col min="12" max="16384" width="9.125" style="469" customWidth="1"/>
  </cols>
  <sheetData>
    <row r="1" spans="1:7" ht="12" customHeight="1">
      <c r="A1" s="466"/>
      <c r="B1" s="466"/>
      <c r="C1" s="466"/>
      <c r="D1" s="467"/>
      <c r="E1" s="468"/>
      <c r="F1" s="141" t="s">
        <v>829</v>
      </c>
      <c r="G1" s="468"/>
    </row>
    <row r="2" spans="2:7" ht="17.25" customHeight="1">
      <c r="B2" s="471"/>
      <c r="C2" s="468"/>
      <c r="D2" s="468"/>
      <c r="E2" s="468"/>
      <c r="F2" s="462" t="s">
        <v>729</v>
      </c>
      <c r="G2" s="468"/>
    </row>
    <row r="3" spans="2:7" ht="18" customHeight="1">
      <c r="B3" s="471" t="s">
        <v>339</v>
      </c>
      <c r="C3" s="468"/>
      <c r="D3" s="468"/>
      <c r="E3" s="468"/>
      <c r="F3" s="141" t="s">
        <v>818</v>
      </c>
      <c r="G3" s="468"/>
    </row>
    <row r="4" spans="1:7" ht="18" customHeight="1">
      <c r="A4" s="473"/>
      <c r="B4" s="468" t="s">
        <v>817</v>
      </c>
      <c r="C4" s="560"/>
      <c r="D4" s="560"/>
      <c r="E4" s="468"/>
      <c r="F4" s="141" t="s">
        <v>819</v>
      </c>
      <c r="G4" s="468"/>
    </row>
    <row r="5" spans="1:7" ht="20.25" customHeight="1">
      <c r="A5" s="472"/>
      <c r="B5" s="473"/>
      <c r="C5" s="473"/>
      <c r="D5" s="473"/>
      <c r="E5" s="473"/>
      <c r="F5" s="473"/>
      <c r="G5" s="473"/>
    </row>
    <row r="6" spans="1:7" ht="12" customHeight="1" thickBot="1">
      <c r="A6" s="474"/>
      <c r="B6" s="474"/>
      <c r="C6" s="474"/>
      <c r="D6" s="467"/>
      <c r="E6" s="475"/>
      <c r="F6" s="475"/>
      <c r="G6" s="475" t="s">
        <v>260</v>
      </c>
    </row>
    <row r="7" spans="1:7" ht="69" customHeight="1" thickBot="1" thickTop="1">
      <c r="A7" s="476" t="s">
        <v>261</v>
      </c>
      <c r="B7" s="476" t="s">
        <v>414</v>
      </c>
      <c r="C7" s="476" t="s">
        <v>751</v>
      </c>
      <c r="D7" s="476" t="s">
        <v>413</v>
      </c>
      <c r="E7" s="477" t="s">
        <v>265</v>
      </c>
      <c r="F7" s="476" t="s">
        <v>262</v>
      </c>
      <c r="G7" s="477" t="s">
        <v>263</v>
      </c>
    </row>
    <row r="8" spans="1:7" ht="15" customHeight="1" thickBot="1" thickTop="1">
      <c r="A8" s="478">
        <v>1</v>
      </c>
      <c r="B8" s="478">
        <v>2</v>
      </c>
      <c r="C8" s="478">
        <v>3</v>
      </c>
      <c r="D8" s="479">
        <v>4</v>
      </c>
      <c r="E8" s="478">
        <v>5</v>
      </c>
      <c r="F8" s="478">
        <v>6</v>
      </c>
      <c r="G8" s="478">
        <v>7</v>
      </c>
    </row>
    <row r="9" spans="1:7" ht="29.25" customHeight="1" thickBot="1" thickTop="1">
      <c r="A9" s="480"/>
      <c r="B9" s="480"/>
      <c r="C9" s="480"/>
      <c r="D9" s="481" t="s">
        <v>264</v>
      </c>
      <c r="E9" s="482">
        <v>382000</v>
      </c>
      <c r="F9" s="482">
        <f>F10+F17</f>
        <v>0</v>
      </c>
      <c r="G9" s="482">
        <f aca="true" t="shared" si="0" ref="G9:G16">E9+F9</f>
        <v>382000</v>
      </c>
    </row>
    <row r="10" spans="1:7" ht="19.5" customHeight="1">
      <c r="A10" s="483"/>
      <c r="B10" s="483"/>
      <c r="C10" s="483"/>
      <c r="D10" s="484" t="s">
        <v>266</v>
      </c>
      <c r="E10" s="485">
        <f aca="true" t="shared" si="1" ref="E10:F12">E11</f>
        <v>17000</v>
      </c>
      <c r="F10" s="485">
        <f t="shared" si="1"/>
        <v>-17000</v>
      </c>
      <c r="G10" s="485">
        <f t="shared" si="0"/>
        <v>0</v>
      </c>
    </row>
    <row r="11" spans="1:7" ht="19.5" customHeight="1">
      <c r="A11" s="486">
        <v>750</v>
      </c>
      <c r="B11" s="487"/>
      <c r="C11" s="487"/>
      <c r="D11" s="488" t="s">
        <v>439</v>
      </c>
      <c r="E11" s="486">
        <f t="shared" si="1"/>
        <v>17000</v>
      </c>
      <c r="F11" s="486">
        <f t="shared" si="1"/>
        <v>-17000</v>
      </c>
      <c r="G11" s="486">
        <f t="shared" si="0"/>
        <v>0</v>
      </c>
    </row>
    <row r="12" spans="1:7" ht="19.5" customHeight="1">
      <c r="A12" s="489"/>
      <c r="B12" s="490">
        <v>75022</v>
      </c>
      <c r="C12" s="490"/>
      <c r="D12" s="491" t="s">
        <v>440</v>
      </c>
      <c r="E12" s="485">
        <f t="shared" si="1"/>
        <v>17000</v>
      </c>
      <c r="F12" s="485">
        <f t="shared" si="1"/>
        <v>-17000</v>
      </c>
      <c r="G12" s="485">
        <f t="shared" si="0"/>
        <v>0</v>
      </c>
    </row>
    <row r="13" spans="1:7" s="462" customFormat="1" ht="19.5" customHeight="1">
      <c r="A13" s="497"/>
      <c r="B13" s="497"/>
      <c r="C13" s="498"/>
      <c r="D13" s="497" t="s">
        <v>267</v>
      </c>
      <c r="E13" s="500">
        <f>E16</f>
        <v>17000</v>
      </c>
      <c r="F13" s="500">
        <f>F16</f>
        <v>-17000</v>
      </c>
      <c r="G13" s="500">
        <f>E13+F13</f>
        <v>0</v>
      </c>
    </row>
    <row r="14" spans="1:7" ht="19.5" customHeight="1">
      <c r="A14" s="492"/>
      <c r="B14" s="492"/>
      <c r="C14" s="499"/>
      <c r="D14" s="501" t="s">
        <v>268</v>
      </c>
      <c r="E14" s="502">
        <v>15000</v>
      </c>
      <c r="F14" s="502">
        <v>-15000</v>
      </c>
      <c r="G14" s="502">
        <f>E14+F14</f>
        <v>0</v>
      </c>
    </row>
    <row r="15" spans="1:7" ht="19.5" customHeight="1">
      <c r="A15" s="492"/>
      <c r="B15" s="492"/>
      <c r="C15" s="499"/>
      <c r="D15" s="503" t="s">
        <v>269</v>
      </c>
      <c r="E15" s="504">
        <v>2000</v>
      </c>
      <c r="F15" s="504">
        <v>-2000</v>
      </c>
      <c r="G15" s="504">
        <f>E15+F15</f>
        <v>0</v>
      </c>
    </row>
    <row r="16" spans="1:7" ht="19.5" customHeight="1">
      <c r="A16" s="492"/>
      <c r="B16" s="492"/>
      <c r="C16" s="493">
        <v>4270</v>
      </c>
      <c r="D16" s="494" t="s">
        <v>753</v>
      </c>
      <c r="E16" s="495">
        <f>E14+E15</f>
        <v>17000</v>
      </c>
      <c r="F16" s="495">
        <f>F14+F15</f>
        <v>-17000</v>
      </c>
      <c r="G16" s="495">
        <f t="shared" si="0"/>
        <v>0</v>
      </c>
    </row>
    <row r="17" spans="1:7" ht="19.5" customHeight="1">
      <c r="A17" s="483"/>
      <c r="B17" s="483"/>
      <c r="C17" s="483"/>
      <c r="D17" s="484" t="s">
        <v>327</v>
      </c>
      <c r="E17" s="485"/>
      <c r="F17" s="485">
        <f>F18</f>
        <v>17000</v>
      </c>
      <c r="G17" s="485">
        <f aca="true" t="shared" si="2" ref="G17:G23">E17+F17</f>
        <v>17000</v>
      </c>
    </row>
    <row r="18" spans="1:7" ht="19.5" customHeight="1">
      <c r="A18" s="486">
        <v>750</v>
      </c>
      <c r="B18" s="487"/>
      <c r="C18" s="487"/>
      <c r="D18" s="488" t="s">
        <v>439</v>
      </c>
      <c r="E18" s="486"/>
      <c r="F18" s="486">
        <f>F19</f>
        <v>17000</v>
      </c>
      <c r="G18" s="486">
        <f t="shared" si="2"/>
        <v>17000</v>
      </c>
    </row>
    <row r="19" spans="1:7" ht="19.5" customHeight="1">
      <c r="A19" s="489"/>
      <c r="B19" s="490">
        <v>75022</v>
      </c>
      <c r="C19" s="490"/>
      <c r="D19" s="491" t="s">
        <v>440</v>
      </c>
      <c r="E19" s="485"/>
      <c r="F19" s="485">
        <f>F20</f>
        <v>17000</v>
      </c>
      <c r="G19" s="485">
        <f t="shared" si="2"/>
        <v>17000</v>
      </c>
    </row>
    <row r="20" spans="1:7" s="462" customFormat="1" ht="19.5" customHeight="1">
      <c r="A20" s="497"/>
      <c r="B20" s="497"/>
      <c r="C20" s="498"/>
      <c r="D20" s="497" t="s">
        <v>267</v>
      </c>
      <c r="E20" s="500"/>
      <c r="F20" s="500">
        <f>F23</f>
        <v>17000</v>
      </c>
      <c r="G20" s="500">
        <f t="shared" si="2"/>
        <v>17000</v>
      </c>
    </row>
    <row r="21" spans="1:7" ht="19.5" customHeight="1">
      <c r="A21" s="492"/>
      <c r="B21" s="492"/>
      <c r="C21" s="499"/>
      <c r="D21" s="501" t="s">
        <v>268</v>
      </c>
      <c r="E21" s="502"/>
      <c r="F21" s="502">
        <v>15000</v>
      </c>
      <c r="G21" s="502">
        <f t="shared" si="2"/>
        <v>15000</v>
      </c>
    </row>
    <row r="22" spans="1:7" ht="19.5" customHeight="1">
      <c r="A22" s="492"/>
      <c r="B22" s="492"/>
      <c r="C22" s="499"/>
      <c r="D22" s="503" t="s">
        <v>269</v>
      </c>
      <c r="E22" s="504"/>
      <c r="F22" s="504">
        <v>2000</v>
      </c>
      <c r="G22" s="504">
        <f t="shared" si="2"/>
        <v>2000</v>
      </c>
    </row>
    <row r="23" spans="1:7" ht="19.5" customHeight="1">
      <c r="A23" s="494"/>
      <c r="B23" s="494"/>
      <c r="C23" s="493">
        <v>4270</v>
      </c>
      <c r="D23" s="494" t="s">
        <v>753</v>
      </c>
      <c r="E23" s="495"/>
      <c r="F23" s="495">
        <f>F21+F22</f>
        <v>17000</v>
      </c>
      <c r="G23" s="495">
        <f t="shared" si="2"/>
        <v>17000</v>
      </c>
    </row>
    <row r="26" spans="3:8" s="141" customFormat="1" ht="12.75">
      <c r="C26" s="141" t="s">
        <v>781</v>
      </c>
      <c r="E26" s="1"/>
      <c r="F26" s="1" t="s">
        <v>783</v>
      </c>
      <c r="G26" s="1"/>
      <c r="H26" s="1"/>
    </row>
    <row r="27" spans="3:8" s="141" customFormat="1" ht="12.75">
      <c r="C27" s="174" t="s">
        <v>782</v>
      </c>
      <c r="E27" s="1"/>
      <c r="F27" s="1" t="s">
        <v>784</v>
      </c>
      <c r="G27" s="1"/>
      <c r="H27" s="1"/>
    </row>
  </sheetData>
  <printOptions horizontalCentered="1"/>
  <pageMargins left="0.3937007874015748" right="0.3937007874015748" top="0.5905511811023623" bottom="0.5905511811023623" header="0.5118110236220472" footer="0.5118110236220472"/>
  <pageSetup firstPageNumber="149" useFirstPageNumber="1"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30"/>
  <sheetViews>
    <sheetView workbookViewId="0" topLeftCell="A1">
      <selection activeCell="C5" sqref="C5"/>
    </sheetView>
  </sheetViews>
  <sheetFormatPr defaultColWidth="9.00390625" defaultRowHeight="12.75"/>
  <cols>
    <col min="1" max="1" width="7.375" style="505" customWidth="1"/>
    <col min="2" max="2" width="10.00390625" style="505" customWidth="1"/>
    <col min="3" max="3" width="83.125" style="505" customWidth="1"/>
    <col min="4" max="6" width="18.75390625" style="505" customWidth="1"/>
    <col min="7" max="7" width="9.125" style="469" customWidth="1"/>
    <col min="8" max="8" width="11.00390625" style="469" bestFit="1" customWidth="1"/>
    <col min="9" max="16384" width="9.125" style="469" customWidth="1"/>
  </cols>
  <sheetData>
    <row r="1" spans="5:6" ht="14.25">
      <c r="E1" s="141" t="s">
        <v>830</v>
      </c>
      <c r="F1" s="468"/>
    </row>
    <row r="2" spans="5:6" ht="14.25">
      <c r="E2" s="462" t="s">
        <v>729</v>
      </c>
      <c r="F2" s="468"/>
    </row>
    <row r="3" spans="1:6" ht="15.75">
      <c r="A3" s="506" t="s">
        <v>338</v>
      </c>
      <c r="E3" s="141" t="s">
        <v>818</v>
      </c>
      <c r="F3" s="468"/>
    </row>
    <row r="4" spans="1:6" ht="15.75">
      <c r="A4" s="506" t="s">
        <v>340</v>
      </c>
      <c r="E4" s="141" t="s">
        <v>819</v>
      </c>
      <c r="F4" s="468"/>
    </row>
    <row r="5" ht="15.75" customHeight="1">
      <c r="A5" s="505" t="s">
        <v>817</v>
      </c>
    </row>
    <row r="6" spans="3:6" ht="15.75" thickBot="1">
      <c r="C6" s="507"/>
      <c r="E6" s="508"/>
      <c r="F6" s="509" t="s">
        <v>260</v>
      </c>
    </row>
    <row r="7" spans="1:6" ht="20.25" customHeight="1" thickTop="1">
      <c r="A7" s="510"/>
      <c r="B7" s="511"/>
      <c r="C7" s="512" t="s">
        <v>413</v>
      </c>
      <c r="D7" s="1219" t="s">
        <v>659</v>
      </c>
      <c r="E7" s="1221" t="s">
        <v>262</v>
      </c>
      <c r="F7" s="1221" t="s">
        <v>328</v>
      </c>
    </row>
    <row r="8" spans="1:6" ht="58.5" customHeight="1" thickBot="1">
      <c r="A8" s="513" t="s">
        <v>261</v>
      </c>
      <c r="B8" s="514" t="s">
        <v>329</v>
      </c>
      <c r="C8" s="513" t="s">
        <v>330</v>
      </c>
      <c r="D8" s="1220"/>
      <c r="E8" s="1222"/>
      <c r="F8" s="1222"/>
    </row>
    <row r="9" spans="1:6" ht="15.75" thickBot="1" thickTop="1">
      <c r="A9" s="515">
        <v>1</v>
      </c>
      <c r="B9" s="515">
        <v>2</v>
      </c>
      <c r="C9" s="515">
        <v>3</v>
      </c>
      <c r="D9" s="516">
        <v>4</v>
      </c>
      <c r="E9" s="516">
        <v>5</v>
      </c>
      <c r="F9" s="516">
        <v>6</v>
      </c>
    </row>
    <row r="10" spans="1:6" ht="19.5" customHeight="1" thickTop="1">
      <c r="A10" s="517"/>
      <c r="B10" s="517"/>
      <c r="C10" s="518" t="s">
        <v>331</v>
      </c>
      <c r="D10" s="519">
        <v>385800</v>
      </c>
      <c r="E10" s="519"/>
      <c r="F10" s="519">
        <f aca="true" t="shared" si="0" ref="F10:F26">D10+E10</f>
        <v>385800</v>
      </c>
    </row>
    <row r="11" spans="1:6" ht="19.5" customHeight="1">
      <c r="A11" s="520"/>
      <c r="B11" s="521"/>
      <c r="C11" s="522" t="s">
        <v>332</v>
      </c>
      <c r="D11" s="523">
        <v>2058500</v>
      </c>
      <c r="E11" s="523"/>
      <c r="F11" s="523">
        <f t="shared" si="0"/>
        <v>2058500</v>
      </c>
    </row>
    <row r="12" spans="1:6" ht="19.5" customHeight="1">
      <c r="A12" s="520"/>
      <c r="B12" s="521"/>
      <c r="C12" s="524" t="s">
        <v>333</v>
      </c>
      <c r="D12" s="525">
        <v>2444300</v>
      </c>
      <c r="E12" s="525"/>
      <c r="F12" s="525">
        <f t="shared" si="0"/>
        <v>2444300</v>
      </c>
    </row>
    <row r="13" spans="1:8" s="531" customFormat="1" ht="19.5" customHeight="1">
      <c r="A13" s="526"/>
      <c r="B13" s="527"/>
      <c r="C13" s="528" t="s">
        <v>334</v>
      </c>
      <c r="D13" s="529">
        <v>2063500</v>
      </c>
      <c r="E13" s="529">
        <f>E14</f>
        <v>0</v>
      </c>
      <c r="F13" s="529">
        <f t="shared" si="0"/>
        <v>2063500</v>
      </c>
      <c r="G13" s="530"/>
      <c r="H13" s="530"/>
    </row>
    <row r="14" spans="1:6" s="505" customFormat="1" ht="19.5" customHeight="1">
      <c r="A14" s="532"/>
      <c r="B14" s="533"/>
      <c r="C14" s="534" t="s">
        <v>335</v>
      </c>
      <c r="D14" s="535">
        <v>2000165</v>
      </c>
      <c r="E14" s="535">
        <f>E15+E20</f>
        <v>0</v>
      </c>
      <c r="F14" s="535">
        <f t="shared" si="0"/>
        <v>2000165</v>
      </c>
    </row>
    <row r="15" spans="1:6" s="505" customFormat="1" ht="19.5" customHeight="1">
      <c r="A15" s="536"/>
      <c r="B15" s="537"/>
      <c r="C15" s="534" t="s">
        <v>353</v>
      </c>
      <c r="D15" s="535">
        <v>220000</v>
      </c>
      <c r="E15" s="535">
        <f>E16</f>
        <v>-220000</v>
      </c>
      <c r="F15" s="535">
        <f t="shared" si="0"/>
        <v>0</v>
      </c>
    </row>
    <row r="16" spans="1:8" s="531" customFormat="1" ht="19.5" customHeight="1">
      <c r="A16" s="538">
        <v>900</v>
      </c>
      <c r="B16" s="539"/>
      <c r="C16" s="540" t="s">
        <v>1048</v>
      </c>
      <c r="D16" s="541">
        <f>D17</f>
        <v>220000</v>
      </c>
      <c r="E16" s="541">
        <f>E17</f>
        <v>-220000</v>
      </c>
      <c r="F16" s="541">
        <f t="shared" si="0"/>
        <v>0</v>
      </c>
      <c r="H16" s="542"/>
    </row>
    <row r="17" spans="1:6" s="531" customFormat="1" ht="19.5" customHeight="1">
      <c r="A17" s="543"/>
      <c r="B17" s="544">
        <v>90011</v>
      </c>
      <c r="C17" s="545" t="s">
        <v>336</v>
      </c>
      <c r="D17" s="546">
        <f>D18</f>
        <v>220000</v>
      </c>
      <c r="E17" s="546">
        <f>E18</f>
        <v>-220000</v>
      </c>
      <c r="F17" s="546">
        <f t="shared" si="0"/>
        <v>0</v>
      </c>
    </row>
    <row r="18" spans="1:6" ht="19.5" customHeight="1">
      <c r="A18" s="532"/>
      <c r="B18" s="547"/>
      <c r="C18" s="548" t="s">
        <v>354</v>
      </c>
      <c r="D18" s="549">
        <v>220000</v>
      </c>
      <c r="E18" s="549">
        <f>E19</f>
        <v>-220000</v>
      </c>
      <c r="F18" s="549">
        <f t="shared" si="0"/>
        <v>0</v>
      </c>
    </row>
    <row r="19" spans="1:6" ht="19.5" customHeight="1">
      <c r="A19" s="550"/>
      <c r="B19" s="551">
        <v>6110</v>
      </c>
      <c r="C19" s="552" t="s">
        <v>355</v>
      </c>
      <c r="D19" s="553">
        <f>D18</f>
        <v>220000</v>
      </c>
      <c r="E19" s="553">
        <v>-220000</v>
      </c>
      <c r="F19" s="553">
        <f t="shared" si="0"/>
        <v>0</v>
      </c>
    </row>
    <row r="20" spans="1:6" s="505" customFormat="1" ht="19.5" customHeight="1">
      <c r="A20" s="536"/>
      <c r="B20" s="537"/>
      <c r="C20" s="534" t="s">
        <v>356</v>
      </c>
      <c r="D20" s="535"/>
      <c r="E20" s="535">
        <f>E21</f>
        <v>220000</v>
      </c>
      <c r="F20" s="535">
        <f>D20+E20</f>
        <v>220000</v>
      </c>
    </row>
    <row r="21" spans="1:8" s="531" customFormat="1" ht="19.5" customHeight="1">
      <c r="A21" s="538">
        <v>900</v>
      </c>
      <c r="B21" s="539"/>
      <c r="C21" s="540" t="s">
        <v>1048</v>
      </c>
      <c r="D21" s="541"/>
      <c r="E21" s="541">
        <f>E22</f>
        <v>220000</v>
      </c>
      <c r="F21" s="541">
        <f>D21+E21</f>
        <v>220000</v>
      </c>
      <c r="H21" s="542"/>
    </row>
    <row r="22" spans="1:6" s="531" customFormat="1" ht="19.5" customHeight="1">
      <c r="A22" s="543"/>
      <c r="B22" s="544">
        <v>90011</v>
      </c>
      <c r="C22" s="545" t="s">
        <v>336</v>
      </c>
      <c r="D22" s="546"/>
      <c r="E22" s="546">
        <f>E23</f>
        <v>220000</v>
      </c>
      <c r="F22" s="546">
        <f>D22+E22</f>
        <v>220000</v>
      </c>
    </row>
    <row r="23" spans="1:6" ht="19.5" customHeight="1">
      <c r="A23" s="532"/>
      <c r="B23" s="547"/>
      <c r="C23" s="548" t="s">
        <v>354</v>
      </c>
      <c r="D23" s="549"/>
      <c r="E23" s="549">
        <f>E24</f>
        <v>220000</v>
      </c>
      <c r="F23" s="549">
        <f>D23+E23</f>
        <v>220000</v>
      </c>
    </row>
    <row r="24" spans="1:6" ht="19.5" customHeight="1">
      <c r="A24" s="550"/>
      <c r="B24" s="551">
        <v>6110</v>
      </c>
      <c r="C24" s="552" t="s">
        <v>355</v>
      </c>
      <c r="D24" s="553"/>
      <c r="E24" s="553">
        <v>220000</v>
      </c>
      <c r="F24" s="553">
        <f>D24+E24</f>
        <v>220000</v>
      </c>
    </row>
    <row r="25" spans="1:6" ht="19.5" customHeight="1">
      <c r="A25" s="550"/>
      <c r="B25" s="547"/>
      <c r="C25" s="554" t="s">
        <v>337</v>
      </c>
      <c r="D25" s="555">
        <v>380800</v>
      </c>
      <c r="E25" s="555"/>
      <c r="F25" s="556">
        <f t="shared" si="0"/>
        <v>380800</v>
      </c>
    </row>
    <row r="26" spans="1:6" ht="19.5" customHeight="1">
      <c r="A26" s="557"/>
      <c r="B26" s="557"/>
      <c r="C26" s="558" t="s">
        <v>333</v>
      </c>
      <c r="D26" s="559">
        <v>2444300</v>
      </c>
      <c r="E26" s="559"/>
      <c r="F26" s="559">
        <f t="shared" si="0"/>
        <v>2444300</v>
      </c>
    </row>
    <row r="29" spans="3:8" s="141" customFormat="1" ht="12.75">
      <c r="C29" s="141" t="s">
        <v>781</v>
      </c>
      <c r="D29" s="1" t="s">
        <v>783</v>
      </c>
      <c r="E29" s="1"/>
      <c r="G29" s="1"/>
      <c r="H29" s="1"/>
    </row>
    <row r="30" spans="3:8" s="141" customFormat="1" ht="12.75">
      <c r="C30" s="174" t="s">
        <v>782</v>
      </c>
      <c r="D30" s="1" t="s">
        <v>784</v>
      </c>
      <c r="E30" s="1"/>
      <c r="G30" s="1"/>
      <c r="H30" s="1"/>
    </row>
  </sheetData>
  <mergeCells count="3">
    <mergeCell ref="D7:D8"/>
    <mergeCell ref="E7:E8"/>
    <mergeCell ref="F7:F8"/>
  </mergeCells>
  <printOptions horizontalCentered="1"/>
  <pageMargins left="0.5905511811023623" right="0.5905511811023623" top="0.5905511811023623" bottom="0.5905511811023623" header="0.5118110236220472" footer="0.5118110236220472"/>
  <pageSetup firstPageNumber="150" useFirstPageNumber="1" horizontalDpi="600" verticalDpi="600" orientation="landscape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H57"/>
  <sheetViews>
    <sheetView workbookViewId="0" topLeftCell="B1">
      <selection activeCell="C5" sqref="C5"/>
    </sheetView>
  </sheetViews>
  <sheetFormatPr defaultColWidth="9.00390625" defaultRowHeight="12.75"/>
  <cols>
    <col min="1" max="1" width="8.125" style="505" customWidth="1"/>
    <col min="2" max="2" width="10.625" style="505" customWidth="1"/>
    <col min="3" max="3" width="84.75390625" style="505" customWidth="1"/>
    <col min="4" max="6" width="20.75390625" style="505" customWidth="1"/>
    <col min="7" max="7" width="9.125" style="469" customWidth="1"/>
    <col min="8" max="8" width="11.00390625" style="469" bestFit="1" customWidth="1"/>
    <col min="9" max="16384" width="9.125" style="469" customWidth="1"/>
  </cols>
  <sheetData>
    <row r="1" spans="5:6" ht="14.25">
      <c r="E1" s="141" t="s">
        <v>831</v>
      </c>
      <c r="F1" s="468"/>
    </row>
    <row r="2" spans="5:6" ht="14.25">
      <c r="E2" s="462" t="s">
        <v>729</v>
      </c>
      <c r="F2" s="468"/>
    </row>
    <row r="3" spans="1:6" ht="15.75">
      <c r="A3" s="506" t="s">
        <v>357</v>
      </c>
      <c r="E3" s="141" t="s">
        <v>818</v>
      </c>
      <c r="F3" s="468"/>
    </row>
    <row r="4" spans="1:6" ht="15.75">
      <c r="A4" s="506" t="s">
        <v>358</v>
      </c>
      <c r="E4" s="141" t="s">
        <v>819</v>
      </c>
      <c r="F4" s="468"/>
    </row>
    <row r="5" ht="15.75" customHeight="1">
      <c r="A5" s="505" t="s">
        <v>817</v>
      </c>
    </row>
    <row r="6" spans="3:6" ht="15.75" thickBot="1">
      <c r="C6" s="507"/>
      <c r="E6" s="508"/>
      <c r="F6" s="509" t="s">
        <v>260</v>
      </c>
    </row>
    <row r="7" spans="1:6" ht="20.25" customHeight="1" thickTop="1">
      <c r="A7" s="510"/>
      <c r="B7" s="511"/>
      <c r="C7" s="512" t="s">
        <v>413</v>
      </c>
      <c r="D7" s="1219" t="s">
        <v>659</v>
      </c>
      <c r="E7" s="1221" t="s">
        <v>262</v>
      </c>
      <c r="F7" s="1221" t="s">
        <v>328</v>
      </c>
    </row>
    <row r="8" spans="1:6" ht="63.75" customHeight="1" thickBot="1">
      <c r="A8" s="513" t="s">
        <v>261</v>
      </c>
      <c r="B8" s="514" t="s">
        <v>329</v>
      </c>
      <c r="C8" s="513" t="s">
        <v>330</v>
      </c>
      <c r="D8" s="1220"/>
      <c r="E8" s="1222"/>
      <c r="F8" s="1222"/>
    </row>
    <row r="9" spans="1:6" ht="15.75" thickBot="1" thickTop="1">
      <c r="A9" s="515">
        <v>1</v>
      </c>
      <c r="B9" s="515">
        <v>2</v>
      </c>
      <c r="C9" s="515">
        <v>3</v>
      </c>
      <c r="D9" s="516">
        <v>4</v>
      </c>
      <c r="E9" s="516">
        <v>5</v>
      </c>
      <c r="F9" s="516">
        <v>6</v>
      </c>
    </row>
    <row r="10" spans="1:6" ht="19.5" customHeight="1" thickTop="1">
      <c r="A10" s="561"/>
      <c r="B10" s="561"/>
      <c r="C10" s="562" t="s">
        <v>331</v>
      </c>
      <c r="D10" s="563">
        <v>1283943</v>
      </c>
      <c r="E10" s="563"/>
      <c r="F10" s="563">
        <f>D10+E10</f>
        <v>1283943</v>
      </c>
    </row>
    <row r="11" spans="1:6" ht="19.5" customHeight="1">
      <c r="A11" s="565"/>
      <c r="B11" s="565"/>
      <c r="C11" s="566" t="s">
        <v>359</v>
      </c>
      <c r="D11" s="567">
        <f>D13</f>
        <v>850000</v>
      </c>
      <c r="E11" s="567">
        <f>E12+E19</f>
        <v>0</v>
      </c>
      <c r="F11" s="567">
        <f aca="true" t="shared" si="0" ref="F11:F53">D11+E11</f>
        <v>850000</v>
      </c>
    </row>
    <row r="12" spans="1:8" s="531" customFormat="1" ht="19.5" customHeight="1">
      <c r="A12" s="568"/>
      <c r="B12" s="569"/>
      <c r="C12" s="570" t="s">
        <v>360</v>
      </c>
      <c r="D12" s="571">
        <f>D13</f>
        <v>850000</v>
      </c>
      <c r="E12" s="571">
        <f>E13</f>
        <v>-850000</v>
      </c>
      <c r="F12" s="571">
        <f t="shared" si="0"/>
        <v>0</v>
      </c>
      <c r="G12" s="530"/>
      <c r="H12" s="530"/>
    </row>
    <row r="13" spans="1:6" s="505" customFormat="1" ht="19.5" customHeight="1">
      <c r="A13" s="572">
        <v>710</v>
      </c>
      <c r="B13" s="572"/>
      <c r="C13" s="573" t="s">
        <v>436</v>
      </c>
      <c r="D13" s="574">
        <f>D14</f>
        <v>850000</v>
      </c>
      <c r="E13" s="574">
        <f>E14</f>
        <v>-850000</v>
      </c>
      <c r="F13" s="574">
        <f t="shared" si="0"/>
        <v>0</v>
      </c>
    </row>
    <row r="14" spans="1:6" s="505" customFormat="1" ht="19.5" customHeight="1">
      <c r="A14" s="575"/>
      <c r="B14" s="576">
        <v>71030</v>
      </c>
      <c r="C14" s="577" t="s">
        <v>361</v>
      </c>
      <c r="D14" s="578">
        <f>D15+D17</f>
        <v>850000</v>
      </c>
      <c r="E14" s="578">
        <f>E15+E17</f>
        <v>-850000</v>
      </c>
      <c r="F14" s="578">
        <f t="shared" si="0"/>
        <v>0</v>
      </c>
    </row>
    <row r="15" spans="1:8" s="531" customFormat="1" ht="19.5" customHeight="1">
      <c r="A15" s="579"/>
      <c r="B15" s="579"/>
      <c r="C15" s="580" t="s">
        <v>362</v>
      </c>
      <c r="D15" s="581">
        <f>D16</f>
        <v>800000</v>
      </c>
      <c r="E15" s="581">
        <f>E16</f>
        <v>-800000</v>
      </c>
      <c r="F15" s="581">
        <f t="shared" si="0"/>
        <v>0</v>
      </c>
      <c r="H15" s="542"/>
    </row>
    <row r="16" spans="1:6" s="531" customFormat="1" ht="19.5" customHeight="1">
      <c r="A16" s="582"/>
      <c r="B16" s="583" t="s">
        <v>363</v>
      </c>
      <c r="C16" s="584" t="s">
        <v>364</v>
      </c>
      <c r="D16" s="556">
        <v>800000</v>
      </c>
      <c r="E16" s="556">
        <v>-800000</v>
      </c>
      <c r="F16" s="556">
        <f t="shared" si="0"/>
        <v>0</v>
      </c>
    </row>
    <row r="17" spans="1:6" ht="19.5" customHeight="1">
      <c r="A17" s="579"/>
      <c r="B17" s="579"/>
      <c r="C17" s="585" t="s">
        <v>365</v>
      </c>
      <c r="D17" s="586">
        <f>D18</f>
        <v>50000</v>
      </c>
      <c r="E17" s="586">
        <f>E18</f>
        <v>-50000</v>
      </c>
      <c r="F17" s="586">
        <f t="shared" si="0"/>
        <v>0</v>
      </c>
    </row>
    <row r="18" spans="1:6" ht="19.5" customHeight="1">
      <c r="A18" s="587"/>
      <c r="B18" s="588" t="s">
        <v>1080</v>
      </c>
      <c r="C18" s="564" t="s">
        <v>282</v>
      </c>
      <c r="D18" s="556">
        <v>50000</v>
      </c>
      <c r="E18" s="556">
        <v>-50000</v>
      </c>
      <c r="F18" s="556">
        <f t="shared" si="0"/>
        <v>0</v>
      </c>
    </row>
    <row r="19" spans="1:8" s="531" customFormat="1" ht="19.5" customHeight="1">
      <c r="A19" s="568"/>
      <c r="B19" s="569"/>
      <c r="C19" s="570" t="s">
        <v>730</v>
      </c>
      <c r="D19" s="571"/>
      <c r="E19" s="571">
        <f>E20</f>
        <v>850000</v>
      </c>
      <c r="F19" s="571">
        <f aca="true" t="shared" si="1" ref="F19:F25">D19+E19</f>
        <v>850000</v>
      </c>
      <c r="G19" s="530"/>
      <c r="H19" s="530"/>
    </row>
    <row r="20" spans="1:6" s="505" customFormat="1" ht="19.5" customHeight="1">
      <c r="A20" s="572">
        <v>710</v>
      </c>
      <c r="B20" s="572"/>
      <c r="C20" s="573" t="s">
        <v>436</v>
      </c>
      <c r="D20" s="574"/>
      <c r="E20" s="574">
        <f>E21</f>
        <v>850000</v>
      </c>
      <c r="F20" s="574">
        <f t="shared" si="1"/>
        <v>850000</v>
      </c>
    </row>
    <row r="21" spans="1:6" s="505" customFormat="1" ht="19.5" customHeight="1">
      <c r="A21" s="575"/>
      <c r="B21" s="576">
        <v>71030</v>
      </c>
      <c r="C21" s="577" t="s">
        <v>361</v>
      </c>
      <c r="D21" s="578"/>
      <c r="E21" s="578">
        <f>E22+E24</f>
        <v>850000</v>
      </c>
      <c r="F21" s="578">
        <f t="shared" si="1"/>
        <v>850000</v>
      </c>
    </row>
    <row r="22" spans="1:8" s="531" customFormat="1" ht="19.5" customHeight="1">
      <c r="A22" s="579"/>
      <c r="B22" s="579"/>
      <c r="C22" s="580" t="s">
        <v>362</v>
      </c>
      <c r="D22" s="581"/>
      <c r="E22" s="581">
        <f>E23</f>
        <v>800000</v>
      </c>
      <c r="F22" s="581">
        <f t="shared" si="1"/>
        <v>800000</v>
      </c>
      <c r="H22" s="542"/>
    </row>
    <row r="23" spans="1:6" s="531" customFormat="1" ht="19.5" customHeight="1">
      <c r="A23" s="582"/>
      <c r="B23" s="583" t="s">
        <v>363</v>
      </c>
      <c r="C23" s="584" t="s">
        <v>364</v>
      </c>
      <c r="D23" s="556"/>
      <c r="E23" s="556">
        <v>800000</v>
      </c>
      <c r="F23" s="556">
        <f t="shared" si="1"/>
        <v>800000</v>
      </c>
    </row>
    <row r="24" spans="1:6" ht="19.5" customHeight="1">
      <c r="A24" s="579"/>
      <c r="B24" s="579"/>
      <c r="C24" s="585" t="s">
        <v>365</v>
      </c>
      <c r="D24" s="586"/>
      <c r="E24" s="586">
        <f>E25</f>
        <v>50000</v>
      </c>
      <c r="F24" s="586">
        <f t="shared" si="1"/>
        <v>50000</v>
      </c>
    </row>
    <row r="25" spans="1:6" ht="19.5" customHeight="1">
      <c r="A25" s="587"/>
      <c r="B25" s="588" t="s">
        <v>1080</v>
      </c>
      <c r="C25" s="564" t="s">
        <v>282</v>
      </c>
      <c r="D25" s="556"/>
      <c r="E25" s="556">
        <v>50000</v>
      </c>
      <c r="F25" s="556">
        <f t="shared" si="1"/>
        <v>50000</v>
      </c>
    </row>
    <row r="26" spans="1:6" s="602" customFormat="1" ht="19.5" customHeight="1">
      <c r="A26" s="579"/>
      <c r="B26" s="579"/>
      <c r="C26" s="568" t="s">
        <v>333</v>
      </c>
      <c r="D26" s="559">
        <f>D10+D11</f>
        <v>2133943</v>
      </c>
      <c r="E26" s="559"/>
      <c r="F26" s="559">
        <f t="shared" si="0"/>
        <v>2133943</v>
      </c>
    </row>
    <row r="27" spans="1:8" s="531" customFormat="1" ht="19.5" customHeight="1">
      <c r="A27" s="565"/>
      <c r="B27" s="565"/>
      <c r="C27" s="589" t="s">
        <v>334</v>
      </c>
      <c r="D27" s="567">
        <f>D29</f>
        <v>2100000</v>
      </c>
      <c r="E27" s="567">
        <f>E28+E40</f>
        <v>0</v>
      </c>
      <c r="F27" s="567">
        <f t="shared" si="0"/>
        <v>2100000</v>
      </c>
      <c r="H27" s="542"/>
    </row>
    <row r="28" spans="1:6" s="531" customFormat="1" ht="19.5" customHeight="1">
      <c r="A28" s="568"/>
      <c r="B28" s="569"/>
      <c r="C28" s="570" t="s">
        <v>360</v>
      </c>
      <c r="D28" s="571">
        <f>D29</f>
        <v>2100000</v>
      </c>
      <c r="E28" s="571">
        <f>E29</f>
        <v>-2100000</v>
      </c>
      <c r="F28" s="571">
        <f t="shared" si="0"/>
        <v>0</v>
      </c>
    </row>
    <row r="29" spans="1:6" ht="19.5" customHeight="1">
      <c r="A29" s="590">
        <v>710</v>
      </c>
      <c r="B29" s="572"/>
      <c r="C29" s="573" t="s">
        <v>436</v>
      </c>
      <c r="D29" s="574">
        <f>D30</f>
        <v>2100000</v>
      </c>
      <c r="E29" s="574">
        <f>E30</f>
        <v>-2100000</v>
      </c>
      <c r="F29" s="574">
        <f t="shared" si="0"/>
        <v>0</v>
      </c>
    </row>
    <row r="30" spans="1:6" ht="19.5" customHeight="1">
      <c r="A30" s="591"/>
      <c r="B30" s="576">
        <v>71030</v>
      </c>
      <c r="C30" s="577" t="s">
        <v>361</v>
      </c>
      <c r="D30" s="592">
        <f>D31+D36+D39</f>
        <v>2100000</v>
      </c>
      <c r="E30" s="592">
        <f>E31+E36+E38</f>
        <v>-2100000</v>
      </c>
      <c r="F30" s="592">
        <f t="shared" si="0"/>
        <v>0</v>
      </c>
    </row>
    <row r="31" spans="1:6" ht="19.5" customHeight="1">
      <c r="A31" s="579"/>
      <c r="B31" s="579"/>
      <c r="C31" s="585" t="s">
        <v>366</v>
      </c>
      <c r="D31" s="593">
        <f>SUM(D32:D35)</f>
        <v>1830000</v>
      </c>
      <c r="E31" s="593">
        <f>E32+E33+E34+E35</f>
        <v>-1830000</v>
      </c>
      <c r="F31" s="593">
        <f t="shared" si="0"/>
        <v>0</v>
      </c>
    </row>
    <row r="32" spans="1:6" ht="19.5" customHeight="1">
      <c r="A32" s="587"/>
      <c r="B32" s="588">
        <v>4210</v>
      </c>
      <c r="C32" s="564" t="s">
        <v>748</v>
      </c>
      <c r="D32" s="556">
        <v>30000</v>
      </c>
      <c r="E32" s="556">
        <v>-30000</v>
      </c>
      <c r="F32" s="556">
        <f t="shared" si="0"/>
        <v>0</v>
      </c>
    </row>
    <row r="33" spans="1:6" ht="19.5" customHeight="1">
      <c r="A33" s="587"/>
      <c r="B33" s="588">
        <v>4270</v>
      </c>
      <c r="C33" s="564" t="s">
        <v>753</v>
      </c>
      <c r="D33" s="556">
        <v>30000</v>
      </c>
      <c r="E33" s="556">
        <v>-30000</v>
      </c>
      <c r="F33" s="556">
        <f t="shared" si="0"/>
        <v>0</v>
      </c>
    </row>
    <row r="34" spans="1:6" ht="19.5" customHeight="1">
      <c r="A34" s="587"/>
      <c r="B34" s="588">
        <v>4300</v>
      </c>
      <c r="C34" s="564" t="s">
        <v>815</v>
      </c>
      <c r="D34" s="556">
        <v>1760000</v>
      </c>
      <c r="E34" s="556">
        <v>-1760000</v>
      </c>
      <c r="F34" s="556">
        <f t="shared" si="0"/>
        <v>0</v>
      </c>
    </row>
    <row r="35" spans="1:6" ht="19.5" customHeight="1">
      <c r="A35" s="587"/>
      <c r="B35" s="588">
        <v>4700</v>
      </c>
      <c r="C35" s="564" t="s">
        <v>312</v>
      </c>
      <c r="D35" s="556">
        <v>10000</v>
      </c>
      <c r="E35" s="556">
        <v>-10000</v>
      </c>
      <c r="F35" s="556">
        <f t="shared" si="0"/>
        <v>0</v>
      </c>
    </row>
    <row r="36" spans="1:6" ht="30.75" customHeight="1">
      <c r="A36" s="579"/>
      <c r="B36" s="579"/>
      <c r="C36" s="585" t="s">
        <v>31</v>
      </c>
      <c r="D36" s="586">
        <f>D37</f>
        <v>170000</v>
      </c>
      <c r="E36" s="586">
        <f>E37</f>
        <v>-170000</v>
      </c>
      <c r="F36" s="586">
        <f t="shared" si="0"/>
        <v>0</v>
      </c>
    </row>
    <row r="37" spans="1:6" ht="19.5" customHeight="1">
      <c r="A37" s="587"/>
      <c r="B37" s="588">
        <v>2960</v>
      </c>
      <c r="C37" s="564" t="s">
        <v>32</v>
      </c>
      <c r="D37" s="556">
        <v>170000</v>
      </c>
      <c r="E37" s="556">
        <v>-170000</v>
      </c>
      <c r="F37" s="556">
        <f t="shared" si="0"/>
        <v>0</v>
      </c>
    </row>
    <row r="38" spans="1:6" ht="19.5" customHeight="1">
      <c r="A38" s="579"/>
      <c r="B38" s="579"/>
      <c r="C38" s="594" t="s">
        <v>33</v>
      </c>
      <c r="D38" s="595">
        <f>D39</f>
        <v>100000</v>
      </c>
      <c r="E38" s="595">
        <f>E39</f>
        <v>-100000</v>
      </c>
      <c r="F38" s="595">
        <f t="shared" si="0"/>
        <v>0</v>
      </c>
    </row>
    <row r="39" spans="1:6" ht="19.5" customHeight="1">
      <c r="A39" s="587"/>
      <c r="B39" s="588">
        <v>6120</v>
      </c>
      <c r="C39" s="564" t="s">
        <v>34</v>
      </c>
      <c r="D39" s="556">
        <v>100000</v>
      </c>
      <c r="E39" s="556">
        <v>-100000</v>
      </c>
      <c r="F39" s="556">
        <f t="shared" si="0"/>
        <v>0</v>
      </c>
    </row>
    <row r="40" spans="1:6" s="531" customFormat="1" ht="19.5" customHeight="1">
      <c r="A40" s="568"/>
      <c r="B40" s="569"/>
      <c r="C40" s="570" t="s">
        <v>731</v>
      </c>
      <c r="D40" s="571"/>
      <c r="E40" s="571">
        <f>E41</f>
        <v>2100000</v>
      </c>
      <c r="F40" s="571">
        <f aca="true" t="shared" si="2" ref="F40:F51">D40+E40</f>
        <v>2100000</v>
      </c>
    </row>
    <row r="41" spans="1:6" ht="19.5" customHeight="1">
      <c r="A41" s="590">
        <v>710</v>
      </c>
      <c r="B41" s="572"/>
      <c r="C41" s="573" t="s">
        <v>436</v>
      </c>
      <c r="D41" s="574"/>
      <c r="E41" s="574">
        <f>E42</f>
        <v>2100000</v>
      </c>
      <c r="F41" s="574">
        <f t="shared" si="2"/>
        <v>2100000</v>
      </c>
    </row>
    <row r="42" spans="1:6" ht="19.5" customHeight="1">
      <c r="A42" s="591"/>
      <c r="B42" s="576">
        <v>71030</v>
      </c>
      <c r="C42" s="577" t="s">
        <v>361</v>
      </c>
      <c r="D42" s="592"/>
      <c r="E42" s="592">
        <f>E43+E48+E50</f>
        <v>2100000</v>
      </c>
      <c r="F42" s="592">
        <f t="shared" si="2"/>
        <v>2100000</v>
      </c>
    </row>
    <row r="43" spans="1:6" ht="19.5" customHeight="1">
      <c r="A43" s="579"/>
      <c r="B43" s="579"/>
      <c r="C43" s="585" t="s">
        <v>366</v>
      </c>
      <c r="D43" s="593"/>
      <c r="E43" s="593">
        <f>E44+E45+E46+E47</f>
        <v>1830000</v>
      </c>
      <c r="F43" s="593">
        <f t="shared" si="2"/>
        <v>1830000</v>
      </c>
    </row>
    <row r="44" spans="1:6" ht="19.5" customHeight="1">
      <c r="A44" s="587"/>
      <c r="B44" s="588">
        <v>4210</v>
      </c>
      <c r="C44" s="564" t="s">
        <v>748</v>
      </c>
      <c r="D44" s="556"/>
      <c r="E44" s="556">
        <v>30000</v>
      </c>
      <c r="F44" s="556">
        <f t="shared" si="2"/>
        <v>30000</v>
      </c>
    </row>
    <row r="45" spans="1:6" ht="19.5" customHeight="1">
      <c r="A45" s="587"/>
      <c r="B45" s="588">
        <v>4270</v>
      </c>
      <c r="C45" s="564" t="s">
        <v>753</v>
      </c>
      <c r="D45" s="556"/>
      <c r="E45" s="556">
        <v>30000</v>
      </c>
      <c r="F45" s="556">
        <f t="shared" si="2"/>
        <v>30000</v>
      </c>
    </row>
    <row r="46" spans="1:6" ht="19.5" customHeight="1">
      <c r="A46" s="587"/>
      <c r="B46" s="588">
        <v>4300</v>
      </c>
      <c r="C46" s="564" t="s">
        <v>815</v>
      </c>
      <c r="D46" s="556"/>
      <c r="E46" s="556">
        <v>1760000</v>
      </c>
      <c r="F46" s="556">
        <f t="shared" si="2"/>
        <v>1760000</v>
      </c>
    </row>
    <row r="47" spans="1:6" ht="19.5" customHeight="1">
      <c r="A47" s="587"/>
      <c r="B47" s="588">
        <v>4700</v>
      </c>
      <c r="C47" s="564" t="s">
        <v>312</v>
      </c>
      <c r="D47" s="556"/>
      <c r="E47" s="556">
        <v>10000</v>
      </c>
      <c r="F47" s="556">
        <f t="shared" si="2"/>
        <v>10000</v>
      </c>
    </row>
    <row r="48" spans="1:6" ht="30.75" customHeight="1">
      <c r="A48" s="579"/>
      <c r="B48" s="579"/>
      <c r="C48" s="585" t="s">
        <v>31</v>
      </c>
      <c r="D48" s="586"/>
      <c r="E48" s="586">
        <f>E49</f>
        <v>170000</v>
      </c>
      <c r="F48" s="586">
        <f t="shared" si="2"/>
        <v>170000</v>
      </c>
    </row>
    <row r="49" spans="1:6" ht="19.5" customHeight="1">
      <c r="A49" s="587"/>
      <c r="B49" s="588">
        <v>2960</v>
      </c>
      <c r="C49" s="564" t="s">
        <v>32</v>
      </c>
      <c r="D49" s="556"/>
      <c r="E49" s="556">
        <v>170000</v>
      </c>
      <c r="F49" s="556">
        <f t="shared" si="2"/>
        <v>170000</v>
      </c>
    </row>
    <row r="50" spans="1:6" ht="19.5" customHeight="1">
      <c r="A50" s="579"/>
      <c r="B50" s="579"/>
      <c r="C50" s="594" t="s">
        <v>33</v>
      </c>
      <c r="D50" s="595"/>
      <c r="E50" s="595">
        <f>E51</f>
        <v>100000</v>
      </c>
      <c r="F50" s="595">
        <f t="shared" si="2"/>
        <v>100000</v>
      </c>
    </row>
    <row r="51" spans="1:6" ht="19.5" customHeight="1">
      <c r="A51" s="587"/>
      <c r="B51" s="588">
        <v>6120</v>
      </c>
      <c r="C51" s="564" t="s">
        <v>34</v>
      </c>
      <c r="D51" s="556"/>
      <c r="E51" s="556">
        <v>100000</v>
      </c>
      <c r="F51" s="556">
        <f t="shared" si="2"/>
        <v>100000</v>
      </c>
    </row>
    <row r="52" spans="1:6" ht="19.5" customHeight="1">
      <c r="A52" s="596"/>
      <c r="B52" s="597"/>
      <c r="C52" s="598" t="s">
        <v>337</v>
      </c>
      <c r="D52" s="599">
        <f>D10+D11-D27</f>
        <v>33943</v>
      </c>
      <c r="E52" s="599"/>
      <c r="F52" s="599">
        <f t="shared" si="0"/>
        <v>33943</v>
      </c>
    </row>
    <row r="53" spans="1:6" s="601" customFormat="1" ht="19.5" customHeight="1">
      <c r="A53" s="568"/>
      <c r="B53" s="600"/>
      <c r="C53" s="600" t="s">
        <v>333</v>
      </c>
      <c r="D53" s="559">
        <f>D27+D52</f>
        <v>2133943</v>
      </c>
      <c r="E53" s="559"/>
      <c r="F53" s="559">
        <f t="shared" si="0"/>
        <v>2133943</v>
      </c>
    </row>
    <row r="56" spans="3:8" s="141" customFormat="1" ht="12.75">
      <c r="C56" s="141" t="s">
        <v>781</v>
      </c>
      <c r="D56" s="1" t="s">
        <v>783</v>
      </c>
      <c r="E56" s="1"/>
      <c r="G56" s="1"/>
      <c r="H56" s="1"/>
    </row>
    <row r="57" spans="3:8" s="141" customFormat="1" ht="12.75">
      <c r="C57" s="174" t="s">
        <v>782</v>
      </c>
      <c r="D57" s="1" t="s">
        <v>784</v>
      </c>
      <c r="E57" s="1"/>
      <c r="G57" s="1"/>
      <c r="H57" s="1"/>
    </row>
  </sheetData>
  <mergeCells count="3">
    <mergeCell ref="D7:D8"/>
    <mergeCell ref="E7:E8"/>
    <mergeCell ref="F7:F8"/>
  </mergeCells>
  <printOptions horizontalCentered="1"/>
  <pageMargins left="0.5905511811023623" right="0.5905511811023623" top="0.5905511811023623" bottom="0.5905511811023623" header="0.5118110236220472" footer="0.5118110236220472"/>
  <pageSetup firstPageNumber="151" useFirstPageNumber="1" horizontalDpi="600" verticalDpi="600" orientation="landscape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464"/>
  <sheetViews>
    <sheetView zoomScale="70" zoomScaleNormal="70" workbookViewId="0" topLeftCell="A7">
      <pane ySplit="1560" topLeftCell="BM1" activePane="bottomLeft" state="split"/>
      <selection pane="topLeft" activeCell="F381" sqref="F381"/>
      <selection pane="bottomLeft" activeCell="C6" sqref="C6"/>
    </sheetView>
  </sheetViews>
  <sheetFormatPr defaultColWidth="9.00390625" defaultRowHeight="12.75"/>
  <cols>
    <col min="1" max="1" width="6.00390625" style="609" customWidth="1"/>
    <col min="2" max="2" width="8.25390625" style="609" customWidth="1"/>
    <col min="3" max="3" width="47.875" style="610" customWidth="1"/>
    <col min="4" max="4" width="18.75390625" style="611" customWidth="1"/>
    <col min="5" max="5" width="13.625" style="611" customWidth="1"/>
    <col min="6" max="6" width="13.75390625" style="611" customWidth="1"/>
    <col min="7" max="7" width="14.25390625" style="611" customWidth="1"/>
    <col min="8" max="12" width="13.75390625" style="611" customWidth="1"/>
    <col min="13" max="14" width="13.75390625" style="612" customWidth="1"/>
    <col min="15" max="16" width="13.625" style="612" customWidth="1"/>
    <col min="17" max="17" width="28.125" style="611" customWidth="1"/>
    <col min="18" max="18" width="46.00390625" style="611" customWidth="1"/>
    <col min="19" max="19" width="46.25390625" style="611" customWidth="1"/>
    <col min="20" max="20" width="33.875" style="611" customWidth="1"/>
    <col min="21" max="21" width="37.125" style="611" customWidth="1"/>
    <col min="22" max="22" width="15.25390625" style="611" customWidth="1"/>
    <col min="23" max="23" width="14.75390625" style="611" customWidth="1"/>
    <col min="24" max="24" width="13.625" style="611" customWidth="1"/>
    <col min="25" max="25" width="13.00390625" style="611" customWidth="1"/>
    <col min="26" max="26" width="14.00390625" style="611" customWidth="1"/>
    <col min="27" max="28" width="13.00390625" style="611" customWidth="1"/>
    <col min="29" max="16384" width="9.125" style="611" customWidth="1"/>
  </cols>
  <sheetData>
    <row r="1" spans="14:15" ht="15">
      <c r="N1" s="611" t="s">
        <v>1100</v>
      </c>
      <c r="O1" s="611"/>
    </row>
    <row r="2" spans="2:15" ht="15" customHeight="1">
      <c r="B2" s="613"/>
      <c r="N2" s="611" t="s">
        <v>729</v>
      </c>
      <c r="O2" s="611"/>
    </row>
    <row r="3" spans="3:15" ht="18">
      <c r="C3" s="1003" t="s">
        <v>909</v>
      </c>
      <c r="L3" s="1004"/>
      <c r="N3" s="611" t="s">
        <v>1126</v>
      </c>
      <c r="O3" s="611"/>
    </row>
    <row r="4" spans="3:15" ht="14.25" customHeight="1">
      <c r="C4" s="610" t="s">
        <v>817</v>
      </c>
      <c r="N4" s="611" t="s">
        <v>959</v>
      </c>
      <c r="O4" s="611"/>
    </row>
    <row r="5" spans="3:12" ht="6" customHeight="1">
      <c r="C5" s="614"/>
      <c r="D5" s="612"/>
      <c r="E5" s="612"/>
      <c r="F5" s="612"/>
      <c r="G5" s="612"/>
      <c r="H5" s="612"/>
      <c r="I5" s="612"/>
      <c r="J5" s="612"/>
      <c r="K5" s="612"/>
      <c r="L5" s="612"/>
    </row>
    <row r="6" spans="3:16" ht="20.25" customHeight="1" thickBot="1">
      <c r="C6" s="614"/>
      <c r="D6" s="612"/>
      <c r="E6" s="612"/>
      <c r="F6" s="612"/>
      <c r="G6" s="612"/>
      <c r="H6" s="612"/>
      <c r="I6" s="612"/>
      <c r="J6" s="612"/>
      <c r="K6" s="612"/>
      <c r="L6" s="612"/>
      <c r="M6" s="615"/>
      <c r="N6" s="615"/>
      <c r="O6" s="615"/>
      <c r="P6" s="616" t="s">
        <v>260</v>
      </c>
    </row>
    <row r="7" spans="1:16" ht="18" customHeight="1" thickBot="1" thickTop="1">
      <c r="A7" s="617"/>
      <c r="B7" s="617"/>
      <c r="C7" s="618" t="s">
        <v>413</v>
      </c>
      <c r="D7" s="618"/>
      <c r="E7" s="1223" t="s">
        <v>1127</v>
      </c>
      <c r="F7" s="1224"/>
      <c r="G7" s="1224"/>
      <c r="H7" s="1224"/>
      <c r="I7" s="1224"/>
      <c r="J7" s="1224"/>
      <c r="K7" s="1224"/>
      <c r="L7" s="1224"/>
      <c r="M7" s="1224"/>
      <c r="N7" s="1224"/>
      <c r="O7" s="1224"/>
      <c r="P7" s="1224"/>
    </row>
    <row r="8" spans="1:16" ht="26.25" customHeight="1" thickBot="1" thickTop="1">
      <c r="A8" s="619" t="s">
        <v>261</v>
      </c>
      <c r="B8" s="620" t="s">
        <v>1128</v>
      </c>
      <c r="C8" s="621" t="s">
        <v>1129</v>
      </c>
      <c r="D8" s="621" t="s">
        <v>262</v>
      </c>
      <c r="E8" s="621" t="s">
        <v>1130</v>
      </c>
      <c r="F8" s="621" t="s">
        <v>1131</v>
      </c>
      <c r="G8" s="621" t="s">
        <v>1132</v>
      </c>
      <c r="H8" s="621" t="s">
        <v>1133</v>
      </c>
      <c r="I8" s="621" t="s">
        <v>1134</v>
      </c>
      <c r="J8" s="621" t="s">
        <v>1135</v>
      </c>
      <c r="K8" s="621" t="s">
        <v>1136</v>
      </c>
      <c r="L8" s="621" t="s">
        <v>1137</v>
      </c>
      <c r="M8" s="622" t="s">
        <v>1138</v>
      </c>
      <c r="N8" s="622" t="s">
        <v>1139</v>
      </c>
      <c r="O8" s="622" t="s">
        <v>1140</v>
      </c>
      <c r="P8" s="622" t="s">
        <v>1141</v>
      </c>
    </row>
    <row r="9" spans="1:22" s="1" customFormat="1" ht="17.25" customHeight="1" thickBot="1" thickTop="1">
      <c r="A9" s="623">
        <v>1</v>
      </c>
      <c r="B9" s="623">
        <v>2</v>
      </c>
      <c r="C9" s="624">
        <v>3</v>
      </c>
      <c r="D9" s="625">
        <v>4</v>
      </c>
      <c r="E9" s="625">
        <v>5</v>
      </c>
      <c r="F9" s="625">
        <v>6</v>
      </c>
      <c r="G9" s="625">
        <v>7</v>
      </c>
      <c r="H9" s="625">
        <v>8</v>
      </c>
      <c r="I9" s="625">
        <v>9</v>
      </c>
      <c r="J9" s="625">
        <v>10</v>
      </c>
      <c r="K9" s="625">
        <v>11</v>
      </c>
      <c r="L9" s="625">
        <v>12</v>
      </c>
      <c r="M9" s="625">
        <v>13</v>
      </c>
      <c r="N9" s="625">
        <v>14</v>
      </c>
      <c r="O9" s="625">
        <v>15</v>
      </c>
      <c r="P9" s="625">
        <v>16</v>
      </c>
      <c r="Q9" s="324"/>
      <c r="R9" s="324"/>
      <c r="S9" s="324"/>
      <c r="T9" s="324"/>
      <c r="U9" s="324"/>
      <c r="V9" s="324"/>
    </row>
    <row r="10" spans="1:26" s="613" customFormat="1" ht="30.75" customHeight="1" thickBot="1" thickTop="1">
      <c r="A10" s="626"/>
      <c r="B10" s="627"/>
      <c r="C10" s="628" t="s">
        <v>1142</v>
      </c>
      <c r="D10" s="629">
        <f aca="true" t="shared" si="0" ref="D10:D68">SUM(E10:P10)</f>
        <v>0</v>
      </c>
      <c r="E10" s="630">
        <f>E11</f>
        <v>1151998</v>
      </c>
      <c r="F10" s="630">
        <f aca="true" t="shared" si="1" ref="F10:P10">F11</f>
        <v>19891809</v>
      </c>
      <c r="G10" s="630">
        <f t="shared" si="1"/>
        <v>-22370642</v>
      </c>
      <c r="H10" s="630">
        <f t="shared" si="1"/>
        <v>-1258635</v>
      </c>
      <c r="I10" s="630">
        <f t="shared" si="1"/>
        <v>-2754157</v>
      </c>
      <c r="J10" s="630">
        <f t="shared" si="1"/>
        <v>-2228187</v>
      </c>
      <c r="K10" s="630">
        <f t="shared" si="1"/>
        <v>8954756</v>
      </c>
      <c r="L10" s="630">
        <f t="shared" si="1"/>
        <v>951615</v>
      </c>
      <c r="M10" s="630">
        <f t="shared" si="1"/>
        <v>-1406845</v>
      </c>
      <c r="N10" s="630">
        <f t="shared" si="1"/>
        <v>204106</v>
      </c>
      <c r="O10" s="630">
        <f t="shared" si="1"/>
        <v>-1314030</v>
      </c>
      <c r="P10" s="630">
        <f t="shared" si="1"/>
        <v>178212</v>
      </c>
      <c r="Q10" s="631"/>
      <c r="R10" s="632"/>
      <c r="S10" s="632"/>
      <c r="T10" s="632"/>
      <c r="U10" s="632"/>
      <c r="V10" s="632"/>
      <c r="W10" s="633"/>
      <c r="X10" s="633"/>
      <c r="Y10" s="633"/>
      <c r="Z10" s="633"/>
    </row>
    <row r="11" spans="1:26" s="638" customFormat="1" ht="24" customHeight="1" thickBot="1" thickTop="1">
      <c r="A11" s="634"/>
      <c r="B11" s="634"/>
      <c r="C11" s="635" t="s">
        <v>177</v>
      </c>
      <c r="D11" s="629">
        <f t="shared" si="0"/>
        <v>0</v>
      </c>
      <c r="E11" s="629">
        <f aca="true" t="shared" si="2" ref="E11:P11">E12+E16+E170+E320+E20+E327+E338+E345+E352+E364+E370+E377+E382+E388+E392+E398+E406+E413+E425+E429+E435+E439+E449</f>
        <v>1151998</v>
      </c>
      <c r="F11" s="629">
        <f t="shared" si="2"/>
        <v>19891809</v>
      </c>
      <c r="G11" s="629">
        <f t="shared" si="2"/>
        <v>-22370642</v>
      </c>
      <c r="H11" s="629">
        <f t="shared" si="2"/>
        <v>-1258635</v>
      </c>
      <c r="I11" s="629">
        <f t="shared" si="2"/>
        <v>-2754157</v>
      </c>
      <c r="J11" s="629">
        <f t="shared" si="2"/>
        <v>-2228187</v>
      </c>
      <c r="K11" s="629">
        <f t="shared" si="2"/>
        <v>8954756</v>
      </c>
      <c r="L11" s="629">
        <f t="shared" si="2"/>
        <v>951615</v>
      </c>
      <c r="M11" s="629">
        <f t="shared" si="2"/>
        <v>-1406845</v>
      </c>
      <c r="N11" s="629">
        <f t="shared" si="2"/>
        <v>204106</v>
      </c>
      <c r="O11" s="629">
        <f t="shared" si="2"/>
        <v>-1314030</v>
      </c>
      <c r="P11" s="629">
        <f t="shared" si="2"/>
        <v>178212</v>
      </c>
      <c r="Q11" s="636"/>
      <c r="R11" s="637"/>
      <c r="S11" s="637"/>
      <c r="T11" s="637"/>
      <c r="U11" s="637"/>
      <c r="V11" s="637"/>
      <c r="W11" s="637"/>
      <c r="X11" s="637"/>
      <c r="Y11" s="637"/>
      <c r="Z11" s="637"/>
    </row>
    <row r="12" spans="1:26" ht="36.75" customHeight="1" thickTop="1">
      <c r="A12" s="639"/>
      <c r="B12" s="639"/>
      <c r="C12" s="640" t="s">
        <v>1143</v>
      </c>
      <c r="D12" s="641">
        <f t="shared" si="0"/>
        <v>-10000</v>
      </c>
      <c r="E12" s="641">
        <f aca="true" t="shared" si="3" ref="E12:P14">E13</f>
        <v>-500</v>
      </c>
      <c r="F12" s="641">
        <f t="shared" si="3"/>
        <v>-500</v>
      </c>
      <c r="G12" s="641">
        <f t="shared" si="3"/>
        <v>-1000</v>
      </c>
      <c r="H12" s="641">
        <f t="shared" si="3"/>
        <v>-1000</v>
      </c>
      <c r="I12" s="641">
        <f t="shared" si="3"/>
        <v>-1000</v>
      </c>
      <c r="J12" s="641">
        <f t="shared" si="3"/>
        <v>-1000</v>
      </c>
      <c r="K12" s="641">
        <f t="shared" si="3"/>
        <v>-1000</v>
      </c>
      <c r="L12" s="641">
        <f t="shared" si="3"/>
        <v>-1000</v>
      </c>
      <c r="M12" s="641">
        <f t="shared" si="3"/>
        <v>-1000</v>
      </c>
      <c r="N12" s="641">
        <f t="shared" si="3"/>
        <v>-1000</v>
      </c>
      <c r="O12" s="641">
        <f t="shared" si="3"/>
        <v>-500</v>
      </c>
      <c r="P12" s="641">
        <f t="shared" si="3"/>
        <v>-500</v>
      </c>
      <c r="Q12" s="642"/>
      <c r="R12" s="643"/>
      <c r="S12" s="643"/>
      <c r="T12" s="643"/>
      <c r="U12" s="643"/>
      <c r="V12" s="643"/>
      <c r="W12" s="643"/>
      <c r="X12" s="643"/>
      <c r="Y12" s="643"/>
      <c r="Z12" s="643"/>
    </row>
    <row r="13" spans="1:16" s="648" customFormat="1" ht="22.5" customHeight="1" thickBot="1">
      <c r="A13" s="644"/>
      <c r="B13" s="644"/>
      <c r="C13" s="645" t="s">
        <v>461</v>
      </c>
      <c r="D13" s="646">
        <f t="shared" si="0"/>
        <v>-10000</v>
      </c>
      <c r="E13" s="646">
        <f t="shared" si="3"/>
        <v>-500</v>
      </c>
      <c r="F13" s="646">
        <f t="shared" si="3"/>
        <v>-500</v>
      </c>
      <c r="G13" s="646">
        <f t="shared" si="3"/>
        <v>-1000</v>
      </c>
      <c r="H13" s="646">
        <f t="shared" si="3"/>
        <v>-1000</v>
      </c>
      <c r="I13" s="646">
        <f t="shared" si="3"/>
        <v>-1000</v>
      </c>
      <c r="J13" s="646">
        <f t="shared" si="3"/>
        <v>-1000</v>
      </c>
      <c r="K13" s="646">
        <f t="shared" si="3"/>
        <v>-1000</v>
      </c>
      <c r="L13" s="646">
        <f t="shared" si="3"/>
        <v>-1000</v>
      </c>
      <c r="M13" s="647">
        <f t="shared" si="3"/>
        <v>-1000</v>
      </c>
      <c r="N13" s="647">
        <f t="shared" si="3"/>
        <v>-1000</v>
      </c>
      <c r="O13" s="647">
        <f t="shared" si="3"/>
        <v>-500</v>
      </c>
      <c r="P13" s="647">
        <f t="shared" si="3"/>
        <v>-500</v>
      </c>
    </row>
    <row r="14" spans="1:16" s="80" customFormat="1" ht="21" customHeight="1" thickBot="1" thickTop="1">
      <c r="A14" s="649">
        <v>750</v>
      </c>
      <c r="B14" s="649"/>
      <c r="C14" s="650" t="s">
        <v>439</v>
      </c>
      <c r="D14" s="651">
        <f t="shared" si="0"/>
        <v>-10000</v>
      </c>
      <c r="E14" s="651">
        <f t="shared" si="3"/>
        <v>-500</v>
      </c>
      <c r="F14" s="651">
        <f t="shared" si="3"/>
        <v>-500</v>
      </c>
      <c r="G14" s="651">
        <f t="shared" si="3"/>
        <v>-1000</v>
      </c>
      <c r="H14" s="651">
        <f t="shared" si="3"/>
        <v>-1000</v>
      </c>
      <c r="I14" s="651">
        <f t="shared" si="3"/>
        <v>-1000</v>
      </c>
      <c r="J14" s="651">
        <f t="shared" si="3"/>
        <v>-1000</v>
      </c>
      <c r="K14" s="651">
        <f t="shared" si="3"/>
        <v>-1000</v>
      </c>
      <c r="L14" s="651">
        <f t="shared" si="3"/>
        <v>-1000</v>
      </c>
      <c r="M14" s="651">
        <f t="shared" si="3"/>
        <v>-1000</v>
      </c>
      <c r="N14" s="651">
        <f t="shared" si="3"/>
        <v>-1000</v>
      </c>
      <c r="O14" s="651">
        <f t="shared" si="3"/>
        <v>-500</v>
      </c>
      <c r="P14" s="651">
        <f t="shared" si="3"/>
        <v>-500</v>
      </c>
    </row>
    <row r="15" spans="1:16" ht="21" customHeight="1">
      <c r="A15" s="639"/>
      <c r="B15" s="652">
        <v>75023</v>
      </c>
      <c r="C15" s="653" t="s">
        <v>1061</v>
      </c>
      <c r="D15" s="654">
        <f t="shared" si="0"/>
        <v>-10000</v>
      </c>
      <c r="E15" s="654">
        <v>-500</v>
      </c>
      <c r="F15" s="654">
        <v>-500</v>
      </c>
      <c r="G15" s="654">
        <v>-1000</v>
      </c>
      <c r="H15" s="654">
        <v>-1000</v>
      </c>
      <c r="I15" s="654">
        <v>-1000</v>
      </c>
      <c r="J15" s="654">
        <v>-1000</v>
      </c>
      <c r="K15" s="654">
        <v>-1000</v>
      </c>
      <c r="L15" s="654">
        <v>-1000</v>
      </c>
      <c r="M15" s="654">
        <v>-1000</v>
      </c>
      <c r="N15" s="654">
        <v>-1000</v>
      </c>
      <c r="O15" s="654">
        <v>-500</v>
      </c>
      <c r="P15" s="654">
        <v>-500</v>
      </c>
    </row>
    <row r="16" spans="1:26" ht="36.75" customHeight="1">
      <c r="A16" s="639"/>
      <c r="B16" s="639"/>
      <c r="C16" s="640" t="s">
        <v>464</v>
      </c>
      <c r="D16" s="641">
        <f>SUM(E16:P16)</f>
        <v>10000</v>
      </c>
      <c r="E16" s="641">
        <f aca="true" t="shared" si="4" ref="E16:P18">E17</f>
        <v>500</v>
      </c>
      <c r="F16" s="641">
        <f t="shared" si="4"/>
        <v>500</v>
      </c>
      <c r="G16" s="641">
        <f t="shared" si="4"/>
        <v>1000</v>
      </c>
      <c r="H16" s="641">
        <f t="shared" si="4"/>
        <v>1000</v>
      </c>
      <c r="I16" s="641">
        <f t="shared" si="4"/>
        <v>1000</v>
      </c>
      <c r="J16" s="641">
        <f t="shared" si="4"/>
        <v>1000</v>
      </c>
      <c r="K16" s="641">
        <f t="shared" si="4"/>
        <v>1000</v>
      </c>
      <c r="L16" s="641">
        <f t="shared" si="4"/>
        <v>1000</v>
      </c>
      <c r="M16" s="641">
        <f t="shared" si="4"/>
        <v>1000</v>
      </c>
      <c r="N16" s="641">
        <f t="shared" si="4"/>
        <v>1000</v>
      </c>
      <c r="O16" s="641">
        <f t="shared" si="4"/>
        <v>500</v>
      </c>
      <c r="P16" s="641">
        <f t="shared" si="4"/>
        <v>500</v>
      </c>
      <c r="Q16" s="642"/>
      <c r="R16" s="643"/>
      <c r="S16" s="643"/>
      <c r="T16" s="643"/>
      <c r="U16" s="643"/>
      <c r="V16" s="643"/>
      <c r="W16" s="643"/>
      <c r="X16" s="643"/>
      <c r="Y16" s="643"/>
      <c r="Z16" s="643"/>
    </row>
    <row r="17" spans="1:16" s="648" customFormat="1" ht="22.5" customHeight="1" thickBot="1">
      <c r="A17" s="644"/>
      <c r="B17" s="644"/>
      <c r="C17" s="645" t="s">
        <v>461</v>
      </c>
      <c r="D17" s="646">
        <f>SUM(E17:P17)</f>
        <v>10000</v>
      </c>
      <c r="E17" s="646">
        <f t="shared" si="4"/>
        <v>500</v>
      </c>
      <c r="F17" s="646">
        <f t="shared" si="4"/>
        <v>500</v>
      </c>
      <c r="G17" s="646">
        <f t="shared" si="4"/>
        <v>1000</v>
      </c>
      <c r="H17" s="646">
        <f t="shared" si="4"/>
        <v>1000</v>
      </c>
      <c r="I17" s="646">
        <f t="shared" si="4"/>
        <v>1000</v>
      </c>
      <c r="J17" s="646">
        <f t="shared" si="4"/>
        <v>1000</v>
      </c>
      <c r="K17" s="646">
        <f t="shared" si="4"/>
        <v>1000</v>
      </c>
      <c r="L17" s="646">
        <f t="shared" si="4"/>
        <v>1000</v>
      </c>
      <c r="M17" s="647">
        <f t="shared" si="4"/>
        <v>1000</v>
      </c>
      <c r="N17" s="647">
        <f t="shared" si="4"/>
        <v>1000</v>
      </c>
      <c r="O17" s="647">
        <f t="shared" si="4"/>
        <v>500</v>
      </c>
      <c r="P17" s="647">
        <f t="shared" si="4"/>
        <v>500</v>
      </c>
    </row>
    <row r="18" spans="1:16" s="80" customFormat="1" ht="21" customHeight="1" thickBot="1" thickTop="1">
      <c r="A18" s="649">
        <v>750</v>
      </c>
      <c r="B18" s="649"/>
      <c r="C18" s="650" t="s">
        <v>439</v>
      </c>
      <c r="D18" s="651">
        <f>SUM(E18:P18)</f>
        <v>10000</v>
      </c>
      <c r="E18" s="651">
        <f t="shared" si="4"/>
        <v>500</v>
      </c>
      <c r="F18" s="651">
        <f t="shared" si="4"/>
        <v>500</v>
      </c>
      <c r="G18" s="651">
        <f t="shared" si="4"/>
        <v>1000</v>
      </c>
      <c r="H18" s="651">
        <f t="shared" si="4"/>
        <v>1000</v>
      </c>
      <c r="I18" s="651">
        <f t="shared" si="4"/>
        <v>1000</v>
      </c>
      <c r="J18" s="651">
        <f t="shared" si="4"/>
        <v>1000</v>
      </c>
      <c r="K18" s="651">
        <f t="shared" si="4"/>
        <v>1000</v>
      </c>
      <c r="L18" s="651">
        <f t="shared" si="4"/>
        <v>1000</v>
      </c>
      <c r="M18" s="651">
        <f t="shared" si="4"/>
        <v>1000</v>
      </c>
      <c r="N18" s="651">
        <f t="shared" si="4"/>
        <v>1000</v>
      </c>
      <c r="O18" s="651">
        <f t="shared" si="4"/>
        <v>500</v>
      </c>
      <c r="P18" s="651">
        <f t="shared" si="4"/>
        <v>500</v>
      </c>
    </row>
    <row r="19" spans="1:16" ht="21" customHeight="1">
      <c r="A19" s="639"/>
      <c r="B19" s="652">
        <v>75023</v>
      </c>
      <c r="C19" s="653" t="s">
        <v>1061</v>
      </c>
      <c r="D19" s="654">
        <f>SUM(E19:P19)</f>
        <v>10000</v>
      </c>
      <c r="E19" s="654">
        <v>500</v>
      </c>
      <c r="F19" s="654">
        <v>500</v>
      </c>
      <c r="G19" s="654">
        <v>1000</v>
      </c>
      <c r="H19" s="654">
        <v>1000</v>
      </c>
      <c r="I19" s="654">
        <v>1000</v>
      </c>
      <c r="J19" s="654">
        <v>1000</v>
      </c>
      <c r="K19" s="654">
        <v>1000</v>
      </c>
      <c r="L19" s="654">
        <v>1000</v>
      </c>
      <c r="M19" s="654">
        <v>1000</v>
      </c>
      <c r="N19" s="654">
        <v>1000</v>
      </c>
      <c r="O19" s="654">
        <v>500</v>
      </c>
      <c r="P19" s="654">
        <v>500</v>
      </c>
    </row>
    <row r="20" spans="1:16" ht="23.25" customHeight="1">
      <c r="A20" s="639"/>
      <c r="B20" s="639"/>
      <c r="C20" s="640" t="s">
        <v>661</v>
      </c>
      <c r="D20" s="641">
        <f t="shared" si="0"/>
        <v>-888535946</v>
      </c>
      <c r="E20" s="641">
        <f aca="true" t="shared" si="5" ref="E20:P20">E21+E104</f>
        <v>-66873044</v>
      </c>
      <c r="F20" s="641">
        <f t="shared" si="5"/>
        <v>-64103816</v>
      </c>
      <c r="G20" s="641">
        <f t="shared" si="5"/>
        <v>-99228260</v>
      </c>
      <c r="H20" s="641">
        <f t="shared" si="5"/>
        <v>-73016560</v>
      </c>
      <c r="I20" s="641">
        <f t="shared" si="5"/>
        <v>-70386075</v>
      </c>
      <c r="J20" s="641">
        <f t="shared" si="5"/>
        <v>-71716116</v>
      </c>
      <c r="K20" s="641">
        <f t="shared" si="5"/>
        <v>-66778605</v>
      </c>
      <c r="L20" s="641">
        <f t="shared" si="5"/>
        <v>-71195161</v>
      </c>
      <c r="M20" s="641">
        <f t="shared" si="5"/>
        <v>-74725628</v>
      </c>
      <c r="N20" s="641">
        <f t="shared" si="5"/>
        <v>-77104418</v>
      </c>
      <c r="O20" s="641">
        <f t="shared" si="5"/>
        <v>-76781430</v>
      </c>
      <c r="P20" s="641">
        <f t="shared" si="5"/>
        <v>-76626833</v>
      </c>
    </row>
    <row r="21" spans="1:16" s="648" customFormat="1" ht="20.25" customHeight="1">
      <c r="A21" s="655"/>
      <c r="B21" s="655"/>
      <c r="C21" s="656" t="s">
        <v>1144</v>
      </c>
      <c r="D21" s="657">
        <f t="shared" si="0"/>
        <v>-620108175</v>
      </c>
      <c r="E21" s="657">
        <f aca="true" t="shared" si="6" ref="E21:P21">E22+E39+E45+E73+E80</f>
        <v>-46650074</v>
      </c>
      <c r="F21" s="657">
        <f t="shared" si="6"/>
        <v>-47220734</v>
      </c>
      <c r="G21" s="657">
        <f t="shared" si="6"/>
        <v>-63932263</v>
      </c>
      <c r="H21" s="657">
        <f t="shared" si="6"/>
        <v>-50685440</v>
      </c>
      <c r="I21" s="657">
        <f t="shared" si="6"/>
        <v>-51185901</v>
      </c>
      <c r="J21" s="657">
        <f t="shared" si="6"/>
        <v>-47205280</v>
      </c>
      <c r="K21" s="657">
        <f t="shared" si="6"/>
        <v>-46699757</v>
      </c>
      <c r="L21" s="657">
        <f t="shared" si="6"/>
        <v>-50278092</v>
      </c>
      <c r="M21" s="657">
        <f t="shared" si="6"/>
        <v>-53346501</v>
      </c>
      <c r="N21" s="657">
        <f t="shared" si="6"/>
        <v>-53840800</v>
      </c>
      <c r="O21" s="657">
        <f t="shared" si="6"/>
        <v>-54843810</v>
      </c>
      <c r="P21" s="657">
        <f t="shared" si="6"/>
        <v>-54219523</v>
      </c>
    </row>
    <row r="22" spans="1:16" s="648" customFormat="1" ht="22.5" customHeight="1" thickBot="1">
      <c r="A22" s="644"/>
      <c r="B22" s="644"/>
      <c r="C22" s="645" t="s">
        <v>967</v>
      </c>
      <c r="D22" s="647">
        <f t="shared" si="0"/>
        <v>-384712068</v>
      </c>
      <c r="E22" s="647">
        <f>E25+E28+E34+E36</f>
        <v>-28118120</v>
      </c>
      <c r="F22" s="647">
        <f>F25+F28+F34+F36</f>
        <v>-30353555</v>
      </c>
      <c r="G22" s="647">
        <f>G25+G28+G34+G36</f>
        <v>-30795913</v>
      </c>
      <c r="H22" s="647">
        <f>H25+H28+H34+H36</f>
        <v>-32495913</v>
      </c>
      <c r="I22" s="647">
        <f>I25+I28+I34+I36</f>
        <v>-31595913</v>
      </c>
      <c r="J22" s="647">
        <f>J25+J28+J34+J36+J23</f>
        <v>-28417199</v>
      </c>
      <c r="K22" s="647">
        <f aca="true" t="shared" si="7" ref="K22:P22">K25+K28+K34+K36</f>
        <v>-29046913</v>
      </c>
      <c r="L22" s="647">
        <f t="shared" si="7"/>
        <v>-32045913</v>
      </c>
      <c r="M22" s="647">
        <f t="shared" si="7"/>
        <v>-35055923</v>
      </c>
      <c r="N22" s="647">
        <f t="shared" si="7"/>
        <v>-33745923</v>
      </c>
      <c r="O22" s="647">
        <f t="shared" si="7"/>
        <v>-36845823</v>
      </c>
      <c r="P22" s="647">
        <f t="shared" si="7"/>
        <v>-36194960</v>
      </c>
    </row>
    <row r="23" spans="1:16" s="80" customFormat="1" ht="21" customHeight="1" thickBot="1" thickTop="1">
      <c r="A23" s="649">
        <v>700</v>
      </c>
      <c r="B23" s="649"/>
      <c r="C23" s="650" t="s">
        <v>433</v>
      </c>
      <c r="D23" s="658">
        <f>SUM(E23:P23)</f>
        <v>-73678</v>
      </c>
      <c r="E23" s="658"/>
      <c r="F23" s="658"/>
      <c r="G23" s="658"/>
      <c r="H23" s="658"/>
      <c r="I23" s="658"/>
      <c r="J23" s="658">
        <f>J24</f>
        <v>-73678</v>
      </c>
      <c r="K23" s="658"/>
      <c r="L23" s="658"/>
      <c r="M23" s="658"/>
      <c r="N23" s="658"/>
      <c r="O23" s="658"/>
      <c r="P23" s="658"/>
    </row>
    <row r="24" spans="1:16" s="663" customFormat="1" ht="21" customHeight="1">
      <c r="A24" s="659"/>
      <c r="B24" s="660">
        <v>70005</v>
      </c>
      <c r="C24" s="661" t="s">
        <v>435</v>
      </c>
      <c r="D24" s="662">
        <f>SUM(E24:P24)</f>
        <v>-73678</v>
      </c>
      <c r="E24" s="662"/>
      <c r="F24" s="662"/>
      <c r="G24" s="662"/>
      <c r="H24" s="662"/>
      <c r="I24" s="662"/>
      <c r="J24" s="662">
        <v>-73678</v>
      </c>
      <c r="K24" s="662"/>
      <c r="L24" s="662"/>
      <c r="M24" s="662"/>
      <c r="N24" s="662"/>
      <c r="O24" s="662"/>
      <c r="P24" s="662"/>
    </row>
    <row r="25" spans="1:16" s="80" customFormat="1" ht="21" customHeight="1" thickBot="1">
      <c r="A25" s="665">
        <v>750</v>
      </c>
      <c r="B25" s="649"/>
      <c r="C25" s="650" t="s">
        <v>439</v>
      </c>
      <c r="D25" s="658">
        <f t="shared" si="0"/>
        <v>-157811</v>
      </c>
      <c r="E25" s="658">
        <f aca="true" t="shared" si="8" ref="E25:P25">SUM(E26:E27)</f>
        <v>-9000</v>
      </c>
      <c r="F25" s="658">
        <f t="shared" si="8"/>
        <v>-9000</v>
      </c>
      <c r="G25" s="658">
        <f t="shared" si="8"/>
        <v>-9000</v>
      </c>
      <c r="H25" s="658">
        <f t="shared" si="8"/>
        <v>-9000</v>
      </c>
      <c r="I25" s="658">
        <f t="shared" si="8"/>
        <v>-9000</v>
      </c>
      <c r="J25" s="658">
        <f t="shared" si="8"/>
        <v>-58611</v>
      </c>
      <c r="K25" s="658">
        <f t="shared" si="8"/>
        <v>-9000</v>
      </c>
      <c r="L25" s="658">
        <f t="shared" si="8"/>
        <v>-9000</v>
      </c>
      <c r="M25" s="658">
        <f t="shared" si="8"/>
        <v>-9000</v>
      </c>
      <c r="N25" s="658">
        <f t="shared" si="8"/>
        <v>-9000</v>
      </c>
      <c r="O25" s="658">
        <f t="shared" si="8"/>
        <v>-8900</v>
      </c>
      <c r="P25" s="658">
        <f t="shared" si="8"/>
        <v>-9300</v>
      </c>
    </row>
    <row r="26" spans="1:16" s="663" customFormat="1" ht="21" customHeight="1">
      <c r="A26" s="659"/>
      <c r="B26" s="660">
        <v>75011</v>
      </c>
      <c r="C26" s="661" t="s">
        <v>1049</v>
      </c>
      <c r="D26" s="662">
        <f t="shared" si="0"/>
        <v>-82000</v>
      </c>
      <c r="E26" s="662">
        <v>-6800</v>
      </c>
      <c r="F26" s="662">
        <v>-6800</v>
      </c>
      <c r="G26" s="662">
        <v>-6800</v>
      </c>
      <c r="H26" s="662">
        <v>-6800</v>
      </c>
      <c r="I26" s="662">
        <v>-6800</v>
      </c>
      <c r="J26" s="662">
        <v>-6800</v>
      </c>
      <c r="K26" s="662">
        <v>-6800</v>
      </c>
      <c r="L26" s="662">
        <v>-6800</v>
      </c>
      <c r="M26" s="662">
        <v>-6800</v>
      </c>
      <c r="N26" s="662">
        <v>-6800</v>
      </c>
      <c r="O26" s="662">
        <v>-6800</v>
      </c>
      <c r="P26" s="662">
        <v>-7200</v>
      </c>
    </row>
    <row r="27" spans="1:16" ht="21" customHeight="1">
      <c r="A27" s="652"/>
      <c r="B27" s="652">
        <v>75023</v>
      </c>
      <c r="C27" s="653" t="s">
        <v>1061</v>
      </c>
      <c r="D27" s="664">
        <f t="shared" si="0"/>
        <v>-75811</v>
      </c>
      <c r="E27" s="664">
        <v>-2200</v>
      </c>
      <c r="F27" s="664">
        <v>-2200</v>
      </c>
      <c r="G27" s="664">
        <v>-2200</v>
      </c>
      <c r="H27" s="664">
        <v>-2200</v>
      </c>
      <c r="I27" s="664">
        <v>-2200</v>
      </c>
      <c r="J27" s="664">
        <f>-2200-49611</f>
        <v>-51811</v>
      </c>
      <c r="K27" s="664">
        <v>-2200</v>
      </c>
      <c r="L27" s="664">
        <v>-2200</v>
      </c>
      <c r="M27" s="664">
        <v>-2200</v>
      </c>
      <c r="N27" s="664">
        <v>-2200</v>
      </c>
      <c r="O27" s="664">
        <v>-2100</v>
      </c>
      <c r="P27" s="664">
        <v>-2100</v>
      </c>
    </row>
    <row r="28" spans="1:16" s="80" customFormat="1" ht="64.5" customHeight="1" thickBot="1">
      <c r="A28" s="665">
        <v>756</v>
      </c>
      <c r="B28" s="665"/>
      <c r="C28" s="666" t="s">
        <v>380</v>
      </c>
      <c r="D28" s="667">
        <f t="shared" si="0"/>
        <v>-383393882</v>
      </c>
      <c r="E28" s="667">
        <f aca="true" t="shared" si="9" ref="E28:P28">E29+E30+E31+E32+E33</f>
        <v>-28025565</v>
      </c>
      <c r="F28" s="667">
        <f t="shared" si="9"/>
        <v>-30261000</v>
      </c>
      <c r="G28" s="667">
        <f t="shared" si="9"/>
        <v>-30703358</v>
      </c>
      <c r="H28" s="667">
        <f t="shared" si="9"/>
        <v>-32403358</v>
      </c>
      <c r="I28" s="667">
        <f t="shared" si="9"/>
        <v>-31503358</v>
      </c>
      <c r="J28" s="667">
        <f t="shared" si="9"/>
        <v>-28118358</v>
      </c>
      <c r="K28" s="667">
        <f t="shared" si="9"/>
        <v>-28953358</v>
      </c>
      <c r="L28" s="667">
        <f t="shared" si="9"/>
        <v>-31953358</v>
      </c>
      <c r="M28" s="667">
        <f t="shared" si="9"/>
        <v>-34963358</v>
      </c>
      <c r="N28" s="667">
        <f t="shared" si="9"/>
        <v>-33653358</v>
      </c>
      <c r="O28" s="667">
        <f t="shared" si="9"/>
        <v>-36753358</v>
      </c>
      <c r="P28" s="667">
        <f t="shared" si="9"/>
        <v>-36102095</v>
      </c>
    </row>
    <row r="29" spans="1:16" ht="31.5" customHeight="1">
      <c r="A29" s="639"/>
      <c r="B29" s="652">
        <v>75601</v>
      </c>
      <c r="C29" s="653" t="s">
        <v>883</v>
      </c>
      <c r="D29" s="654">
        <f t="shared" si="0"/>
        <v>-1460000</v>
      </c>
      <c r="E29" s="654">
        <v>-120000</v>
      </c>
      <c r="F29" s="654">
        <v>-120000</v>
      </c>
      <c r="G29" s="654">
        <v>-120000</v>
      </c>
      <c r="H29" s="654">
        <v>-120000</v>
      </c>
      <c r="I29" s="654">
        <v>-120000</v>
      </c>
      <c r="J29" s="654">
        <v>-130000</v>
      </c>
      <c r="K29" s="654">
        <v>-120000</v>
      </c>
      <c r="L29" s="654">
        <v>-120000</v>
      </c>
      <c r="M29" s="654">
        <v>-130000</v>
      </c>
      <c r="N29" s="654">
        <v>-120000</v>
      </c>
      <c r="O29" s="654">
        <v>-120000</v>
      </c>
      <c r="P29" s="654">
        <v>-120000</v>
      </c>
    </row>
    <row r="30" spans="1:16" s="643" customFormat="1" ht="60">
      <c r="A30" s="639"/>
      <c r="B30" s="652">
        <v>75615</v>
      </c>
      <c r="C30" s="653" t="s">
        <v>1102</v>
      </c>
      <c r="D30" s="654">
        <f t="shared" si="0"/>
        <v>-106326200</v>
      </c>
      <c r="E30" s="654">
        <v>-8500000</v>
      </c>
      <c r="F30" s="654">
        <f>-8500000-3000000</f>
        <v>-11500000</v>
      </c>
      <c r="G30" s="654">
        <v>-8600000</v>
      </c>
      <c r="H30" s="654">
        <v>-8600000</v>
      </c>
      <c r="I30" s="654">
        <v>-8500000</v>
      </c>
      <c r="J30" s="654">
        <v>-8600000</v>
      </c>
      <c r="K30" s="654">
        <v>-8500000</v>
      </c>
      <c r="L30" s="654">
        <v>-8500000</v>
      </c>
      <c r="M30" s="654">
        <v>-9200000</v>
      </c>
      <c r="N30" s="654">
        <v>-8700000</v>
      </c>
      <c r="O30" s="654">
        <v>-8600000</v>
      </c>
      <c r="P30" s="654">
        <v>-8526200</v>
      </c>
    </row>
    <row r="31" spans="1:16" s="643" customFormat="1" ht="59.25" customHeight="1">
      <c r="A31" s="639"/>
      <c r="B31" s="652">
        <v>75616</v>
      </c>
      <c r="C31" s="668" t="s">
        <v>1145</v>
      </c>
      <c r="D31" s="654">
        <f t="shared" si="0"/>
        <v>-37248500</v>
      </c>
      <c r="E31" s="654">
        <v>-2300000</v>
      </c>
      <c r="F31" s="654">
        <v>-2300000</v>
      </c>
      <c r="G31" s="654">
        <v>-4900000</v>
      </c>
      <c r="H31" s="654">
        <v>-4000000</v>
      </c>
      <c r="I31" s="654">
        <v>-4700000</v>
      </c>
      <c r="J31" s="654">
        <v>-2300000</v>
      </c>
      <c r="K31" s="654">
        <v>-2200000</v>
      </c>
      <c r="L31" s="654">
        <v>-2200000</v>
      </c>
      <c r="M31" s="664">
        <v>-4000000</v>
      </c>
      <c r="N31" s="664">
        <v>-2200000</v>
      </c>
      <c r="O31" s="664">
        <v>-4000000</v>
      </c>
      <c r="P31" s="664">
        <v>-2148500</v>
      </c>
    </row>
    <row r="32" spans="1:16" ht="45.75" customHeight="1">
      <c r="A32" s="639"/>
      <c r="B32" s="652">
        <v>75618</v>
      </c>
      <c r="C32" s="653" t="s">
        <v>989</v>
      </c>
      <c r="D32" s="664">
        <f t="shared" si="0"/>
        <v>-8605000</v>
      </c>
      <c r="E32" s="664">
        <v>-700000</v>
      </c>
      <c r="F32" s="664">
        <v>-700000</v>
      </c>
      <c r="G32" s="664">
        <v>-750000</v>
      </c>
      <c r="H32" s="664">
        <v>-750000</v>
      </c>
      <c r="I32" s="664">
        <v>-750000</v>
      </c>
      <c r="J32" s="664">
        <v>-755000</v>
      </c>
      <c r="K32" s="664">
        <v>-700000</v>
      </c>
      <c r="L32" s="664">
        <v>-700000</v>
      </c>
      <c r="M32" s="664">
        <v>-700000</v>
      </c>
      <c r="N32" s="664">
        <v>-700000</v>
      </c>
      <c r="O32" s="664">
        <v>-700000</v>
      </c>
      <c r="P32" s="664">
        <v>-700000</v>
      </c>
    </row>
    <row r="33" spans="1:16" ht="31.5" customHeight="1">
      <c r="A33" s="652"/>
      <c r="B33" s="639">
        <v>75621</v>
      </c>
      <c r="C33" s="1005" t="s">
        <v>878</v>
      </c>
      <c r="D33" s="748">
        <f t="shared" si="0"/>
        <v>-229754182</v>
      </c>
      <c r="E33" s="1006">
        <v>-16405565</v>
      </c>
      <c r="F33" s="1006">
        <v>-15641000</v>
      </c>
      <c r="G33" s="1006">
        <v>-16333358</v>
      </c>
      <c r="H33" s="1006">
        <v>-18933358</v>
      </c>
      <c r="I33" s="1006">
        <v>-17433358</v>
      </c>
      <c r="J33" s="1006">
        <v>-16333358</v>
      </c>
      <c r="K33" s="1006">
        <v>-17433358</v>
      </c>
      <c r="L33" s="1006">
        <v>-20433358</v>
      </c>
      <c r="M33" s="1006">
        <v>-20933358</v>
      </c>
      <c r="N33" s="1006">
        <v>-21933358</v>
      </c>
      <c r="O33" s="1006">
        <v>-23333358</v>
      </c>
      <c r="P33" s="1006">
        <v>-24607395</v>
      </c>
    </row>
    <row r="34" spans="1:16" s="80" customFormat="1" ht="19.5" customHeight="1" thickBot="1">
      <c r="A34" s="669">
        <v>758</v>
      </c>
      <c r="B34" s="669"/>
      <c r="C34" s="670" t="s">
        <v>446</v>
      </c>
      <c r="D34" s="671">
        <f t="shared" si="0"/>
        <v>-1079997</v>
      </c>
      <c r="E34" s="671">
        <f aca="true" t="shared" si="10" ref="E34:P34">E35</f>
        <v>-83000</v>
      </c>
      <c r="F34" s="671">
        <f t="shared" si="10"/>
        <v>-83000</v>
      </c>
      <c r="G34" s="671">
        <f t="shared" si="10"/>
        <v>-83000</v>
      </c>
      <c r="H34" s="671">
        <f t="shared" si="10"/>
        <v>-83000</v>
      </c>
      <c r="I34" s="671">
        <f t="shared" si="10"/>
        <v>-83000</v>
      </c>
      <c r="J34" s="671">
        <f t="shared" si="10"/>
        <v>-165997</v>
      </c>
      <c r="K34" s="671">
        <f t="shared" si="10"/>
        <v>-84000</v>
      </c>
      <c r="L34" s="671">
        <f t="shared" si="10"/>
        <v>-83000</v>
      </c>
      <c r="M34" s="671">
        <f t="shared" si="10"/>
        <v>-83000</v>
      </c>
      <c r="N34" s="671">
        <f t="shared" si="10"/>
        <v>-83000</v>
      </c>
      <c r="O34" s="671">
        <f t="shared" si="10"/>
        <v>-83000</v>
      </c>
      <c r="P34" s="671">
        <f t="shared" si="10"/>
        <v>-83000</v>
      </c>
    </row>
    <row r="35" spans="1:16" ht="19.5" customHeight="1">
      <c r="A35" s="672"/>
      <c r="B35" s="672">
        <v>75814</v>
      </c>
      <c r="C35" s="673" t="s">
        <v>384</v>
      </c>
      <c r="D35" s="674">
        <f t="shared" si="0"/>
        <v>-1079997</v>
      </c>
      <c r="E35" s="674">
        <v>-83000</v>
      </c>
      <c r="F35" s="674">
        <v>-83000</v>
      </c>
      <c r="G35" s="674">
        <v>-83000</v>
      </c>
      <c r="H35" s="674">
        <v>-83000</v>
      </c>
      <c r="I35" s="674">
        <v>-83000</v>
      </c>
      <c r="J35" s="674">
        <f>-86000-79997</f>
        <v>-165997</v>
      </c>
      <c r="K35" s="674">
        <v>-84000</v>
      </c>
      <c r="L35" s="674">
        <v>-83000</v>
      </c>
      <c r="M35" s="674">
        <v>-83000</v>
      </c>
      <c r="N35" s="674">
        <v>-83000</v>
      </c>
      <c r="O35" s="674">
        <v>-83000</v>
      </c>
      <c r="P35" s="674">
        <v>-83000</v>
      </c>
    </row>
    <row r="36" spans="1:16" s="80" customFormat="1" ht="19.5" customHeight="1" thickBot="1">
      <c r="A36" s="665">
        <v>852</v>
      </c>
      <c r="B36" s="665"/>
      <c r="C36" s="675" t="s">
        <v>129</v>
      </c>
      <c r="D36" s="676">
        <f t="shared" si="0"/>
        <v>-6700</v>
      </c>
      <c r="E36" s="676">
        <f aca="true" t="shared" si="11" ref="E36:P36">SUM(E37:E38)</f>
        <v>-555</v>
      </c>
      <c r="F36" s="676">
        <f t="shared" si="11"/>
        <v>-555</v>
      </c>
      <c r="G36" s="676">
        <f t="shared" si="11"/>
        <v>-555</v>
      </c>
      <c r="H36" s="676">
        <f t="shared" si="11"/>
        <v>-555</v>
      </c>
      <c r="I36" s="676">
        <f t="shared" si="11"/>
        <v>-555</v>
      </c>
      <c r="J36" s="676">
        <f t="shared" si="11"/>
        <v>-555</v>
      </c>
      <c r="K36" s="676">
        <f t="shared" si="11"/>
        <v>-555</v>
      </c>
      <c r="L36" s="676">
        <f t="shared" si="11"/>
        <v>-555</v>
      </c>
      <c r="M36" s="676">
        <f t="shared" si="11"/>
        <v>-565</v>
      </c>
      <c r="N36" s="676">
        <f t="shared" si="11"/>
        <v>-565</v>
      </c>
      <c r="O36" s="676">
        <f t="shared" si="11"/>
        <v>-565</v>
      </c>
      <c r="P36" s="676">
        <f t="shared" si="11"/>
        <v>-565</v>
      </c>
    </row>
    <row r="37" spans="1:16" ht="19.5" customHeight="1">
      <c r="A37" s="639"/>
      <c r="B37" s="652">
        <v>85203</v>
      </c>
      <c r="C37" s="653" t="s">
        <v>126</v>
      </c>
      <c r="D37" s="664">
        <f t="shared" si="0"/>
        <v>-1500</v>
      </c>
      <c r="E37" s="664">
        <v>-125</v>
      </c>
      <c r="F37" s="664">
        <v>-125</v>
      </c>
      <c r="G37" s="664">
        <v>-125</v>
      </c>
      <c r="H37" s="664">
        <v>-125</v>
      </c>
      <c r="I37" s="664">
        <v>-125</v>
      </c>
      <c r="J37" s="664">
        <v>-125</v>
      </c>
      <c r="K37" s="664">
        <v>-125</v>
      </c>
      <c r="L37" s="664">
        <v>-125</v>
      </c>
      <c r="M37" s="664">
        <v>-125</v>
      </c>
      <c r="N37" s="664">
        <v>-125</v>
      </c>
      <c r="O37" s="664">
        <v>-125</v>
      </c>
      <c r="P37" s="664">
        <v>-125</v>
      </c>
    </row>
    <row r="38" spans="1:16" ht="28.5" customHeight="1">
      <c r="A38" s="652"/>
      <c r="B38" s="652">
        <v>85228</v>
      </c>
      <c r="C38" s="653" t="s">
        <v>616</v>
      </c>
      <c r="D38" s="664">
        <f t="shared" si="0"/>
        <v>-5200</v>
      </c>
      <c r="E38" s="664">
        <v>-430</v>
      </c>
      <c r="F38" s="664">
        <v>-430</v>
      </c>
      <c r="G38" s="664">
        <v>-430</v>
      </c>
      <c r="H38" s="664">
        <v>-430</v>
      </c>
      <c r="I38" s="664">
        <v>-430</v>
      </c>
      <c r="J38" s="664">
        <v>-430</v>
      </c>
      <c r="K38" s="664">
        <v>-430</v>
      </c>
      <c r="L38" s="664">
        <v>-430</v>
      </c>
      <c r="M38" s="664">
        <v>-440</v>
      </c>
      <c r="N38" s="664">
        <v>-440</v>
      </c>
      <c r="O38" s="664">
        <v>-440</v>
      </c>
      <c r="P38" s="664">
        <v>-440</v>
      </c>
    </row>
    <row r="39" spans="1:16" s="648" customFormat="1" ht="21" customHeight="1" thickBot="1">
      <c r="A39" s="686"/>
      <c r="B39" s="686"/>
      <c r="C39" s="677" t="s">
        <v>1146</v>
      </c>
      <c r="D39" s="678">
        <f t="shared" si="0"/>
        <v>-115171669</v>
      </c>
      <c r="E39" s="678">
        <f aca="true" t="shared" si="12" ref="E39:P39">E40+E42</f>
        <v>-8629048</v>
      </c>
      <c r="F39" s="678">
        <f t="shared" si="12"/>
        <v>-8629047</v>
      </c>
      <c r="G39" s="678">
        <f t="shared" si="12"/>
        <v>-17560188</v>
      </c>
      <c r="H39" s="678">
        <f t="shared" si="12"/>
        <v>-8805931</v>
      </c>
      <c r="I39" s="678">
        <f t="shared" si="12"/>
        <v>-9355932</v>
      </c>
      <c r="J39" s="678">
        <f t="shared" si="12"/>
        <v>-8805931</v>
      </c>
      <c r="K39" s="678">
        <f t="shared" si="12"/>
        <v>-8805933</v>
      </c>
      <c r="L39" s="678">
        <f t="shared" si="12"/>
        <v>-8805931</v>
      </c>
      <c r="M39" s="678">
        <f t="shared" si="12"/>
        <v>-8805933</v>
      </c>
      <c r="N39" s="678">
        <f t="shared" si="12"/>
        <v>-9355931</v>
      </c>
      <c r="O39" s="678">
        <f t="shared" si="12"/>
        <v>-8805933</v>
      </c>
      <c r="P39" s="678">
        <f t="shared" si="12"/>
        <v>-8805931</v>
      </c>
    </row>
    <row r="40" spans="1:16" s="80" customFormat="1" ht="64.5" customHeight="1" thickTop="1">
      <c r="A40" s="679">
        <v>756</v>
      </c>
      <c r="B40" s="679"/>
      <c r="C40" s="628" t="s">
        <v>380</v>
      </c>
      <c r="D40" s="680">
        <f t="shared" si="0"/>
        <v>-1100000</v>
      </c>
      <c r="E40" s="680"/>
      <c r="F40" s="680"/>
      <c r="G40" s="680"/>
      <c r="H40" s="680"/>
      <c r="I40" s="680">
        <f>I41</f>
        <v>-550000</v>
      </c>
      <c r="J40" s="680"/>
      <c r="K40" s="680"/>
      <c r="L40" s="680"/>
      <c r="M40" s="680"/>
      <c r="N40" s="680">
        <f>N41</f>
        <v>-550000</v>
      </c>
      <c r="O40" s="680"/>
      <c r="P40" s="681"/>
    </row>
    <row r="41" spans="1:16" s="648" customFormat="1" ht="60">
      <c r="A41" s="655"/>
      <c r="B41" s="652">
        <v>75615</v>
      </c>
      <c r="C41" s="653" t="s">
        <v>1102</v>
      </c>
      <c r="D41" s="682">
        <f t="shared" si="0"/>
        <v>-1100000</v>
      </c>
      <c r="E41" s="682"/>
      <c r="F41" s="682"/>
      <c r="G41" s="682"/>
      <c r="H41" s="682"/>
      <c r="I41" s="682">
        <v>-550000</v>
      </c>
      <c r="J41" s="682"/>
      <c r="K41" s="682"/>
      <c r="L41" s="682"/>
      <c r="M41" s="682"/>
      <c r="N41" s="682">
        <v>-550000</v>
      </c>
      <c r="O41" s="682"/>
      <c r="P41" s="682"/>
    </row>
    <row r="42" spans="1:16" s="80" customFormat="1" ht="18.75" customHeight="1" thickBot="1">
      <c r="A42" s="665">
        <v>758</v>
      </c>
      <c r="B42" s="665"/>
      <c r="C42" s="675" t="s">
        <v>446</v>
      </c>
      <c r="D42" s="683">
        <f t="shared" si="0"/>
        <v>-114071669</v>
      </c>
      <c r="E42" s="683">
        <f aca="true" t="shared" si="13" ref="E42:P42">E43+E44</f>
        <v>-8629048</v>
      </c>
      <c r="F42" s="683">
        <f t="shared" si="13"/>
        <v>-8629047</v>
      </c>
      <c r="G42" s="683">
        <f t="shared" si="13"/>
        <v>-17560188</v>
      </c>
      <c r="H42" s="683">
        <f t="shared" si="13"/>
        <v>-8805931</v>
      </c>
      <c r="I42" s="683">
        <f t="shared" si="13"/>
        <v>-8805932</v>
      </c>
      <c r="J42" s="683">
        <f t="shared" si="13"/>
        <v>-8805931</v>
      </c>
      <c r="K42" s="683">
        <f t="shared" si="13"/>
        <v>-8805933</v>
      </c>
      <c r="L42" s="683">
        <f t="shared" si="13"/>
        <v>-8805931</v>
      </c>
      <c r="M42" s="683">
        <f t="shared" si="13"/>
        <v>-8805933</v>
      </c>
      <c r="N42" s="683">
        <f t="shared" si="13"/>
        <v>-8805931</v>
      </c>
      <c r="O42" s="683">
        <f t="shared" si="13"/>
        <v>-8805933</v>
      </c>
      <c r="P42" s="683">
        <f t="shared" si="13"/>
        <v>-8805931</v>
      </c>
    </row>
    <row r="43" spans="1:18" ht="30" customHeight="1">
      <c r="A43" s="639"/>
      <c r="B43" s="639">
        <v>75801</v>
      </c>
      <c r="C43" s="684" t="s">
        <v>1147</v>
      </c>
      <c r="D43" s="654">
        <f t="shared" si="0"/>
        <v>-109206347</v>
      </c>
      <c r="E43" s="741">
        <v>-8223604</v>
      </c>
      <c r="F43" s="741">
        <v>-8223604</v>
      </c>
      <c r="G43" s="741">
        <v>-17154744</v>
      </c>
      <c r="H43" s="741">
        <v>-8400488</v>
      </c>
      <c r="I43" s="741">
        <v>-8400488</v>
      </c>
      <c r="J43" s="741">
        <v>-8400488</v>
      </c>
      <c r="K43" s="741">
        <v>-8400489</v>
      </c>
      <c r="L43" s="741">
        <v>-8400488</v>
      </c>
      <c r="M43" s="741">
        <v>-8400489</v>
      </c>
      <c r="N43" s="741">
        <v>-8400488</v>
      </c>
      <c r="O43" s="741">
        <v>-8400489</v>
      </c>
      <c r="P43" s="741">
        <v>-8400488</v>
      </c>
      <c r="Q43" s="612"/>
      <c r="R43" s="612"/>
    </row>
    <row r="44" spans="1:18" ht="20.25" customHeight="1">
      <c r="A44" s="639"/>
      <c r="B44" s="719">
        <v>75831</v>
      </c>
      <c r="C44" s="668" t="s">
        <v>1104</v>
      </c>
      <c r="D44" s="741">
        <f t="shared" si="0"/>
        <v>-4865322</v>
      </c>
      <c r="E44" s="741">
        <v>-405444</v>
      </c>
      <c r="F44" s="741">
        <v>-405443</v>
      </c>
      <c r="G44" s="741">
        <v>-405444</v>
      </c>
      <c r="H44" s="741">
        <v>-405443</v>
      </c>
      <c r="I44" s="741">
        <v>-405444</v>
      </c>
      <c r="J44" s="741">
        <v>-405443</v>
      </c>
      <c r="K44" s="741">
        <v>-405444</v>
      </c>
      <c r="L44" s="741">
        <v>-405443</v>
      </c>
      <c r="M44" s="741">
        <v>-405444</v>
      </c>
      <c r="N44" s="741">
        <v>-405443</v>
      </c>
      <c r="O44" s="741">
        <v>-405444</v>
      </c>
      <c r="P44" s="741">
        <v>-405443</v>
      </c>
      <c r="Q44" s="612"/>
      <c r="R44" s="612"/>
    </row>
    <row r="45" spans="1:16" s="648" customFormat="1" ht="35.25" customHeight="1" thickBot="1">
      <c r="A45" s="644"/>
      <c r="B45" s="686"/>
      <c r="C45" s="677" t="s">
        <v>403</v>
      </c>
      <c r="D45" s="678">
        <f t="shared" si="0"/>
        <v>-31609737</v>
      </c>
      <c r="E45" s="678">
        <f aca="true" t="shared" si="14" ref="E45:P45">E46+E48+E50+E52+E54+E58+E65+E67+E70+E63</f>
        <v>-1608182</v>
      </c>
      <c r="F45" s="678">
        <f t="shared" si="14"/>
        <v>-1864300</v>
      </c>
      <c r="G45" s="678">
        <f t="shared" si="14"/>
        <v>-8230182</v>
      </c>
      <c r="H45" s="678">
        <f t="shared" si="14"/>
        <v>-2041764</v>
      </c>
      <c r="I45" s="678">
        <f t="shared" si="14"/>
        <v>-2807729</v>
      </c>
      <c r="J45" s="678">
        <f t="shared" si="14"/>
        <v>-2564440</v>
      </c>
      <c r="K45" s="678">
        <f t="shared" si="14"/>
        <v>-1565291</v>
      </c>
      <c r="L45" s="678">
        <f t="shared" si="14"/>
        <v>-2144628</v>
      </c>
      <c r="M45" s="678">
        <f t="shared" si="14"/>
        <v>-1516688</v>
      </c>
      <c r="N45" s="678">
        <f t="shared" si="14"/>
        <v>-3442326</v>
      </c>
      <c r="O45" s="678">
        <f t="shared" si="14"/>
        <v>-1897373</v>
      </c>
      <c r="P45" s="678">
        <f t="shared" si="14"/>
        <v>-1926834</v>
      </c>
    </row>
    <row r="46" spans="1:16" s="648" customFormat="1" ht="21" customHeight="1" thickBot="1" thickTop="1">
      <c r="A46" s="669">
        <v>600</v>
      </c>
      <c r="B46" s="687"/>
      <c r="C46" s="688" t="s">
        <v>525</v>
      </c>
      <c r="D46" s="689">
        <f t="shared" si="0"/>
        <v>-4444207</v>
      </c>
      <c r="E46" s="689"/>
      <c r="F46" s="689"/>
      <c r="G46" s="689"/>
      <c r="H46" s="689">
        <f>H47</f>
        <v>-253620</v>
      </c>
      <c r="I46" s="689"/>
      <c r="J46" s="689">
        <f aca="true" t="shared" si="15" ref="J46:P46">J47</f>
        <v>-1020097</v>
      </c>
      <c r="K46" s="689">
        <f t="shared" si="15"/>
        <v>-464085</v>
      </c>
      <c r="L46" s="689">
        <f t="shared" si="15"/>
        <v>-418671</v>
      </c>
      <c r="M46" s="690">
        <f t="shared" si="15"/>
        <v>-484777</v>
      </c>
      <c r="N46" s="690">
        <f t="shared" si="15"/>
        <v>-600985</v>
      </c>
      <c r="O46" s="690">
        <f t="shared" si="15"/>
        <v>-600986</v>
      </c>
      <c r="P46" s="690">
        <f t="shared" si="15"/>
        <v>-600986</v>
      </c>
    </row>
    <row r="47" spans="1:17" s="648" customFormat="1" ht="21" customHeight="1">
      <c r="A47" s="691"/>
      <c r="B47" s="672">
        <v>60004</v>
      </c>
      <c r="C47" s="673" t="s">
        <v>647</v>
      </c>
      <c r="D47" s="692">
        <f t="shared" si="0"/>
        <v>-4444207</v>
      </c>
      <c r="E47" s="692"/>
      <c r="F47" s="692"/>
      <c r="G47" s="692"/>
      <c r="H47" s="692">
        <v>-253620</v>
      </c>
      <c r="I47" s="692"/>
      <c r="J47" s="692">
        <v>-1020097</v>
      </c>
      <c r="K47" s="692">
        <v>-464085</v>
      </c>
      <c r="L47" s="692">
        <v>-418671</v>
      </c>
      <c r="M47" s="693">
        <v>-484777</v>
      </c>
      <c r="N47" s="693">
        <v>-600985</v>
      </c>
      <c r="O47" s="693">
        <v>-600986</v>
      </c>
      <c r="P47" s="693">
        <v>-600986</v>
      </c>
      <c r="Q47" s="694"/>
    </row>
    <row r="48" spans="1:17" s="700" customFormat="1" ht="21" customHeight="1" thickBot="1">
      <c r="A48" s="695">
        <v>630</v>
      </c>
      <c r="B48" s="695"/>
      <c r="C48" s="696" t="s">
        <v>430</v>
      </c>
      <c r="D48" s="697">
        <f t="shared" si="0"/>
        <v>-439057</v>
      </c>
      <c r="E48" s="697"/>
      <c r="F48" s="697">
        <f>F49</f>
        <v>-382294</v>
      </c>
      <c r="G48" s="697"/>
      <c r="H48" s="697">
        <f>H49</f>
        <v>-56763</v>
      </c>
      <c r="I48" s="697"/>
      <c r="J48" s="697"/>
      <c r="K48" s="697"/>
      <c r="L48" s="697"/>
      <c r="M48" s="698"/>
      <c r="N48" s="698"/>
      <c r="O48" s="698"/>
      <c r="P48" s="698"/>
      <c r="Q48" s="699"/>
    </row>
    <row r="49" spans="1:17" s="706" customFormat="1" ht="19.5" customHeight="1">
      <c r="A49" s="701"/>
      <c r="B49" s="701">
        <v>63003</v>
      </c>
      <c r="C49" s="702" t="s">
        <v>432</v>
      </c>
      <c r="D49" s="703">
        <f t="shared" si="0"/>
        <v>-439057</v>
      </c>
      <c r="E49" s="703"/>
      <c r="F49" s="703">
        <v>-382294</v>
      </c>
      <c r="G49" s="703"/>
      <c r="H49" s="703">
        <v>-56763</v>
      </c>
      <c r="I49" s="703"/>
      <c r="J49" s="703"/>
      <c r="K49" s="703"/>
      <c r="L49" s="703"/>
      <c r="M49" s="704"/>
      <c r="N49" s="704"/>
      <c r="O49" s="704"/>
      <c r="P49" s="704"/>
      <c r="Q49" s="705"/>
    </row>
    <row r="50" spans="1:17" s="700" customFormat="1" ht="18.75" customHeight="1" thickBot="1">
      <c r="A50" s="707">
        <v>750</v>
      </c>
      <c r="B50" s="707"/>
      <c r="C50" s="708" t="s">
        <v>439</v>
      </c>
      <c r="D50" s="709">
        <f t="shared" si="0"/>
        <v>-2162613</v>
      </c>
      <c r="E50" s="709">
        <f>E51</f>
        <v>-188513</v>
      </c>
      <c r="F50" s="709"/>
      <c r="G50" s="709"/>
      <c r="H50" s="709"/>
      <c r="I50" s="709">
        <f aca="true" t="shared" si="16" ref="I50:P50">I51</f>
        <v>-234941</v>
      </c>
      <c r="J50" s="709">
        <f t="shared" si="16"/>
        <v>-363485</v>
      </c>
      <c r="K50" s="709">
        <f t="shared" si="16"/>
        <v>-9899</v>
      </c>
      <c r="L50" s="709">
        <f t="shared" si="16"/>
        <v>-750047</v>
      </c>
      <c r="M50" s="710"/>
      <c r="N50" s="710">
        <f t="shared" si="16"/>
        <v>-205243</v>
      </c>
      <c r="O50" s="710">
        <f t="shared" si="16"/>
        <v>-205243</v>
      </c>
      <c r="P50" s="710">
        <f t="shared" si="16"/>
        <v>-205242</v>
      </c>
      <c r="Q50" s="699"/>
    </row>
    <row r="51" spans="1:17" s="706" customFormat="1" ht="18.75" customHeight="1">
      <c r="A51" s="711"/>
      <c r="B51" s="711">
        <v>75023</v>
      </c>
      <c r="C51" s="712" t="s">
        <v>1061</v>
      </c>
      <c r="D51" s="713">
        <f t="shared" si="0"/>
        <v>-2162613</v>
      </c>
      <c r="E51" s="713">
        <v>-188513</v>
      </c>
      <c r="F51" s="713"/>
      <c r="G51" s="713"/>
      <c r="H51" s="713"/>
      <c r="I51" s="713">
        <v>-234941</v>
      </c>
      <c r="J51" s="713">
        <v>-363485</v>
      </c>
      <c r="K51" s="713">
        <v>-9899</v>
      </c>
      <c r="L51" s="713">
        <v>-750047</v>
      </c>
      <c r="M51" s="714"/>
      <c r="N51" s="714">
        <v>-205243</v>
      </c>
      <c r="O51" s="714">
        <v>-205243</v>
      </c>
      <c r="P51" s="714">
        <v>-205242</v>
      </c>
      <c r="Q51" s="705"/>
    </row>
    <row r="52" spans="1:16" s="648" customFormat="1" ht="18.75" customHeight="1" thickBot="1">
      <c r="A52" s="665">
        <v>758</v>
      </c>
      <c r="B52" s="715"/>
      <c r="C52" s="675" t="s">
        <v>446</v>
      </c>
      <c r="D52" s="676">
        <f t="shared" si="0"/>
        <v>-487631</v>
      </c>
      <c r="E52" s="676"/>
      <c r="F52" s="676"/>
      <c r="G52" s="676"/>
      <c r="H52" s="676">
        <f>H53</f>
        <v>-48288</v>
      </c>
      <c r="I52" s="676">
        <f>I53</f>
        <v>-120770</v>
      </c>
      <c r="J52" s="676">
        <f>J53</f>
        <v>-139139</v>
      </c>
      <c r="K52" s="676"/>
      <c r="L52" s="676">
        <f>L53</f>
        <v>-28700</v>
      </c>
      <c r="M52" s="676"/>
      <c r="N52" s="676"/>
      <c r="O52" s="676">
        <f>O53</f>
        <v>-150734</v>
      </c>
      <c r="P52" s="676"/>
    </row>
    <row r="53" spans="1:19" s="648" customFormat="1" ht="18.75" customHeight="1">
      <c r="A53" s="644"/>
      <c r="B53" s="652">
        <v>75860</v>
      </c>
      <c r="C53" s="653" t="s">
        <v>309</v>
      </c>
      <c r="D53" s="662">
        <f t="shared" si="0"/>
        <v>-487631</v>
      </c>
      <c r="E53" s="662"/>
      <c r="F53" s="662"/>
      <c r="G53" s="662"/>
      <c r="H53" s="662">
        <v>-48288</v>
      </c>
      <c r="I53" s="662">
        <v>-120770</v>
      </c>
      <c r="J53" s="662">
        <f>-72774-66365</f>
        <v>-139139</v>
      </c>
      <c r="K53" s="662"/>
      <c r="L53" s="662">
        <v>-28700</v>
      </c>
      <c r="M53" s="682"/>
      <c r="N53" s="682"/>
      <c r="O53" s="682">
        <f>-129787-20947</f>
        <v>-150734</v>
      </c>
      <c r="P53" s="682"/>
      <c r="Q53" s="716"/>
      <c r="R53" s="716"/>
      <c r="S53" s="717"/>
    </row>
    <row r="54" spans="1:16" s="648" customFormat="1" ht="18.75" customHeight="1" thickBot="1">
      <c r="A54" s="669">
        <v>801</v>
      </c>
      <c r="B54" s="687"/>
      <c r="C54" s="670" t="s">
        <v>448</v>
      </c>
      <c r="D54" s="671">
        <f t="shared" si="0"/>
        <v>-2116116</v>
      </c>
      <c r="E54" s="671"/>
      <c r="F54" s="671"/>
      <c r="G54" s="671"/>
      <c r="H54" s="671">
        <f>H55+H56</f>
        <v>-538918</v>
      </c>
      <c r="I54" s="671">
        <f>I55+I56</f>
        <v>-143352</v>
      </c>
      <c r="J54" s="671">
        <f>J57</f>
        <v>-9697</v>
      </c>
      <c r="K54" s="671"/>
      <c r="L54" s="671"/>
      <c r="M54" s="671">
        <f>M55+M56</f>
        <v>-10269</v>
      </c>
      <c r="N54" s="671">
        <f>N55+N56</f>
        <v>-1413880</v>
      </c>
      <c r="O54" s="671"/>
      <c r="P54" s="671"/>
    </row>
    <row r="55" spans="1:17" s="648" customFormat="1" ht="18.75" customHeight="1">
      <c r="A55" s="718"/>
      <c r="B55" s="740">
        <v>80101</v>
      </c>
      <c r="C55" s="1008" t="s">
        <v>449</v>
      </c>
      <c r="D55" s="1009">
        <f t="shared" si="0"/>
        <v>-1800550</v>
      </c>
      <c r="E55" s="1009"/>
      <c r="F55" s="1009"/>
      <c r="G55" s="1009"/>
      <c r="H55" s="1009">
        <v>-538918</v>
      </c>
      <c r="I55" s="1009">
        <v>-143352</v>
      </c>
      <c r="J55" s="1009"/>
      <c r="K55" s="1009"/>
      <c r="L55" s="1009"/>
      <c r="M55" s="1009">
        <v>-4400</v>
      </c>
      <c r="N55" s="1009">
        <v>-1113880</v>
      </c>
      <c r="O55" s="1009"/>
      <c r="P55" s="1009"/>
      <c r="Q55" s="8"/>
    </row>
    <row r="56" spans="1:17" s="648" customFormat="1" ht="18.75" customHeight="1">
      <c r="A56" s="655"/>
      <c r="B56" s="719">
        <v>80110</v>
      </c>
      <c r="C56" s="668" t="s">
        <v>450</v>
      </c>
      <c r="D56" s="1049">
        <f t="shared" si="0"/>
        <v>-305869</v>
      </c>
      <c r="E56" s="1049"/>
      <c r="F56" s="1049"/>
      <c r="G56" s="1049"/>
      <c r="H56" s="1049"/>
      <c r="I56" s="1049"/>
      <c r="J56" s="1049"/>
      <c r="K56" s="1049"/>
      <c r="L56" s="1049"/>
      <c r="M56" s="858">
        <v>-5869</v>
      </c>
      <c r="N56" s="858">
        <v>-300000</v>
      </c>
      <c r="O56" s="858"/>
      <c r="P56" s="858"/>
      <c r="Q56" s="8"/>
    </row>
    <row r="57" spans="1:17" s="648" customFormat="1" ht="18.75" customHeight="1">
      <c r="A57" s="644"/>
      <c r="B57" s="719">
        <v>80195</v>
      </c>
      <c r="C57" s="653" t="s">
        <v>100</v>
      </c>
      <c r="D57" s="662">
        <f>SUM(E57:P57)</f>
        <v>-9697</v>
      </c>
      <c r="E57" s="662"/>
      <c r="F57" s="662"/>
      <c r="G57" s="662"/>
      <c r="H57" s="662"/>
      <c r="I57" s="662"/>
      <c r="J57" s="662">
        <v>-9697</v>
      </c>
      <c r="K57" s="662"/>
      <c r="L57" s="662"/>
      <c r="M57" s="682"/>
      <c r="N57" s="682"/>
      <c r="O57" s="682"/>
      <c r="P57" s="682"/>
      <c r="Q57" s="8"/>
    </row>
    <row r="58" spans="1:16" s="648" customFormat="1" ht="20.25" customHeight="1" thickBot="1">
      <c r="A58" s="665">
        <v>852</v>
      </c>
      <c r="B58" s="715"/>
      <c r="C58" s="675" t="s">
        <v>129</v>
      </c>
      <c r="D58" s="676">
        <f t="shared" si="0"/>
        <v>-13476214</v>
      </c>
      <c r="E58" s="676">
        <f aca="true" t="shared" si="17" ref="E58:P58">E59+E60+E61+E62</f>
        <v>-871575</v>
      </c>
      <c r="F58" s="676">
        <f t="shared" si="17"/>
        <v>-1482006</v>
      </c>
      <c r="G58" s="676">
        <f t="shared" si="17"/>
        <v>-902812</v>
      </c>
      <c r="H58" s="676">
        <f t="shared" si="17"/>
        <v>-974715</v>
      </c>
      <c r="I58" s="676">
        <f t="shared" si="17"/>
        <v>-1969691</v>
      </c>
      <c r="J58" s="676">
        <f t="shared" si="17"/>
        <v>-982022</v>
      </c>
      <c r="K58" s="676">
        <f t="shared" si="17"/>
        <v>-1091307</v>
      </c>
      <c r="L58" s="676">
        <f t="shared" si="17"/>
        <v>-947210</v>
      </c>
      <c r="M58" s="676">
        <f t="shared" si="17"/>
        <v>-971642</v>
      </c>
      <c r="N58" s="676">
        <f t="shared" si="17"/>
        <v>-1222218</v>
      </c>
      <c r="O58" s="676">
        <f t="shared" si="17"/>
        <v>-940410</v>
      </c>
      <c r="P58" s="676">
        <f t="shared" si="17"/>
        <v>-1120606</v>
      </c>
    </row>
    <row r="59" spans="1:16" s="648" customFormat="1" ht="30" customHeight="1">
      <c r="A59" s="655"/>
      <c r="B59" s="652">
        <v>85214</v>
      </c>
      <c r="C59" s="653" t="s">
        <v>459</v>
      </c>
      <c r="D59" s="662">
        <f t="shared" si="0"/>
        <v>-4731000</v>
      </c>
      <c r="E59" s="662">
        <v>-394250</v>
      </c>
      <c r="F59" s="662">
        <v>-394250</v>
      </c>
      <c r="G59" s="662">
        <v>-394250</v>
      </c>
      <c r="H59" s="662">
        <v>-394250</v>
      </c>
      <c r="I59" s="662">
        <v>-394250</v>
      </c>
      <c r="J59" s="662">
        <v>-394250</v>
      </c>
      <c r="K59" s="662">
        <v>-394250</v>
      </c>
      <c r="L59" s="662">
        <v>-394250</v>
      </c>
      <c r="M59" s="662">
        <v>-394250</v>
      </c>
      <c r="N59" s="662">
        <v>-394250</v>
      </c>
      <c r="O59" s="662">
        <v>-394250</v>
      </c>
      <c r="P59" s="662">
        <v>-394250</v>
      </c>
    </row>
    <row r="60" spans="1:19" s="648" customFormat="1" ht="21" customHeight="1">
      <c r="A60" s="655"/>
      <c r="B60" s="758">
        <v>85219</v>
      </c>
      <c r="C60" s="684" t="s">
        <v>1020</v>
      </c>
      <c r="D60" s="662">
        <f t="shared" si="0"/>
        <v>-4450682</v>
      </c>
      <c r="E60" s="662">
        <v>-314285</v>
      </c>
      <c r="F60" s="662">
        <v>-461320</v>
      </c>
      <c r="G60" s="662">
        <v>-348982</v>
      </c>
      <c r="H60" s="662">
        <v>-420885</v>
      </c>
      <c r="I60" s="662">
        <v>-504231</v>
      </c>
      <c r="J60" s="662">
        <v>-341612</v>
      </c>
      <c r="K60" s="662">
        <v>-450897</v>
      </c>
      <c r="L60" s="662">
        <v>-306800</v>
      </c>
      <c r="M60" s="662">
        <v>-331232</v>
      </c>
      <c r="N60" s="662">
        <v>-356838</v>
      </c>
      <c r="O60" s="662">
        <v>-306800</v>
      </c>
      <c r="P60" s="662">
        <v>-306800</v>
      </c>
      <c r="Q60" s="720"/>
      <c r="R60" s="720"/>
      <c r="S60" s="717"/>
    </row>
    <row r="61" spans="1:16" s="648" customFormat="1" ht="21" customHeight="1">
      <c r="A61" s="655"/>
      <c r="B61" s="719">
        <v>85232</v>
      </c>
      <c r="C61" s="668" t="s">
        <v>708</v>
      </c>
      <c r="D61" s="662">
        <f t="shared" si="0"/>
        <v>-1134632</v>
      </c>
      <c r="E61" s="721"/>
      <c r="F61" s="662">
        <v>-274036</v>
      </c>
      <c r="G61" s="662"/>
      <c r="H61" s="662"/>
      <c r="I61" s="662">
        <v>-455000</v>
      </c>
      <c r="J61" s="662"/>
      <c r="K61" s="662"/>
      <c r="L61" s="662"/>
      <c r="M61" s="662"/>
      <c r="N61" s="662">
        <v>-225000</v>
      </c>
      <c r="O61" s="662"/>
      <c r="P61" s="662">
        <f>-189870+9274</f>
        <v>-180596</v>
      </c>
    </row>
    <row r="62" spans="1:16" s="648" customFormat="1" ht="21" customHeight="1">
      <c r="A62" s="655"/>
      <c r="B62" s="758">
        <v>85295</v>
      </c>
      <c r="C62" s="684" t="s">
        <v>100</v>
      </c>
      <c r="D62" s="662">
        <f t="shared" si="0"/>
        <v>-3159900</v>
      </c>
      <c r="E62" s="858">
        <v>-163040</v>
      </c>
      <c r="F62" s="858">
        <v>-352400</v>
      </c>
      <c r="G62" s="858">
        <v>-159580</v>
      </c>
      <c r="H62" s="858">
        <v>-159580</v>
      </c>
      <c r="I62" s="858">
        <v>-616210</v>
      </c>
      <c r="J62" s="858">
        <v>-246160</v>
      </c>
      <c r="K62" s="858">
        <v>-246160</v>
      </c>
      <c r="L62" s="858">
        <v>-246160</v>
      </c>
      <c r="M62" s="858">
        <v>-246160</v>
      </c>
      <c r="N62" s="858">
        <v>-246130</v>
      </c>
      <c r="O62" s="858">
        <v>-239360</v>
      </c>
      <c r="P62" s="858">
        <v>-238960</v>
      </c>
    </row>
    <row r="63" spans="1:17" s="700" customFormat="1" ht="21" customHeight="1" thickBot="1">
      <c r="A63" s="707">
        <v>854</v>
      </c>
      <c r="B63" s="707"/>
      <c r="C63" s="707" t="s">
        <v>618</v>
      </c>
      <c r="D63" s="709">
        <f t="shared" si="0"/>
        <v>-1016758</v>
      </c>
      <c r="E63" s="709"/>
      <c r="F63" s="709"/>
      <c r="G63" s="709">
        <f>G64</f>
        <v>-508323</v>
      </c>
      <c r="H63" s="709">
        <f>H64</f>
        <v>-169460</v>
      </c>
      <c r="I63" s="709">
        <f>I64</f>
        <v>-338975</v>
      </c>
      <c r="J63" s="709"/>
      <c r="K63" s="709"/>
      <c r="L63" s="709"/>
      <c r="M63" s="710"/>
      <c r="N63" s="710"/>
      <c r="O63" s="710"/>
      <c r="P63" s="710"/>
      <c r="Q63" s="699"/>
    </row>
    <row r="64" spans="1:17" s="706" customFormat="1" ht="18.75" customHeight="1">
      <c r="A64" s="711"/>
      <c r="B64" s="711">
        <v>85415</v>
      </c>
      <c r="C64" s="712" t="s">
        <v>396</v>
      </c>
      <c r="D64" s="713">
        <f t="shared" si="0"/>
        <v>-1016758</v>
      </c>
      <c r="E64" s="713"/>
      <c r="F64" s="713"/>
      <c r="G64" s="713">
        <v>-508323</v>
      </c>
      <c r="H64" s="713">
        <v>-169460</v>
      </c>
      <c r="I64" s="713">
        <v>-338975</v>
      </c>
      <c r="J64" s="713"/>
      <c r="K64" s="713"/>
      <c r="L64" s="713"/>
      <c r="M64" s="714"/>
      <c r="N64" s="714"/>
      <c r="O64" s="714"/>
      <c r="P64" s="714"/>
      <c r="Q64" s="705"/>
    </row>
    <row r="65" spans="1:17" s="700" customFormat="1" ht="32.25" customHeight="1" thickBot="1">
      <c r="A65" s="707">
        <v>900</v>
      </c>
      <c r="B65" s="707"/>
      <c r="C65" s="708" t="s">
        <v>1048</v>
      </c>
      <c r="D65" s="709">
        <f t="shared" si="0"/>
        <v>-1255587</v>
      </c>
      <c r="E65" s="709">
        <f>E66</f>
        <v>-530103</v>
      </c>
      <c r="F65" s="709"/>
      <c r="G65" s="709">
        <f>G66</f>
        <v>-725484</v>
      </c>
      <c r="H65" s="709"/>
      <c r="I65" s="709"/>
      <c r="J65" s="709"/>
      <c r="K65" s="709"/>
      <c r="L65" s="709"/>
      <c r="M65" s="710"/>
      <c r="N65" s="710"/>
      <c r="O65" s="710"/>
      <c r="P65" s="710"/>
      <c r="Q65" s="699"/>
    </row>
    <row r="66" spans="1:17" s="706" customFormat="1" ht="21" customHeight="1">
      <c r="A66" s="711"/>
      <c r="B66" s="711">
        <v>90002</v>
      </c>
      <c r="C66" s="712" t="s">
        <v>176</v>
      </c>
      <c r="D66" s="713">
        <f t="shared" si="0"/>
        <v>-1255587</v>
      </c>
      <c r="E66" s="713">
        <v>-530103</v>
      </c>
      <c r="F66" s="713"/>
      <c r="G66" s="713">
        <v>-725484</v>
      </c>
      <c r="H66" s="713"/>
      <c r="I66" s="713"/>
      <c r="J66" s="713"/>
      <c r="K66" s="713"/>
      <c r="L66" s="713"/>
      <c r="M66" s="714"/>
      <c r="N66" s="714"/>
      <c r="O66" s="714"/>
      <c r="P66" s="714"/>
      <c r="Q66" s="705"/>
    </row>
    <row r="67" spans="1:17" s="700" customFormat="1" ht="21" customHeight="1" thickBot="1">
      <c r="A67" s="695">
        <v>921</v>
      </c>
      <c r="B67" s="695"/>
      <c r="C67" s="696" t="s">
        <v>401</v>
      </c>
      <c r="D67" s="697">
        <f t="shared" si="0"/>
        <v>-22533</v>
      </c>
      <c r="E67" s="697">
        <f>E68</f>
        <v>-17991</v>
      </c>
      <c r="F67" s="697"/>
      <c r="G67" s="697">
        <f>SUM(G68:G69)</f>
        <v>-4542</v>
      </c>
      <c r="H67" s="697"/>
      <c r="I67" s="697"/>
      <c r="J67" s="697"/>
      <c r="K67" s="697"/>
      <c r="L67" s="697"/>
      <c r="M67" s="698"/>
      <c r="N67" s="698"/>
      <c r="O67" s="698"/>
      <c r="P67" s="698"/>
      <c r="Q67" s="699"/>
    </row>
    <row r="68" spans="1:17" s="706" customFormat="1" ht="18.75" customHeight="1">
      <c r="A68" s="722"/>
      <c r="B68" s="701">
        <v>92105</v>
      </c>
      <c r="C68" s="702" t="s">
        <v>397</v>
      </c>
      <c r="D68" s="703">
        <f t="shared" si="0"/>
        <v>-17991</v>
      </c>
      <c r="E68" s="703">
        <v>-17991</v>
      </c>
      <c r="F68" s="703"/>
      <c r="G68" s="703"/>
      <c r="H68" s="703"/>
      <c r="I68" s="703"/>
      <c r="J68" s="703"/>
      <c r="K68" s="703"/>
      <c r="L68" s="703"/>
      <c r="M68" s="704"/>
      <c r="N68" s="704"/>
      <c r="O68" s="704"/>
      <c r="P68" s="704"/>
      <c r="Q68" s="705"/>
    </row>
    <row r="69" spans="1:17" s="706" customFormat="1" ht="18.75" customHeight="1">
      <c r="A69" s="701"/>
      <c r="B69" s="701">
        <v>92109</v>
      </c>
      <c r="C69" s="702" t="s">
        <v>1043</v>
      </c>
      <c r="D69" s="703">
        <f aca="true" t="shared" si="18" ref="D69:D124">SUM(E69:P69)</f>
        <v>-4542</v>
      </c>
      <c r="E69" s="703"/>
      <c r="F69" s="703"/>
      <c r="G69" s="703">
        <v>-4542</v>
      </c>
      <c r="H69" s="703"/>
      <c r="I69" s="703"/>
      <c r="J69" s="703"/>
      <c r="K69" s="703"/>
      <c r="L69" s="703"/>
      <c r="M69" s="704"/>
      <c r="N69" s="704"/>
      <c r="O69" s="704"/>
      <c r="P69" s="704"/>
      <c r="Q69" s="705"/>
    </row>
    <row r="70" spans="1:17" s="700" customFormat="1" ht="21" customHeight="1" thickBot="1">
      <c r="A70" s="707">
        <v>926</v>
      </c>
      <c r="B70" s="707"/>
      <c r="C70" s="708" t="s">
        <v>1045</v>
      </c>
      <c r="D70" s="709">
        <f t="shared" si="18"/>
        <v>-6189021</v>
      </c>
      <c r="E70" s="709"/>
      <c r="F70" s="709"/>
      <c r="G70" s="709">
        <f>G71</f>
        <v>-6089021</v>
      </c>
      <c r="H70" s="709"/>
      <c r="I70" s="709"/>
      <c r="J70" s="709">
        <f>J72</f>
        <v>-50000</v>
      </c>
      <c r="K70" s="709"/>
      <c r="L70" s="709"/>
      <c r="M70" s="710">
        <f>M72</f>
        <v>-50000</v>
      </c>
      <c r="N70" s="710"/>
      <c r="O70" s="710"/>
      <c r="P70" s="710"/>
      <c r="Q70" s="699"/>
    </row>
    <row r="71" spans="1:17" s="706" customFormat="1" ht="18.75" customHeight="1">
      <c r="A71" s="723"/>
      <c r="B71" s="723">
        <v>92604</v>
      </c>
      <c r="C71" s="1015" t="s">
        <v>1047</v>
      </c>
      <c r="D71" s="1016">
        <f t="shared" si="18"/>
        <v>-6089021</v>
      </c>
      <c r="E71" s="1016"/>
      <c r="F71" s="1016"/>
      <c r="G71" s="1016">
        <v>-6089021</v>
      </c>
      <c r="H71" s="1016"/>
      <c r="I71" s="1016"/>
      <c r="J71" s="1016"/>
      <c r="K71" s="1016"/>
      <c r="L71" s="1016"/>
      <c r="M71" s="1017"/>
      <c r="N71" s="1017"/>
      <c r="O71" s="1017"/>
      <c r="P71" s="1017"/>
      <c r="Q71" s="705"/>
    </row>
    <row r="72" spans="1:17" s="706" customFormat="1" ht="19.5" customHeight="1">
      <c r="A72" s="722"/>
      <c r="B72" s="1018">
        <v>92695</v>
      </c>
      <c r="C72" s="1019" t="s">
        <v>100</v>
      </c>
      <c r="D72" s="1020">
        <f>SUM(E72:P72)</f>
        <v>-100000</v>
      </c>
      <c r="E72" s="1020"/>
      <c r="F72" s="1020"/>
      <c r="G72" s="1020"/>
      <c r="H72" s="1020"/>
      <c r="I72" s="1020"/>
      <c r="J72" s="1020">
        <v>-50000</v>
      </c>
      <c r="K72" s="1020"/>
      <c r="L72" s="1020"/>
      <c r="M72" s="1021">
        <v>-50000</v>
      </c>
      <c r="N72" s="1021"/>
      <c r="O72" s="1021"/>
      <c r="P72" s="1021"/>
      <c r="Q72" s="705"/>
    </row>
    <row r="73" spans="1:16" s="648" customFormat="1" ht="47.25" customHeight="1" thickBot="1">
      <c r="A73" s="644"/>
      <c r="B73" s="686"/>
      <c r="C73" s="677" t="s">
        <v>974</v>
      </c>
      <c r="D73" s="678">
        <f t="shared" si="18"/>
        <v>-847216</v>
      </c>
      <c r="E73" s="678">
        <f aca="true" t="shared" si="19" ref="E73:P73">E74+E78+E76</f>
        <v>-1350</v>
      </c>
      <c r="F73" s="678">
        <f t="shared" si="19"/>
        <v>-1350</v>
      </c>
      <c r="G73" s="678">
        <f t="shared" si="19"/>
        <v>-1330</v>
      </c>
      <c r="H73" s="678">
        <f t="shared" si="19"/>
        <v>-1330</v>
      </c>
      <c r="I73" s="678">
        <f t="shared" si="19"/>
        <v>-121209</v>
      </c>
      <c r="J73" s="678">
        <f t="shared" si="19"/>
        <v>-13830</v>
      </c>
      <c r="K73" s="678">
        <f t="shared" si="19"/>
        <v>-1330</v>
      </c>
      <c r="L73" s="678">
        <f t="shared" si="19"/>
        <v>-1330</v>
      </c>
      <c r="M73" s="678">
        <f t="shared" si="19"/>
        <v>-687667</v>
      </c>
      <c r="N73" s="678">
        <f t="shared" si="19"/>
        <v>-13830</v>
      </c>
      <c r="O73" s="678">
        <f t="shared" si="19"/>
        <v>-1330</v>
      </c>
      <c r="P73" s="678">
        <f t="shared" si="19"/>
        <v>-1330</v>
      </c>
    </row>
    <row r="74" spans="1:16" s="648" customFormat="1" ht="21" customHeight="1" thickBot="1" thickTop="1">
      <c r="A74" s="665">
        <v>150</v>
      </c>
      <c r="B74" s="715"/>
      <c r="C74" s="650" t="s">
        <v>905</v>
      </c>
      <c r="D74" s="658">
        <f t="shared" si="18"/>
        <v>-806216</v>
      </c>
      <c r="E74" s="658"/>
      <c r="F74" s="658"/>
      <c r="G74" s="658"/>
      <c r="H74" s="658"/>
      <c r="I74" s="658">
        <f>I75</f>
        <v>-119879</v>
      </c>
      <c r="J74" s="658"/>
      <c r="K74" s="658"/>
      <c r="L74" s="658"/>
      <c r="M74" s="724">
        <f>M75</f>
        <v>-686337</v>
      </c>
      <c r="N74" s="724"/>
      <c r="O74" s="724"/>
      <c r="P74" s="724"/>
    </row>
    <row r="75" spans="1:16" s="648" customFormat="1" ht="19.5" customHeight="1">
      <c r="A75" s="691"/>
      <c r="B75" s="672">
        <v>15011</v>
      </c>
      <c r="C75" s="673" t="s">
        <v>416</v>
      </c>
      <c r="D75" s="692">
        <f t="shared" si="18"/>
        <v>-806216</v>
      </c>
      <c r="E75" s="692"/>
      <c r="F75" s="692"/>
      <c r="G75" s="692"/>
      <c r="H75" s="692"/>
      <c r="I75" s="692">
        <v>-119879</v>
      </c>
      <c r="J75" s="692"/>
      <c r="K75" s="692"/>
      <c r="L75" s="692"/>
      <c r="M75" s="692">
        <v>-686337</v>
      </c>
      <c r="N75" s="692"/>
      <c r="O75" s="692"/>
      <c r="P75" s="692"/>
    </row>
    <row r="76" spans="1:16" s="648" customFormat="1" ht="21.75" customHeight="1" thickBot="1">
      <c r="A76" s="665">
        <v>710</v>
      </c>
      <c r="B76" s="715"/>
      <c r="C76" s="675" t="s">
        <v>436</v>
      </c>
      <c r="D76" s="676">
        <f t="shared" si="18"/>
        <v>-25000</v>
      </c>
      <c r="E76" s="676"/>
      <c r="F76" s="676"/>
      <c r="G76" s="676"/>
      <c r="H76" s="676"/>
      <c r="I76" s="676"/>
      <c r="J76" s="676">
        <f>J77</f>
        <v>-12500</v>
      </c>
      <c r="K76" s="676"/>
      <c r="L76" s="676"/>
      <c r="M76" s="676"/>
      <c r="N76" s="676">
        <f>N77</f>
        <v>-12500</v>
      </c>
      <c r="O76" s="676"/>
      <c r="P76" s="676"/>
    </row>
    <row r="77" spans="1:16" s="648" customFormat="1" ht="18.75" customHeight="1">
      <c r="A77" s="655"/>
      <c r="B77" s="652">
        <v>71035</v>
      </c>
      <c r="C77" s="653" t="s">
        <v>191</v>
      </c>
      <c r="D77" s="662">
        <f t="shared" si="18"/>
        <v>-25000</v>
      </c>
      <c r="E77" s="662"/>
      <c r="F77" s="662"/>
      <c r="G77" s="662"/>
      <c r="H77" s="662"/>
      <c r="I77" s="662"/>
      <c r="J77" s="662">
        <v>-12500</v>
      </c>
      <c r="K77" s="662"/>
      <c r="L77" s="662"/>
      <c r="M77" s="662"/>
      <c r="N77" s="662">
        <v>-12500</v>
      </c>
      <c r="O77" s="662"/>
      <c r="P77" s="662"/>
    </row>
    <row r="78" spans="1:16" s="648" customFormat="1" ht="18.75" customHeight="1" thickBot="1">
      <c r="A78" s="665">
        <v>801</v>
      </c>
      <c r="B78" s="715"/>
      <c r="C78" s="675" t="s">
        <v>448</v>
      </c>
      <c r="D78" s="676">
        <f t="shared" si="18"/>
        <v>-16000</v>
      </c>
      <c r="E78" s="676">
        <f aca="true" t="shared" si="20" ref="E78:P78">E79</f>
        <v>-1350</v>
      </c>
      <c r="F78" s="676">
        <f t="shared" si="20"/>
        <v>-1350</v>
      </c>
      <c r="G78" s="676">
        <f t="shared" si="20"/>
        <v>-1330</v>
      </c>
      <c r="H78" s="676">
        <f t="shared" si="20"/>
        <v>-1330</v>
      </c>
      <c r="I78" s="676">
        <f t="shared" si="20"/>
        <v>-1330</v>
      </c>
      <c r="J78" s="676">
        <f t="shared" si="20"/>
        <v>-1330</v>
      </c>
      <c r="K78" s="676">
        <f t="shared" si="20"/>
        <v>-1330</v>
      </c>
      <c r="L78" s="676">
        <f t="shared" si="20"/>
        <v>-1330</v>
      </c>
      <c r="M78" s="676">
        <f t="shared" si="20"/>
        <v>-1330</v>
      </c>
      <c r="N78" s="676">
        <f t="shared" si="20"/>
        <v>-1330</v>
      </c>
      <c r="O78" s="676">
        <f t="shared" si="20"/>
        <v>-1330</v>
      </c>
      <c r="P78" s="676">
        <f t="shared" si="20"/>
        <v>-1330</v>
      </c>
    </row>
    <row r="79" spans="1:16" s="648" customFormat="1" ht="18.75" customHeight="1">
      <c r="A79" s="655"/>
      <c r="B79" s="652">
        <v>80195</v>
      </c>
      <c r="C79" s="653" t="s">
        <v>100</v>
      </c>
      <c r="D79" s="662">
        <f t="shared" si="18"/>
        <v>-16000</v>
      </c>
      <c r="E79" s="662">
        <v>-1350</v>
      </c>
      <c r="F79" s="662">
        <v>-1350</v>
      </c>
      <c r="G79" s="662">
        <v>-1330</v>
      </c>
      <c r="H79" s="662">
        <v>-1330</v>
      </c>
      <c r="I79" s="662">
        <v>-1330</v>
      </c>
      <c r="J79" s="662">
        <v>-1330</v>
      </c>
      <c r="K79" s="662">
        <v>-1330</v>
      </c>
      <c r="L79" s="662">
        <v>-1330</v>
      </c>
      <c r="M79" s="662">
        <v>-1330</v>
      </c>
      <c r="N79" s="662">
        <v>-1330</v>
      </c>
      <c r="O79" s="662">
        <v>-1330</v>
      </c>
      <c r="P79" s="662">
        <v>-1330</v>
      </c>
    </row>
    <row r="80" spans="1:16" s="648" customFormat="1" ht="45.75" customHeight="1" thickBot="1">
      <c r="A80" s="644"/>
      <c r="B80" s="644"/>
      <c r="C80" s="645" t="s">
        <v>964</v>
      </c>
      <c r="D80" s="725">
        <f t="shared" si="18"/>
        <v>-87767485</v>
      </c>
      <c r="E80" s="725">
        <f aca="true" t="shared" si="21" ref="E80:P80">E83+E85+E87+E91+E93+E81+E89+E100+E102</f>
        <v>-8293374</v>
      </c>
      <c r="F80" s="725">
        <f t="shared" si="21"/>
        <v>-6372482</v>
      </c>
      <c r="G80" s="725">
        <f t="shared" si="21"/>
        <v>-7344650</v>
      </c>
      <c r="H80" s="725">
        <f t="shared" si="21"/>
        <v>-7340502</v>
      </c>
      <c r="I80" s="725">
        <f t="shared" si="21"/>
        <v>-7305118</v>
      </c>
      <c r="J80" s="725">
        <f t="shared" si="21"/>
        <v>-7403880</v>
      </c>
      <c r="K80" s="725">
        <f t="shared" si="21"/>
        <v>-7280290</v>
      </c>
      <c r="L80" s="725">
        <f t="shared" si="21"/>
        <v>-7280290</v>
      </c>
      <c r="M80" s="725">
        <f t="shared" si="21"/>
        <v>-7280290</v>
      </c>
      <c r="N80" s="725">
        <f t="shared" si="21"/>
        <v>-7282790</v>
      </c>
      <c r="O80" s="725">
        <f t="shared" si="21"/>
        <v>-7293351</v>
      </c>
      <c r="P80" s="725">
        <f t="shared" si="21"/>
        <v>-7290468</v>
      </c>
    </row>
    <row r="81" spans="1:16" s="80" customFormat="1" ht="21" customHeight="1" thickBot="1" thickTop="1">
      <c r="A81" s="1010" t="s">
        <v>1022</v>
      </c>
      <c r="B81" s="726"/>
      <c r="C81" s="688" t="s">
        <v>1023</v>
      </c>
      <c r="D81" s="689">
        <f t="shared" si="18"/>
        <v>-4548</v>
      </c>
      <c r="E81" s="630"/>
      <c r="F81" s="630"/>
      <c r="G81" s="630"/>
      <c r="H81" s="630"/>
      <c r="I81" s="630">
        <f>I82</f>
        <v>-4548</v>
      </c>
      <c r="J81" s="630"/>
      <c r="K81" s="630"/>
      <c r="L81" s="630"/>
      <c r="M81" s="630"/>
      <c r="N81" s="630"/>
      <c r="O81" s="630"/>
      <c r="P81" s="630"/>
    </row>
    <row r="82" spans="1:16" ht="21" customHeight="1">
      <c r="A82" s="672"/>
      <c r="B82" s="761" t="s">
        <v>743</v>
      </c>
      <c r="C82" s="673" t="s">
        <v>100</v>
      </c>
      <c r="D82" s="727">
        <f t="shared" si="18"/>
        <v>-4548</v>
      </c>
      <c r="E82" s="727"/>
      <c r="F82" s="727"/>
      <c r="G82" s="727"/>
      <c r="H82" s="727"/>
      <c r="I82" s="727">
        <v>-4548</v>
      </c>
      <c r="J82" s="727"/>
      <c r="K82" s="727"/>
      <c r="L82" s="727"/>
      <c r="M82" s="727"/>
      <c r="N82" s="727"/>
      <c r="O82" s="727"/>
      <c r="P82" s="727"/>
    </row>
    <row r="83" spans="1:16" s="80" customFormat="1" ht="21" customHeight="1" thickBot="1">
      <c r="A83" s="726">
        <v>750</v>
      </c>
      <c r="B83" s="726"/>
      <c r="C83" s="688" t="s">
        <v>439</v>
      </c>
      <c r="D83" s="689">
        <f t="shared" si="18"/>
        <v>-1568923</v>
      </c>
      <c r="E83" s="689">
        <f aca="true" t="shared" si="22" ref="E83:P83">E84</f>
        <v>-120700</v>
      </c>
      <c r="F83" s="689">
        <f t="shared" si="22"/>
        <v>-120700</v>
      </c>
      <c r="G83" s="689">
        <f t="shared" si="22"/>
        <v>-130740</v>
      </c>
      <c r="H83" s="689">
        <f t="shared" si="22"/>
        <v>-130740</v>
      </c>
      <c r="I83" s="689">
        <f t="shared" si="22"/>
        <v>-130740</v>
      </c>
      <c r="J83" s="689">
        <f t="shared" si="22"/>
        <v>-130740</v>
      </c>
      <c r="K83" s="689">
        <f t="shared" si="22"/>
        <v>-130740</v>
      </c>
      <c r="L83" s="689">
        <f t="shared" si="22"/>
        <v>-130740</v>
      </c>
      <c r="M83" s="630">
        <f t="shared" si="22"/>
        <v>-130740</v>
      </c>
      <c r="N83" s="630">
        <f t="shared" si="22"/>
        <v>-130740</v>
      </c>
      <c r="O83" s="630">
        <f t="shared" si="22"/>
        <v>-140801</v>
      </c>
      <c r="P83" s="630">
        <f t="shared" si="22"/>
        <v>-140802</v>
      </c>
    </row>
    <row r="84" spans="1:16" ht="21" customHeight="1">
      <c r="A84" s="672"/>
      <c r="B84" s="672">
        <v>75011</v>
      </c>
      <c r="C84" s="673" t="s">
        <v>1049</v>
      </c>
      <c r="D84" s="727">
        <f t="shared" si="18"/>
        <v>-1568923</v>
      </c>
      <c r="E84" s="727">
        <v>-120700</v>
      </c>
      <c r="F84" s="727">
        <v>-120700</v>
      </c>
      <c r="G84" s="727">
        <v>-130740</v>
      </c>
      <c r="H84" s="727">
        <v>-130740</v>
      </c>
      <c r="I84" s="727">
        <v>-130740</v>
      </c>
      <c r="J84" s="727">
        <v>-130740</v>
      </c>
      <c r="K84" s="727">
        <v>-130740</v>
      </c>
      <c r="L84" s="727">
        <v>-130740</v>
      </c>
      <c r="M84" s="727">
        <v>-130740</v>
      </c>
      <c r="N84" s="727">
        <v>-130740</v>
      </c>
      <c r="O84" s="727">
        <v>-140801</v>
      </c>
      <c r="P84" s="727">
        <v>-140802</v>
      </c>
    </row>
    <row r="85" spans="1:16" s="80" customFormat="1" ht="48.75" customHeight="1" thickBot="1">
      <c r="A85" s="665">
        <v>751</v>
      </c>
      <c r="B85" s="665"/>
      <c r="C85" s="675" t="s">
        <v>387</v>
      </c>
      <c r="D85" s="683">
        <f t="shared" si="18"/>
        <v>-28672</v>
      </c>
      <c r="E85" s="683">
        <f aca="true" t="shared" si="23" ref="E85:P85">E86</f>
        <v>-2306</v>
      </c>
      <c r="F85" s="683">
        <f t="shared" si="23"/>
        <v>-2390</v>
      </c>
      <c r="G85" s="683">
        <f t="shared" si="23"/>
        <v>-2390</v>
      </c>
      <c r="H85" s="683">
        <f t="shared" si="23"/>
        <v>-2390</v>
      </c>
      <c r="I85" s="683">
        <f t="shared" si="23"/>
        <v>-2390</v>
      </c>
      <c r="J85" s="683">
        <f t="shared" si="23"/>
        <v>-2390</v>
      </c>
      <c r="K85" s="683">
        <f t="shared" si="23"/>
        <v>-2390</v>
      </c>
      <c r="L85" s="683">
        <f t="shared" si="23"/>
        <v>-2390</v>
      </c>
      <c r="M85" s="683">
        <f t="shared" si="23"/>
        <v>-2390</v>
      </c>
      <c r="N85" s="683">
        <f t="shared" si="23"/>
        <v>-2390</v>
      </c>
      <c r="O85" s="683">
        <f t="shared" si="23"/>
        <v>-2390</v>
      </c>
      <c r="P85" s="683">
        <f t="shared" si="23"/>
        <v>-2466</v>
      </c>
    </row>
    <row r="86" spans="1:16" ht="31.5" customHeight="1">
      <c r="A86" s="652"/>
      <c r="B86" s="652">
        <v>75101</v>
      </c>
      <c r="C86" s="653" t="s">
        <v>966</v>
      </c>
      <c r="D86" s="654">
        <f t="shared" si="18"/>
        <v>-28672</v>
      </c>
      <c r="E86" s="654">
        <v>-2306</v>
      </c>
      <c r="F86" s="654">
        <v>-2390</v>
      </c>
      <c r="G86" s="654">
        <v>-2390</v>
      </c>
      <c r="H86" s="654">
        <v>-2390</v>
      </c>
      <c r="I86" s="654">
        <v>-2390</v>
      </c>
      <c r="J86" s="654">
        <v>-2390</v>
      </c>
      <c r="K86" s="654">
        <v>-2390</v>
      </c>
      <c r="L86" s="654">
        <v>-2390</v>
      </c>
      <c r="M86" s="654">
        <v>-2390</v>
      </c>
      <c r="N86" s="654">
        <v>-2390</v>
      </c>
      <c r="O86" s="654">
        <v>-2390</v>
      </c>
      <c r="P86" s="654">
        <v>-2466</v>
      </c>
    </row>
    <row r="87" spans="1:16" s="80" customFormat="1" ht="33.75" customHeight="1" thickBot="1">
      <c r="A87" s="669">
        <v>754</v>
      </c>
      <c r="B87" s="669"/>
      <c r="C87" s="728" t="s">
        <v>441</v>
      </c>
      <c r="D87" s="729">
        <f t="shared" si="18"/>
        <v>-1700</v>
      </c>
      <c r="E87" s="729"/>
      <c r="F87" s="729"/>
      <c r="G87" s="729">
        <f>G88</f>
        <v>-1700</v>
      </c>
      <c r="H87" s="729"/>
      <c r="I87" s="729"/>
      <c r="J87" s="729"/>
      <c r="K87" s="729"/>
      <c r="L87" s="729"/>
      <c r="M87" s="729"/>
      <c r="N87" s="729"/>
      <c r="O87" s="729"/>
      <c r="P87" s="729"/>
    </row>
    <row r="88" spans="1:16" ht="21" customHeight="1">
      <c r="A88" s="672"/>
      <c r="B88" s="672">
        <v>75414</v>
      </c>
      <c r="C88" s="730" t="s">
        <v>545</v>
      </c>
      <c r="D88" s="727">
        <f t="shared" si="18"/>
        <v>-1700</v>
      </c>
      <c r="E88" s="727"/>
      <c r="F88" s="727"/>
      <c r="G88" s="727">
        <v>-1700</v>
      </c>
      <c r="H88" s="727"/>
      <c r="I88" s="727"/>
      <c r="J88" s="727"/>
      <c r="K88" s="727"/>
      <c r="L88" s="727"/>
      <c r="M88" s="727"/>
      <c r="N88" s="727"/>
      <c r="O88" s="727"/>
      <c r="P88" s="727"/>
    </row>
    <row r="89" spans="1:16" s="80" customFormat="1" ht="21" customHeight="1" thickBot="1">
      <c r="A89" s="649">
        <v>801</v>
      </c>
      <c r="B89" s="649"/>
      <c r="C89" s="650" t="s">
        <v>448</v>
      </c>
      <c r="D89" s="658">
        <f t="shared" si="18"/>
        <v>-6048</v>
      </c>
      <c r="E89" s="658"/>
      <c r="F89" s="658"/>
      <c r="G89" s="658"/>
      <c r="H89" s="658"/>
      <c r="I89" s="658"/>
      <c r="J89" s="658">
        <f>J90</f>
        <v>-6048</v>
      </c>
      <c r="K89" s="658"/>
      <c r="L89" s="658"/>
      <c r="M89" s="651"/>
      <c r="N89" s="651"/>
      <c r="O89" s="651"/>
      <c r="P89" s="651"/>
    </row>
    <row r="90" spans="1:16" ht="21" customHeight="1">
      <c r="A90" s="652"/>
      <c r="B90" s="652">
        <v>80195</v>
      </c>
      <c r="C90" s="653" t="s">
        <v>100</v>
      </c>
      <c r="D90" s="654">
        <f t="shared" si="18"/>
        <v>-6048</v>
      </c>
      <c r="E90" s="654"/>
      <c r="F90" s="654"/>
      <c r="G90" s="654"/>
      <c r="H90" s="654"/>
      <c r="I90" s="654"/>
      <c r="J90" s="654">
        <v>-6048</v>
      </c>
      <c r="K90" s="654"/>
      <c r="L90" s="654"/>
      <c r="M90" s="654"/>
      <c r="N90" s="654"/>
      <c r="O90" s="654"/>
      <c r="P90" s="654"/>
    </row>
    <row r="91" spans="1:16" s="80" customFormat="1" ht="21" customHeight="1" thickBot="1">
      <c r="A91" s="649">
        <v>851</v>
      </c>
      <c r="B91" s="649"/>
      <c r="C91" s="650" t="s">
        <v>106</v>
      </c>
      <c r="D91" s="658">
        <f t="shared" si="18"/>
        <v>-8000</v>
      </c>
      <c r="E91" s="658"/>
      <c r="F91" s="658"/>
      <c r="G91" s="658"/>
      <c r="H91" s="658"/>
      <c r="I91" s="658"/>
      <c r="J91" s="658">
        <f>J92</f>
        <v>-2500</v>
      </c>
      <c r="K91" s="658"/>
      <c r="L91" s="658"/>
      <c r="M91" s="651"/>
      <c r="N91" s="651">
        <f>N92</f>
        <v>-2500</v>
      </c>
      <c r="O91" s="651">
        <f>O92</f>
        <v>-3000</v>
      </c>
      <c r="P91" s="651"/>
    </row>
    <row r="92" spans="1:16" ht="21" customHeight="1">
      <c r="A92" s="652"/>
      <c r="B92" s="652">
        <v>85195</v>
      </c>
      <c r="C92" s="653" t="s">
        <v>100</v>
      </c>
      <c r="D92" s="654">
        <f t="shared" si="18"/>
        <v>-8000</v>
      </c>
      <c r="E92" s="654"/>
      <c r="F92" s="654"/>
      <c r="G92" s="654"/>
      <c r="H92" s="654"/>
      <c r="I92" s="654"/>
      <c r="J92" s="654">
        <v>-2500</v>
      </c>
      <c r="K92" s="654"/>
      <c r="L92" s="654"/>
      <c r="M92" s="654"/>
      <c r="N92" s="654">
        <v>-2500</v>
      </c>
      <c r="O92" s="654">
        <v>-3000</v>
      </c>
      <c r="P92" s="654"/>
    </row>
    <row r="93" spans="1:16" s="80" customFormat="1" ht="21" customHeight="1" thickBot="1">
      <c r="A93" s="665">
        <v>852</v>
      </c>
      <c r="B93" s="665"/>
      <c r="C93" s="675" t="s">
        <v>129</v>
      </c>
      <c r="D93" s="667">
        <f t="shared" si="18"/>
        <v>-86058152</v>
      </c>
      <c r="E93" s="667">
        <f aca="true" t="shared" si="24" ref="E93:P93">E94+E95+E96+E97+E98+E99</f>
        <v>-8170368</v>
      </c>
      <c r="F93" s="667">
        <f t="shared" si="24"/>
        <v>-6249392</v>
      </c>
      <c r="G93" s="667">
        <f t="shared" si="24"/>
        <v>-7209820</v>
      </c>
      <c r="H93" s="667">
        <f t="shared" si="24"/>
        <v>-7207372</v>
      </c>
      <c r="I93" s="667">
        <f t="shared" si="24"/>
        <v>-7167440</v>
      </c>
      <c r="J93" s="667">
        <f t="shared" si="24"/>
        <v>-7170760</v>
      </c>
      <c r="K93" s="667">
        <f t="shared" si="24"/>
        <v>-7147160</v>
      </c>
      <c r="L93" s="667">
        <f t="shared" si="24"/>
        <v>-7147160</v>
      </c>
      <c r="M93" s="667">
        <f t="shared" si="24"/>
        <v>-7147160</v>
      </c>
      <c r="N93" s="667">
        <f t="shared" si="24"/>
        <v>-7147160</v>
      </c>
      <c r="O93" s="667">
        <f t="shared" si="24"/>
        <v>-7147160</v>
      </c>
      <c r="P93" s="667">
        <f t="shared" si="24"/>
        <v>-7147200</v>
      </c>
    </row>
    <row r="94" spans="1:16" ht="23.25" customHeight="1">
      <c r="A94" s="639"/>
      <c r="B94" s="639">
        <v>85203</v>
      </c>
      <c r="C94" s="684" t="s">
        <v>126</v>
      </c>
      <c r="D94" s="654">
        <f t="shared" si="18"/>
        <v>-271000</v>
      </c>
      <c r="E94" s="654">
        <v>-62660</v>
      </c>
      <c r="F94" s="654">
        <v>-62740</v>
      </c>
      <c r="G94" s="654">
        <v>-62660</v>
      </c>
      <c r="H94" s="654">
        <v>-62660</v>
      </c>
      <c r="I94" s="654">
        <v>-20280</v>
      </c>
      <c r="J94" s="654"/>
      <c r="K94" s="654"/>
      <c r="L94" s="654"/>
      <c r="M94" s="654"/>
      <c r="N94" s="654"/>
      <c r="O94" s="654"/>
      <c r="P94" s="654"/>
    </row>
    <row r="95" spans="1:16" ht="30" customHeight="1">
      <c r="A95" s="639"/>
      <c r="B95" s="719">
        <v>85212</v>
      </c>
      <c r="C95" s="668" t="s">
        <v>976</v>
      </c>
      <c r="D95" s="654">
        <f t="shared" si="18"/>
        <v>-74451000</v>
      </c>
      <c r="E95" s="654">
        <v>-7168128</v>
      </c>
      <c r="F95" s="654">
        <v>-5247072</v>
      </c>
      <c r="G95" s="654">
        <v>-6207580</v>
      </c>
      <c r="H95" s="654">
        <v>-6167580</v>
      </c>
      <c r="I95" s="654">
        <v>-6207580</v>
      </c>
      <c r="J95" s="654">
        <v>-6207580</v>
      </c>
      <c r="K95" s="654">
        <v>-6207580</v>
      </c>
      <c r="L95" s="654">
        <v>-6207580</v>
      </c>
      <c r="M95" s="654">
        <v>-6207580</v>
      </c>
      <c r="N95" s="654">
        <v>-6207580</v>
      </c>
      <c r="O95" s="654">
        <v>-6207580</v>
      </c>
      <c r="P95" s="654">
        <v>-6207580</v>
      </c>
    </row>
    <row r="96" spans="1:16" ht="60" customHeight="1">
      <c r="A96" s="639"/>
      <c r="B96" s="652">
        <v>85213</v>
      </c>
      <c r="C96" s="731" t="s">
        <v>270</v>
      </c>
      <c r="D96" s="654">
        <f t="shared" si="18"/>
        <v>-729000</v>
      </c>
      <c r="E96" s="654">
        <v>-60750</v>
      </c>
      <c r="F96" s="654">
        <v>-60750</v>
      </c>
      <c r="G96" s="654">
        <v>-60750</v>
      </c>
      <c r="H96" s="654">
        <v>-60750</v>
      </c>
      <c r="I96" s="654">
        <v>-60750</v>
      </c>
      <c r="J96" s="654">
        <v>-60750</v>
      </c>
      <c r="K96" s="654">
        <v>-60750</v>
      </c>
      <c r="L96" s="654">
        <v>-60750</v>
      </c>
      <c r="M96" s="654">
        <v>-60750</v>
      </c>
      <c r="N96" s="654">
        <v>-60750</v>
      </c>
      <c r="O96" s="654">
        <v>-60750</v>
      </c>
      <c r="P96" s="654">
        <v>-60750</v>
      </c>
    </row>
    <row r="97" spans="1:16" ht="30" customHeight="1">
      <c r="A97" s="639"/>
      <c r="B97" s="652">
        <v>85214</v>
      </c>
      <c r="C97" s="653" t="s">
        <v>459</v>
      </c>
      <c r="D97" s="682">
        <f t="shared" si="18"/>
        <v>-9268000</v>
      </c>
      <c r="E97" s="682">
        <v>-772330</v>
      </c>
      <c r="F97" s="682">
        <v>-772330</v>
      </c>
      <c r="G97" s="682">
        <v>-772330</v>
      </c>
      <c r="H97" s="682">
        <v>-772330</v>
      </c>
      <c r="I97" s="682">
        <v>-772330</v>
      </c>
      <c r="J97" s="682">
        <v>-772330</v>
      </c>
      <c r="K97" s="682">
        <v>-772330</v>
      </c>
      <c r="L97" s="682">
        <v>-772330</v>
      </c>
      <c r="M97" s="682">
        <v>-772330</v>
      </c>
      <c r="N97" s="682">
        <v>-772330</v>
      </c>
      <c r="O97" s="682">
        <v>-772330</v>
      </c>
      <c r="P97" s="682">
        <v>-772370</v>
      </c>
    </row>
    <row r="98" spans="1:16" ht="31.5" customHeight="1">
      <c r="A98" s="639"/>
      <c r="B98" s="652">
        <v>85228</v>
      </c>
      <c r="C98" s="653" t="s">
        <v>616</v>
      </c>
      <c r="D98" s="682">
        <f t="shared" si="18"/>
        <v>-1278000</v>
      </c>
      <c r="E98" s="682">
        <v>-106500</v>
      </c>
      <c r="F98" s="682">
        <v>-106500</v>
      </c>
      <c r="G98" s="682">
        <v>-106500</v>
      </c>
      <c r="H98" s="682">
        <v>-106500</v>
      </c>
      <c r="I98" s="682">
        <v>-106500</v>
      </c>
      <c r="J98" s="682">
        <v>-106500</v>
      </c>
      <c r="K98" s="682">
        <v>-106500</v>
      </c>
      <c r="L98" s="682">
        <v>-106500</v>
      </c>
      <c r="M98" s="682">
        <v>-106500</v>
      </c>
      <c r="N98" s="682">
        <v>-106500</v>
      </c>
      <c r="O98" s="682">
        <v>-106500</v>
      </c>
      <c r="P98" s="682">
        <v>-106500</v>
      </c>
    </row>
    <row r="99" spans="1:16" ht="24.75" customHeight="1">
      <c r="A99" s="639"/>
      <c r="B99" s="758">
        <v>85278</v>
      </c>
      <c r="C99" s="1005" t="s">
        <v>671</v>
      </c>
      <c r="D99" s="858">
        <f t="shared" si="18"/>
        <v>-61152</v>
      </c>
      <c r="E99" s="858"/>
      <c r="F99" s="858"/>
      <c r="G99" s="858"/>
      <c r="H99" s="858">
        <v>-37552</v>
      </c>
      <c r="I99" s="858"/>
      <c r="J99" s="858">
        <v>-23600</v>
      </c>
      <c r="K99" s="858"/>
      <c r="L99" s="858"/>
      <c r="M99" s="858"/>
      <c r="N99" s="858"/>
      <c r="O99" s="858"/>
      <c r="P99" s="858"/>
    </row>
    <row r="100" spans="1:16" s="80" customFormat="1" ht="21" customHeight="1" thickBot="1">
      <c r="A100" s="665">
        <v>854</v>
      </c>
      <c r="B100" s="665"/>
      <c r="C100" s="675" t="s">
        <v>618</v>
      </c>
      <c r="D100" s="658">
        <f t="shared" si="18"/>
        <v>-57442</v>
      </c>
      <c r="E100" s="658"/>
      <c r="F100" s="658"/>
      <c r="G100" s="658"/>
      <c r="H100" s="658"/>
      <c r="I100" s="658"/>
      <c r="J100" s="658">
        <f>J101</f>
        <v>-57442</v>
      </c>
      <c r="K100" s="658"/>
      <c r="L100" s="658"/>
      <c r="M100" s="651"/>
      <c r="N100" s="651"/>
      <c r="O100" s="651"/>
      <c r="P100" s="651"/>
    </row>
    <row r="101" spans="1:16" ht="45">
      <c r="A101" s="652"/>
      <c r="B101" s="652">
        <v>85412</v>
      </c>
      <c r="C101" s="653" t="s">
        <v>929</v>
      </c>
      <c r="D101" s="654">
        <f t="shared" si="18"/>
        <v>-57442</v>
      </c>
      <c r="E101" s="654"/>
      <c r="F101" s="654"/>
      <c r="G101" s="654"/>
      <c r="H101" s="654"/>
      <c r="I101" s="654"/>
      <c r="J101" s="654">
        <v>-57442</v>
      </c>
      <c r="K101" s="654"/>
      <c r="L101" s="654"/>
      <c r="M101" s="654"/>
      <c r="N101" s="654"/>
      <c r="O101" s="654"/>
      <c r="P101" s="654"/>
    </row>
    <row r="102" spans="1:16" s="80" customFormat="1" ht="21" customHeight="1" thickBot="1">
      <c r="A102" s="665">
        <v>921</v>
      </c>
      <c r="B102" s="649"/>
      <c r="C102" s="650" t="s">
        <v>401</v>
      </c>
      <c r="D102" s="658">
        <f t="shared" si="18"/>
        <v>-34000</v>
      </c>
      <c r="E102" s="658"/>
      <c r="F102" s="658"/>
      <c r="G102" s="658"/>
      <c r="H102" s="658"/>
      <c r="I102" s="658"/>
      <c r="J102" s="658">
        <f>J103</f>
        <v>-34000</v>
      </c>
      <c r="K102" s="658"/>
      <c r="L102" s="658"/>
      <c r="M102" s="651"/>
      <c r="N102" s="651"/>
      <c r="O102" s="651"/>
      <c r="P102" s="651"/>
    </row>
    <row r="103" spans="1:16" ht="21" customHeight="1">
      <c r="A103" s="639"/>
      <c r="B103" s="652">
        <v>92109</v>
      </c>
      <c r="C103" s="653" t="s">
        <v>1043</v>
      </c>
      <c r="D103" s="654">
        <f t="shared" si="18"/>
        <v>-34000</v>
      </c>
      <c r="E103" s="654"/>
      <c r="F103" s="654"/>
      <c r="G103" s="654"/>
      <c r="H103" s="654"/>
      <c r="I103" s="654"/>
      <c r="J103" s="654">
        <v>-34000</v>
      </c>
      <c r="K103" s="654"/>
      <c r="L103" s="654"/>
      <c r="M103" s="654"/>
      <c r="N103" s="654"/>
      <c r="O103" s="654"/>
      <c r="P103" s="654"/>
    </row>
    <row r="104" spans="1:16" ht="19.5" customHeight="1">
      <c r="A104" s="639"/>
      <c r="B104" s="639"/>
      <c r="C104" s="732" t="s">
        <v>242</v>
      </c>
      <c r="D104" s="657">
        <f t="shared" si="18"/>
        <v>-268427771</v>
      </c>
      <c r="E104" s="657">
        <f aca="true" t="shared" si="25" ref="E104:P104">E105+E114+E119+E140+E150</f>
        <v>-20222970</v>
      </c>
      <c r="F104" s="657">
        <f t="shared" si="25"/>
        <v>-16883082</v>
      </c>
      <c r="G104" s="657">
        <f t="shared" si="25"/>
        <v>-35295997</v>
      </c>
      <c r="H104" s="657">
        <f t="shared" si="25"/>
        <v>-22331120</v>
      </c>
      <c r="I104" s="657">
        <f t="shared" si="25"/>
        <v>-19200174</v>
      </c>
      <c r="J104" s="657">
        <f t="shared" si="25"/>
        <v>-24510836</v>
      </c>
      <c r="K104" s="657">
        <f t="shared" si="25"/>
        <v>-20078848</v>
      </c>
      <c r="L104" s="657">
        <f t="shared" si="25"/>
        <v>-20917069</v>
      </c>
      <c r="M104" s="733">
        <f t="shared" si="25"/>
        <v>-21379127</v>
      </c>
      <c r="N104" s="733">
        <f t="shared" si="25"/>
        <v>-23263618</v>
      </c>
      <c r="O104" s="733">
        <f t="shared" si="25"/>
        <v>-21937620</v>
      </c>
      <c r="P104" s="733">
        <f t="shared" si="25"/>
        <v>-22407310</v>
      </c>
    </row>
    <row r="105" spans="1:16" s="648" customFormat="1" ht="15.75" customHeight="1" thickBot="1">
      <c r="A105" s="644"/>
      <c r="B105" s="644"/>
      <c r="C105" s="645" t="s">
        <v>967</v>
      </c>
      <c r="D105" s="647">
        <f t="shared" si="18"/>
        <v>-65468928</v>
      </c>
      <c r="E105" s="647">
        <f aca="true" t="shared" si="26" ref="E105:P105">E106+E108+E110+E112</f>
        <v>-4663383</v>
      </c>
      <c r="F105" s="647">
        <f t="shared" si="26"/>
        <v>-4211820</v>
      </c>
      <c r="G105" s="647">
        <f t="shared" si="26"/>
        <v>-5451094</v>
      </c>
      <c r="H105" s="647">
        <f t="shared" si="26"/>
        <v>-4961094</v>
      </c>
      <c r="I105" s="647">
        <f t="shared" si="26"/>
        <v>-4801094</v>
      </c>
      <c r="J105" s="647">
        <f t="shared" si="26"/>
        <v>-4801094</v>
      </c>
      <c r="K105" s="647">
        <f t="shared" si="26"/>
        <v>-4881094</v>
      </c>
      <c r="L105" s="647">
        <f t="shared" si="26"/>
        <v>-5781094</v>
      </c>
      <c r="M105" s="647">
        <f t="shared" si="26"/>
        <v>-5981094</v>
      </c>
      <c r="N105" s="647">
        <f t="shared" si="26"/>
        <v>-6201093</v>
      </c>
      <c r="O105" s="647">
        <f t="shared" si="26"/>
        <v>-6605094</v>
      </c>
      <c r="P105" s="647">
        <f t="shared" si="26"/>
        <v>-7129880</v>
      </c>
    </row>
    <row r="106" spans="1:16" s="80" customFormat="1" ht="21" customHeight="1" thickBot="1" thickTop="1">
      <c r="A106" s="688">
        <v>700</v>
      </c>
      <c r="B106" s="688"/>
      <c r="C106" s="734" t="s">
        <v>271</v>
      </c>
      <c r="D106" s="735">
        <f t="shared" si="18"/>
        <v>-2100000</v>
      </c>
      <c r="E106" s="735">
        <f aca="true" t="shared" si="27" ref="E106:P106">E107</f>
        <v>-35000</v>
      </c>
      <c r="F106" s="735">
        <f t="shared" si="27"/>
        <v>-11000</v>
      </c>
      <c r="G106" s="735">
        <f t="shared" si="27"/>
        <v>-1600000</v>
      </c>
      <c r="H106" s="735">
        <f t="shared" si="27"/>
        <v>-10000</v>
      </c>
      <c r="I106" s="735">
        <f t="shared" si="27"/>
        <v>-50000</v>
      </c>
      <c r="J106" s="735">
        <f t="shared" si="27"/>
        <v>-150000</v>
      </c>
      <c r="K106" s="735">
        <f t="shared" si="27"/>
        <v>-30000</v>
      </c>
      <c r="L106" s="735">
        <f t="shared" si="27"/>
        <v>-30000</v>
      </c>
      <c r="M106" s="735">
        <f t="shared" si="27"/>
        <v>-30000</v>
      </c>
      <c r="N106" s="735">
        <f t="shared" si="27"/>
        <v>-50000</v>
      </c>
      <c r="O106" s="735">
        <f t="shared" si="27"/>
        <v>-54000</v>
      </c>
      <c r="P106" s="735">
        <f t="shared" si="27"/>
        <v>-50000</v>
      </c>
    </row>
    <row r="107" spans="1:16" ht="21" customHeight="1">
      <c r="A107" s="672"/>
      <c r="B107" s="672">
        <v>70005</v>
      </c>
      <c r="C107" s="673" t="s">
        <v>435</v>
      </c>
      <c r="D107" s="674">
        <f t="shared" si="18"/>
        <v>-2100000</v>
      </c>
      <c r="E107" s="674">
        <v>-35000</v>
      </c>
      <c r="F107" s="674">
        <v>-11000</v>
      </c>
      <c r="G107" s="674">
        <v>-1600000</v>
      </c>
      <c r="H107" s="674">
        <v>-10000</v>
      </c>
      <c r="I107" s="674">
        <v>-50000</v>
      </c>
      <c r="J107" s="674">
        <v>-150000</v>
      </c>
      <c r="K107" s="674">
        <v>-30000</v>
      </c>
      <c r="L107" s="674">
        <v>-30000</v>
      </c>
      <c r="M107" s="727">
        <v>-30000</v>
      </c>
      <c r="N107" s="727">
        <v>-50000</v>
      </c>
      <c r="O107" s="727">
        <v>-54000</v>
      </c>
      <c r="P107" s="727">
        <v>-50000</v>
      </c>
    </row>
    <row r="108" spans="1:16" s="80" customFormat="1" ht="36" customHeight="1" thickBot="1">
      <c r="A108" s="675">
        <v>754</v>
      </c>
      <c r="B108" s="675"/>
      <c r="C108" s="666" t="s">
        <v>441</v>
      </c>
      <c r="D108" s="667">
        <f t="shared" si="18"/>
        <v>-5000</v>
      </c>
      <c r="E108" s="667">
        <f aca="true" t="shared" si="28" ref="E108:P108">E109</f>
        <v>-410</v>
      </c>
      <c r="F108" s="667">
        <f t="shared" si="28"/>
        <v>-410</v>
      </c>
      <c r="G108" s="667">
        <f t="shared" si="28"/>
        <v>-410</v>
      </c>
      <c r="H108" s="667">
        <f t="shared" si="28"/>
        <v>-410</v>
      </c>
      <c r="I108" s="667">
        <f t="shared" si="28"/>
        <v>-410</v>
      </c>
      <c r="J108" s="667">
        <f t="shared" si="28"/>
        <v>-410</v>
      </c>
      <c r="K108" s="667">
        <f t="shared" si="28"/>
        <v>-410</v>
      </c>
      <c r="L108" s="667">
        <f t="shared" si="28"/>
        <v>-410</v>
      </c>
      <c r="M108" s="667">
        <f t="shared" si="28"/>
        <v>-410</v>
      </c>
      <c r="N108" s="667">
        <f t="shared" si="28"/>
        <v>-410</v>
      </c>
      <c r="O108" s="667">
        <f t="shared" si="28"/>
        <v>-410</v>
      </c>
      <c r="P108" s="667">
        <f t="shared" si="28"/>
        <v>-490</v>
      </c>
    </row>
    <row r="109" spans="1:16" ht="32.25" customHeight="1">
      <c r="A109" s="652"/>
      <c r="B109" s="652">
        <v>75411</v>
      </c>
      <c r="C109" s="653" t="s">
        <v>442</v>
      </c>
      <c r="D109" s="664">
        <f t="shared" si="18"/>
        <v>-5000</v>
      </c>
      <c r="E109" s="664">
        <v>-410</v>
      </c>
      <c r="F109" s="664">
        <v>-410</v>
      </c>
      <c r="G109" s="664">
        <v>-410</v>
      </c>
      <c r="H109" s="664">
        <v>-410</v>
      </c>
      <c r="I109" s="664">
        <v>-410</v>
      </c>
      <c r="J109" s="664">
        <v>-410</v>
      </c>
      <c r="K109" s="664">
        <v>-410</v>
      </c>
      <c r="L109" s="664">
        <v>-410</v>
      </c>
      <c r="M109" s="664">
        <v>-410</v>
      </c>
      <c r="N109" s="664">
        <v>-410</v>
      </c>
      <c r="O109" s="664">
        <v>-410</v>
      </c>
      <c r="P109" s="664">
        <v>-490</v>
      </c>
    </row>
    <row r="110" spans="1:16" s="80" customFormat="1" ht="63.75" customHeight="1" thickBot="1">
      <c r="A110" s="670">
        <v>756</v>
      </c>
      <c r="B110" s="670"/>
      <c r="C110" s="736" t="s">
        <v>380</v>
      </c>
      <c r="D110" s="737">
        <f t="shared" si="18"/>
        <v>-63358928</v>
      </c>
      <c r="E110" s="737">
        <f aca="true" t="shared" si="29" ref="E110:P110">E111</f>
        <v>-4627563</v>
      </c>
      <c r="F110" s="737">
        <f t="shared" si="29"/>
        <v>-4200000</v>
      </c>
      <c r="G110" s="737">
        <f t="shared" si="29"/>
        <v>-3850274</v>
      </c>
      <c r="H110" s="737">
        <f t="shared" si="29"/>
        <v>-4950274</v>
      </c>
      <c r="I110" s="737">
        <f t="shared" si="29"/>
        <v>-4750274</v>
      </c>
      <c r="J110" s="737">
        <f t="shared" si="29"/>
        <v>-4650274</v>
      </c>
      <c r="K110" s="737">
        <f t="shared" si="29"/>
        <v>-4850274</v>
      </c>
      <c r="L110" s="737">
        <f t="shared" si="29"/>
        <v>-5750274</v>
      </c>
      <c r="M110" s="737">
        <f t="shared" si="29"/>
        <v>-5950274</v>
      </c>
      <c r="N110" s="737">
        <f t="shared" si="29"/>
        <v>-6150273</v>
      </c>
      <c r="O110" s="737">
        <f t="shared" si="29"/>
        <v>-6550274</v>
      </c>
      <c r="P110" s="737">
        <f t="shared" si="29"/>
        <v>-7078900</v>
      </c>
    </row>
    <row r="111" spans="1:16" ht="30.75" customHeight="1">
      <c r="A111" s="672"/>
      <c r="B111" s="672">
        <v>75622</v>
      </c>
      <c r="C111" s="673" t="s">
        <v>968</v>
      </c>
      <c r="D111" s="674">
        <f t="shared" si="18"/>
        <v>-63358928</v>
      </c>
      <c r="E111" s="727">
        <v>-4627563</v>
      </c>
      <c r="F111" s="727">
        <v>-4200000</v>
      </c>
      <c r="G111" s="727">
        <v>-3850274</v>
      </c>
      <c r="H111" s="727">
        <v>-4950274</v>
      </c>
      <c r="I111" s="727">
        <v>-4750274</v>
      </c>
      <c r="J111" s="727">
        <v>-4650274</v>
      </c>
      <c r="K111" s="727">
        <v>-4850274</v>
      </c>
      <c r="L111" s="727">
        <v>-5750274</v>
      </c>
      <c r="M111" s="727">
        <v>-5950274</v>
      </c>
      <c r="N111" s="727">
        <v>-6150273</v>
      </c>
      <c r="O111" s="727">
        <v>-6550274</v>
      </c>
      <c r="P111" s="727">
        <v>-7078900</v>
      </c>
    </row>
    <row r="112" spans="1:16" s="80" customFormat="1" ht="18.75" customHeight="1" thickBot="1">
      <c r="A112" s="675">
        <v>852</v>
      </c>
      <c r="B112" s="675"/>
      <c r="C112" s="666" t="s">
        <v>129</v>
      </c>
      <c r="D112" s="667">
        <f t="shared" si="18"/>
        <v>-5000</v>
      </c>
      <c r="E112" s="667">
        <f aca="true" t="shared" si="30" ref="E112:P112">E113</f>
        <v>-410</v>
      </c>
      <c r="F112" s="667">
        <f t="shared" si="30"/>
        <v>-410</v>
      </c>
      <c r="G112" s="667">
        <f t="shared" si="30"/>
        <v>-410</v>
      </c>
      <c r="H112" s="667">
        <f t="shared" si="30"/>
        <v>-410</v>
      </c>
      <c r="I112" s="667">
        <f t="shared" si="30"/>
        <v>-410</v>
      </c>
      <c r="J112" s="667">
        <f t="shared" si="30"/>
        <v>-410</v>
      </c>
      <c r="K112" s="667">
        <f t="shared" si="30"/>
        <v>-410</v>
      </c>
      <c r="L112" s="667">
        <f t="shared" si="30"/>
        <v>-410</v>
      </c>
      <c r="M112" s="667">
        <f t="shared" si="30"/>
        <v>-410</v>
      </c>
      <c r="N112" s="667">
        <f t="shared" si="30"/>
        <v>-410</v>
      </c>
      <c r="O112" s="667">
        <f t="shared" si="30"/>
        <v>-410</v>
      </c>
      <c r="P112" s="667">
        <f t="shared" si="30"/>
        <v>-490</v>
      </c>
    </row>
    <row r="113" spans="1:16" ht="18.75" customHeight="1">
      <c r="A113" s="639"/>
      <c r="B113" s="652">
        <v>85203</v>
      </c>
      <c r="C113" s="653" t="s">
        <v>126</v>
      </c>
      <c r="D113" s="664">
        <f t="shared" si="18"/>
        <v>-5000</v>
      </c>
      <c r="E113" s="664">
        <v>-410</v>
      </c>
      <c r="F113" s="664">
        <v>-410</v>
      </c>
      <c r="G113" s="664">
        <v>-410</v>
      </c>
      <c r="H113" s="664">
        <v>-410</v>
      </c>
      <c r="I113" s="664">
        <v>-410</v>
      </c>
      <c r="J113" s="664">
        <v>-410</v>
      </c>
      <c r="K113" s="664">
        <v>-410</v>
      </c>
      <c r="L113" s="664">
        <v>-410</v>
      </c>
      <c r="M113" s="664">
        <v>-410</v>
      </c>
      <c r="N113" s="664">
        <v>-410</v>
      </c>
      <c r="O113" s="664">
        <v>-410</v>
      </c>
      <c r="P113" s="664">
        <v>-490</v>
      </c>
    </row>
    <row r="114" spans="1:16" s="648" customFormat="1" ht="18.75" customHeight="1" thickBot="1">
      <c r="A114" s="738"/>
      <c r="B114" s="738"/>
      <c r="C114" s="739" t="s">
        <v>455</v>
      </c>
      <c r="D114" s="647">
        <f t="shared" si="18"/>
        <v>-142173147</v>
      </c>
      <c r="E114" s="647">
        <f aca="true" t="shared" si="31" ref="E114:P114">E115</f>
        <v>-10663314</v>
      </c>
      <c r="F114" s="647">
        <f t="shared" si="31"/>
        <v>-10663314</v>
      </c>
      <c r="G114" s="647">
        <f t="shared" si="31"/>
        <v>-21013018</v>
      </c>
      <c r="H114" s="647">
        <f t="shared" si="31"/>
        <v>-10709833</v>
      </c>
      <c r="I114" s="647">
        <f t="shared" si="31"/>
        <v>-10709833</v>
      </c>
      <c r="J114" s="647">
        <f t="shared" si="31"/>
        <v>-13909834</v>
      </c>
      <c r="K114" s="647">
        <f t="shared" si="31"/>
        <v>-10750666</v>
      </c>
      <c r="L114" s="647">
        <f t="shared" si="31"/>
        <v>-10750667</v>
      </c>
      <c r="M114" s="647">
        <f t="shared" si="31"/>
        <v>-10750666</v>
      </c>
      <c r="N114" s="647">
        <f t="shared" si="31"/>
        <v>-10750667</v>
      </c>
      <c r="O114" s="647">
        <f t="shared" si="31"/>
        <v>-10750667</v>
      </c>
      <c r="P114" s="647">
        <f t="shared" si="31"/>
        <v>-10750668</v>
      </c>
    </row>
    <row r="115" spans="1:16" s="80" customFormat="1" ht="18.75" customHeight="1" thickBot="1" thickTop="1">
      <c r="A115" s="669">
        <v>758</v>
      </c>
      <c r="B115" s="669"/>
      <c r="C115" s="688" t="s">
        <v>446</v>
      </c>
      <c r="D115" s="630">
        <f t="shared" si="18"/>
        <v>-142173147</v>
      </c>
      <c r="E115" s="630">
        <f aca="true" t="shared" si="32" ref="E115:P115">E116+E118</f>
        <v>-10663314</v>
      </c>
      <c r="F115" s="630">
        <f t="shared" si="32"/>
        <v>-10663314</v>
      </c>
      <c r="G115" s="630">
        <f t="shared" si="32"/>
        <v>-21013018</v>
      </c>
      <c r="H115" s="630">
        <f t="shared" si="32"/>
        <v>-10709833</v>
      </c>
      <c r="I115" s="630">
        <f t="shared" si="32"/>
        <v>-10709833</v>
      </c>
      <c r="J115" s="630">
        <f>J116+J118+J117</f>
        <v>-13909834</v>
      </c>
      <c r="K115" s="630">
        <f t="shared" si="32"/>
        <v>-10750666</v>
      </c>
      <c r="L115" s="630">
        <f t="shared" si="32"/>
        <v>-10750667</v>
      </c>
      <c r="M115" s="630">
        <f t="shared" si="32"/>
        <v>-10750666</v>
      </c>
      <c r="N115" s="630">
        <f t="shared" si="32"/>
        <v>-10750667</v>
      </c>
      <c r="O115" s="630">
        <f t="shared" si="32"/>
        <v>-10750667</v>
      </c>
      <c r="P115" s="630">
        <f t="shared" si="32"/>
        <v>-10750668</v>
      </c>
    </row>
    <row r="116" spans="1:16" ht="27" customHeight="1">
      <c r="A116" s="740"/>
      <c r="B116" s="740">
        <v>75801</v>
      </c>
      <c r="C116" s="1008" t="s">
        <v>662</v>
      </c>
      <c r="D116" s="727">
        <f t="shared" si="18"/>
        <v>-132976929</v>
      </c>
      <c r="E116" s="727">
        <v>-10163629</v>
      </c>
      <c r="F116" s="727">
        <v>-10163629</v>
      </c>
      <c r="G116" s="727">
        <v>-20513334</v>
      </c>
      <c r="H116" s="727">
        <v>-10210149</v>
      </c>
      <c r="I116" s="727">
        <v>-10210148</v>
      </c>
      <c r="J116" s="727">
        <v>-10210149</v>
      </c>
      <c r="K116" s="727">
        <v>-10250981</v>
      </c>
      <c r="L116" s="727">
        <v>-10250982</v>
      </c>
      <c r="M116" s="727">
        <v>-10250981</v>
      </c>
      <c r="N116" s="727">
        <v>-10250982</v>
      </c>
      <c r="O116" s="727">
        <v>-10250982</v>
      </c>
      <c r="P116" s="727">
        <v>-10250983</v>
      </c>
    </row>
    <row r="117" spans="1:16" ht="30.75" customHeight="1">
      <c r="A117" s="639"/>
      <c r="B117" s="719">
        <v>75802</v>
      </c>
      <c r="C117" s="668" t="s">
        <v>117</v>
      </c>
      <c r="D117" s="741">
        <f>SUM(E117:P117)</f>
        <v>-3200000</v>
      </c>
      <c r="E117" s="741"/>
      <c r="F117" s="741"/>
      <c r="G117" s="741"/>
      <c r="H117" s="741"/>
      <c r="I117" s="741"/>
      <c r="J117" s="741">
        <v>-3200000</v>
      </c>
      <c r="K117" s="741"/>
      <c r="L117" s="741"/>
      <c r="M117" s="741"/>
      <c r="N117" s="741"/>
      <c r="O117" s="741"/>
      <c r="P117" s="741"/>
    </row>
    <row r="118" spans="1:16" ht="30.75" customHeight="1">
      <c r="A118" s="639"/>
      <c r="B118" s="652">
        <v>75832</v>
      </c>
      <c r="C118" s="668" t="s">
        <v>1039</v>
      </c>
      <c r="D118" s="741">
        <f t="shared" si="18"/>
        <v>-5996218</v>
      </c>
      <c r="E118" s="741">
        <v>-499685</v>
      </c>
      <c r="F118" s="741">
        <v>-499685</v>
      </c>
      <c r="G118" s="741">
        <v>-499684</v>
      </c>
      <c r="H118" s="741">
        <v>-499684</v>
      </c>
      <c r="I118" s="741">
        <v>-499685</v>
      </c>
      <c r="J118" s="741">
        <v>-499685</v>
      </c>
      <c r="K118" s="741">
        <v>-499685</v>
      </c>
      <c r="L118" s="741">
        <v>-499685</v>
      </c>
      <c r="M118" s="741">
        <v>-499685</v>
      </c>
      <c r="N118" s="741">
        <v>-499685</v>
      </c>
      <c r="O118" s="741">
        <v>-499685</v>
      </c>
      <c r="P118" s="741">
        <v>-499685</v>
      </c>
    </row>
    <row r="119" spans="1:16" s="648" customFormat="1" ht="32.25" customHeight="1" thickBot="1">
      <c r="A119" s="742"/>
      <c r="B119" s="742"/>
      <c r="C119" s="739" t="s">
        <v>403</v>
      </c>
      <c r="D119" s="725">
        <f t="shared" si="18"/>
        <v>-30593287</v>
      </c>
      <c r="E119" s="725">
        <f aca="true" t="shared" si="33" ref="E119:P119">E120+E123+E129+E134+E137</f>
        <v>-2198962</v>
      </c>
      <c r="F119" s="725">
        <f t="shared" si="33"/>
        <v>-549917</v>
      </c>
      <c r="G119" s="725">
        <f t="shared" si="33"/>
        <v>-6585725</v>
      </c>
      <c r="H119" s="725">
        <f t="shared" si="33"/>
        <v>-4247587</v>
      </c>
      <c r="I119" s="725">
        <f t="shared" si="33"/>
        <v>-654281</v>
      </c>
      <c r="J119" s="725">
        <f t="shared" si="33"/>
        <v>-993272</v>
      </c>
      <c r="K119" s="725">
        <f t="shared" si="33"/>
        <v>-1945452</v>
      </c>
      <c r="L119" s="725">
        <f t="shared" si="33"/>
        <v>-2207322</v>
      </c>
      <c r="M119" s="725">
        <f t="shared" si="33"/>
        <v>-2469381</v>
      </c>
      <c r="N119" s="725">
        <f t="shared" si="33"/>
        <v>-4133772</v>
      </c>
      <c r="O119" s="725">
        <f t="shared" si="33"/>
        <v>-2303773</v>
      </c>
      <c r="P119" s="725">
        <f t="shared" si="33"/>
        <v>-2303843</v>
      </c>
    </row>
    <row r="120" spans="1:16" s="80" customFormat="1" ht="20.25" customHeight="1" thickBot="1" thickTop="1">
      <c r="A120" s="649">
        <v>600</v>
      </c>
      <c r="B120" s="649"/>
      <c r="C120" s="675" t="s">
        <v>525</v>
      </c>
      <c r="D120" s="743">
        <f t="shared" si="18"/>
        <v>-20687527</v>
      </c>
      <c r="E120" s="743">
        <f>SUM(E121:E122)</f>
        <v>-1561699</v>
      </c>
      <c r="F120" s="743"/>
      <c r="G120" s="743">
        <f>SUM(G121:G122)</f>
        <v>-5904208</v>
      </c>
      <c r="H120" s="743">
        <f>SUM(H121:H122)</f>
        <v>-3489720</v>
      </c>
      <c r="I120" s="743"/>
      <c r="J120" s="743">
        <f aca="true" t="shared" si="34" ref="J120:P120">SUM(J121:J122)</f>
        <v>-183000</v>
      </c>
      <c r="K120" s="743">
        <f t="shared" si="34"/>
        <v>-1254485</v>
      </c>
      <c r="L120" s="743">
        <f t="shared" si="34"/>
        <v>-1511425</v>
      </c>
      <c r="M120" s="743">
        <f t="shared" si="34"/>
        <v>-1809351</v>
      </c>
      <c r="N120" s="743">
        <f t="shared" si="34"/>
        <v>-1657876</v>
      </c>
      <c r="O120" s="743">
        <f t="shared" si="34"/>
        <v>-1657877</v>
      </c>
      <c r="P120" s="743">
        <f t="shared" si="34"/>
        <v>-1657886</v>
      </c>
    </row>
    <row r="121" spans="1:30" ht="19.5" customHeight="1">
      <c r="A121" s="639"/>
      <c r="B121" s="652">
        <v>60015</v>
      </c>
      <c r="C121" s="653" t="s">
        <v>1113</v>
      </c>
      <c r="D121" s="664">
        <f t="shared" si="18"/>
        <v>-19545291</v>
      </c>
      <c r="E121" s="664">
        <f>-1045042-516657</f>
        <v>-1561699</v>
      </c>
      <c r="F121" s="664"/>
      <c r="G121" s="664">
        <f>-502604-118406-1525041-1746417-869504</f>
        <v>-4761972</v>
      </c>
      <c r="H121" s="664">
        <f>-2317739-559419-612562</f>
        <v>-3489720</v>
      </c>
      <c r="I121" s="664"/>
      <c r="J121" s="664">
        <f>-180255-2745</f>
        <v>-183000</v>
      </c>
      <c r="K121" s="664">
        <f>-618690-635795</f>
        <v>-1254485</v>
      </c>
      <c r="L121" s="664">
        <f>-618690-892735</f>
        <v>-1511425</v>
      </c>
      <c r="M121" s="664">
        <f>-618691-628160-562500</f>
        <v>-1809351</v>
      </c>
      <c r="N121" s="664">
        <f>-467718-886230-303928</f>
        <v>-1657876</v>
      </c>
      <c r="O121" s="664">
        <f>-467719-886230-303928</f>
        <v>-1657877</v>
      </c>
      <c r="P121" s="664">
        <f>-467719-886238-303929</f>
        <v>-1657886</v>
      </c>
      <c r="Q121" s="744"/>
      <c r="R121" s="745"/>
      <c r="S121" s="745"/>
      <c r="T121" s="745" t="s">
        <v>910</v>
      </c>
      <c r="U121" s="746" t="s">
        <v>937</v>
      </c>
      <c r="V121" s="747"/>
      <c r="W121" s="747"/>
      <c r="X121" s="747"/>
      <c r="Y121" s="747"/>
      <c r="Z121" s="747"/>
      <c r="AA121" s="747"/>
      <c r="AB121" s="747"/>
      <c r="AC121" s="747"/>
      <c r="AD121" s="747"/>
    </row>
    <row r="122" spans="1:20" ht="18.75" customHeight="1">
      <c r="A122" s="652"/>
      <c r="B122" s="719">
        <v>60095</v>
      </c>
      <c r="C122" s="653" t="s">
        <v>100</v>
      </c>
      <c r="D122" s="664">
        <f t="shared" si="18"/>
        <v>-1142236</v>
      </c>
      <c r="E122" s="748"/>
      <c r="F122" s="748"/>
      <c r="G122" s="748">
        <v>-1142236</v>
      </c>
      <c r="H122" s="748"/>
      <c r="I122" s="748"/>
      <c r="J122" s="748"/>
      <c r="K122" s="748"/>
      <c r="L122" s="748"/>
      <c r="M122" s="748"/>
      <c r="N122" s="748"/>
      <c r="O122" s="748"/>
      <c r="P122" s="748"/>
      <c r="Q122" s="749"/>
      <c r="R122" s="750"/>
      <c r="S122" s="750"/>
      <c r="T122" s="750"/>
    </row>
    <row r="123" spans="1:22" ht="18.75" customHeight="1" thickBot="1">
      <c r="A123" s="726">
        <v>801</v>
      </c>
      <c r="B123" s="639"/>
      <c r="C123" s="688" t="s">
        <v>448</v>
      </c>
      <c r="D123" s="735">
        <f t="shared" si="18"/>
        <v>-1956456</v>
      </c>
      <c r="E123" s="735"/>
      <c r="F123" s="735">
        <f>SUM(F124:F128)</f>
        <v>-12000</v>
      </c>
      <c r="G123" s="735"/>
      <c r="H123" s="735">
        <f>SUM(H124:H128)</f>
        <v>-30322</v>
      </c>
      <c r="I123" s="735"/>
      <c r="J123" s="735">
        <f>SUM(J124:J128)</f>
        <v>-20000</v>
      </c>
      <c r="K123" s="735"/>
      <c r="L123" s="735">
        <f>SUM(L124:L128)</f>
        <v>-50000</v>
      </c>
      <c r="M123" s="735">
        <f>SUM(M124:M128)</f>
        <v>-14134</v>
      </c>
      <c r="N123" s="735">
        <f>SUM(N124:N128)</f>
        <v>-1830000</v>
      </c>
      <c r="O123" s="735"/>
      <c r="P123" s="735"/>
      <c r="Q123" s="751"/>
      <c r="R123" s="752"/>
      <c r="S123" s="752"/>
      <c r="T123" s="752"/>
      <c r="U123" s="752"/>
      <c r="V123" s="752"/>
    </row>
    <row r="124" spans="1:16" s="1051" customFormat="1" ht="21" customHeight="1">
      <c r="A124" s="723"/>
      <c r="B124" s="711">
        <v>80102</v>
      </c>
      <c r="C124" s="712" t="s">
        <v>247</v>
      </c>
      <c r="D124" s="1050">
        <f t="shared" si="18"/>
        <v>-3010</v>
      </c>
      <c r="E124" s="1050"/>
      <c r="F124" s="1050"/>
      <c r="G124" s="1050"/>
      <c r="H124" s="1050">
        <v>-3010</v>
      </c>
      <c r="I124" s="1050"/>
      <c r="J124" s="1050"/>
      <c r="K124" s="1050"/>
      <c r="L124" s="1050"/>
      <c r="M124" s="1050"/>
      <c r="N124" s="1050"/>
      <c r="O124" s="1050"/>
      <c r="P124" s="1050"/>
    </row>
    <row r="125" spans="1:16" s="643" customFormat="1" ht="21" customHeight="1">
      <c r="A125" s="639"/>
      <c r="B125" s="652">
        <v>80120</v>
      </c>
      <c r="C125" s="653" t="s">
        <v>814</v>
      </c>
      <c r="D125" s="664">
        <f aca="true" t="shared" si="35" ref="D125:D156">SUM(E125:P125)</f>
        <v>-4852</v>
      </c>
      <c r="E125" s="664"/>
      <c r="F125" s="664"/>
      <c r="G125" s="664"/>
      <c r="H125" s="664"/>
      <c r="I125" s="664"/>
      <c r="J125" s="664"/>
      <c r="K125" s="664"/>
      <c r="L125" s="664"/>
      <c r="M125" s="664">
        <v>-4852</v>
      </c>
      <c r="N125" s="664"/>
      <c r="O125" s="664"/>
      <c r="P125" s="664"/>
    </row>
    <row r="126" spans="1:16" s="643" customFormat="1" ht="21" customHeight="1">
      <c r="A126" s="639"/>
      <c r="B126" s="652">
        <v>80130</v>
      </c>
      <c r="C126" s="668" t="s">
        <v>494</v>
      </c>
      <c r="D126" s="664">
        <f t="shared" si="35"/>
        <v>-1815939</v>
      </c>
      <c r="E126" s="664"/>
      <c r="F126" s="664">
        <v>-12000</v>
      </c>
      <c r="G126" s="664"/>
      <c r="H126" s="664"/>
      <c r="I126" s="664"/>
      <c r="J126" s="664">
        <v>-10000</v>
      </c>
      <c r="K126" s="664"/>
      <c r="L126" s="664">
        <v>-25000</v>
      </c>
      <c r="M126" s="664">
        <v>-3939</v>
      </c>
      <c r="N126" s="664">
        <f>-1700000-65000</f>
        <v>-1765000</v>
      </c>
      <c r="O126" s="664"/>
      <c r="P126" s="664"/>
    </row>
    <row r="127" spans="1:16" s="643" customFormat="1" ht="21" customHeight="1">
      <c r="A127" s="639"/>
      <c r="B127" s="652">
        <v>80132</v>
      </c>
      <c r="C127" s="668" t="s">
        <v>1112</v>
      </c>
      <c r="D127" s="664">
        <f t="shared" si="35"/>
        <v>-27312</v>
      </c>
      <c r="E127" s="664"/>
      <c r="F127" s="664"/>
      <c r="G127" s="664"/>
      <c r="H127" s="664">
        <v>-27312</v>
      </c>
      <c r="I127" s="664"/>
      <c r="J127" s="664"/>
      <c r="K127" s="664"/>
      <c r="L127" s="664"/>
      <c r="M127" s="664"/>
      <c r="N127" s="664"/>
      <c r="O127" s="664"/>
      <c r="P127" s="664"/>
    </row>
    <row r="128" spans="1:16" s="643" customFormat="1" ht="28.5" customHeight="1">
      <c r="A128" s="652"/>
      <c r="B128" s="652">
        <v>80140</v>
      </c>
      <c r="C128" s="668" t="s">
        <v>43</v>
      </c>
      <c r="D128" s="664">
        <f t="shared" si="35"/>
        <v>-105343</v>
      </c>
      <c r="E128" s="664"/>
      <c r="F128" s="664"/>
      <c r="G128" s="664"/>
      <c r="H128" s="664"/>
      <c r="I128" s="664"/>
      <c r="J128" s="664">
        <v>-10000</v>
      </c>
      <c r="K128" s="664"/>
      <c r="L128" s="664">
        <v>-25000</v>
      </c>
      <c r="M128" s="664">
        <v>-5343</v>
      </c>
      <c r="N128" s="664">
        <v>-65000</v>
      </c>
      <c r="O128" s="664"/>
      <c r="P128" s="664"/>
    </row>
    <row r="129" spans="1:16" s="80" customFormat="1" ht="21" customHeight="1" thickBot="1">
      <c r="A129" s="665">
        <v>852</v>
      </c>
      <c r="B129" s="665"/>
      <c r="C129" s="675" t="s">
        <v>129</v>
      </c>
      <c r="D129" s="667">
        <f t="shared" si="35"/>
        <v>-7217912</v>
      </c>
      <c r="E129" s="667">
        <f aca="true" t="shared" si="36" ref="E129:P129">E130+E131+E132+E133</f>
        <v>-467889</v>
      </c>
      <c r="F129" s="667">
        <f t="shared" si="36"/>
        <v>-494750</v>
      </c>
      <c r="G129" s="667">
        <f t="shared" si="36"/>
        <v>-679517</v>
      </c>
      <c r="H129" s="667">
        <f t="shared" si="36"/>
        <v>-602730</v>
      </c>
      <c r="I129" s="667">
        <f t="shared" si="36"/>
        <v>-609480</v>
      </c>
      <c r="J129" s="667">
        <f t="shared" si="36"/>
        <v>-747105</v>
      </c>
      <c r="K129" s="667">
        <f t="shared" si="36"/>
        <v>-602730</v>
      </c>
      <c r="L129" s="667">
        <f t="shared" si="36"/>
        <v>-602730</v>
      </c>
      <c r="M129" s="667">
        <f t="shared" si="36"/>
        <v>-602730</v>
      </c>
      <c r="N129" s="667">
        <f t="shared" si="36"/>
        <v>-602730</v>
      </c>
      <c r="O129" s="667">
        <f t="shared" si="36"/>
        <v>-602730</v>
      </c>
      <c r="P129" s="667">
        <f t="shared" si="36"/>
        <v>-602791</v>
      </c>
    </row>
    <row r="130" spans="1:16" s="706" customFormat="1" ht="21" customHeight="1">
      <c r="A130" s="722"/>
      <c r="B130" s="711">
        <v>85201</v>
      </c>
      <c r="C130" s="712" t="s">
        <v>55</v>
      </c>
      <c r="D130" s="753">
        <f t="shared" si="35"/>
        <v>-81037</v>
      </c>
      <c r="E130" s="753"/>
      <c r="F130" s="753"/>
      <c r="G130" s="753">
        <v>-76787</v>
      </c>
      <c r="H130" s="753"/>
      <c r="I130" s="753">
        <v>-4250</v>
      </c>
      <c r="J130" s="753"/>
      <c r="K130" s="753"/>
      <c r="L130" s="753"/>
      <c r="M130" s="753"/>
      <c r="N130" s="753"/>
      <c r="O130" s="753"/>
      <c r="P130" s="753"/>
    </row>
    <row r="131" spans="1:16" s="706" customFormat="1" ht="21" customHeight="1">
      <c r="A131" s="722"/>
      <c r="B131" s="1018">
        <v>85202</v>
      </c>
      <c r="C131" s="1019" t="s">
        <v>125</v>
      </c>
      <c r="D131" s="1012">
        <f t="shared" si="35"/>
        <v>-7133000</v>
      </c>
      <c r="E131" s="753">
        <v>-467889</v>
      </c>
      <c r="F131" s="753">
        <v>-494750</v>
      </c>
      <c r="G131" s="753">
        <v>-602730</v>
      </c>
      <c r="H131" s="753">
        <v>-602730</v>
      </c>
      <c r="I131" s="753">
        <v>-602730</v>
      </c>
      <c r="J131" s="753">
        <v>-745730</v>
      </c>
      <c r="K131" s="753">
        <v>-602730</v>
      </c>
      <c r="L131" s="753">
        <v>-602730</v>
      </c>
      <c r="M131" s="753">
        <v>-602730</v>
      </c>
      <c r="N131" s="753">
        <v>-602730</v>
      </c>
      <c r="O131" s="753">
        <v>-602730</v>
      </c>
      <c r="P131" s="753">
        <v>-602791</v>
      </c>
    </row>
    <row r="132" spans="1:16" s="643" customFormat="1" ht="45">
      <c r="A132" s="639"/>
      <c r="B132" s="652">
        <v>85220</v>
      </c>
      <c r="C132" s="653" t="s">
        <v>222</v>
      </c>
      <c r="D132" s="1012">
        <f t="shared" si="35"/>
        <v>-2375</v>
      </c>
      <c r="E132" s="664"/>
      <c r="F132" s="664"/>
      <c r="G132" s="664"/>
      <c r="H132" s="664"/>
      <c r="I132" s="664">
        <v>-1250</v>
      </c>
      <c r="J132" s="664">
        <v>-1125</v>
      </c>
      <c r="K132" s="664"/>
      <c r="L132" s="664"/>
      <c r="M132" s="664"/>
      <c r="N132" s="664"/>
      <c r="O132" s="664"/>
      <c r="P132" s="664"/>
    </row>
    <row r="133" spans="1:16" s="643" customFormat="1" ht="21" customHeight="1">
      <c r="A133" s="639"/>
      <c r="B133" s="652">
        <v>85226</v>
      </c>
      <c r="C133" s="668" t="s">
        <v>576</v>
      </c>
      <c r="D133" s="1012">
        <f t="shared" si="35"/>
        <v>-1500</v>
      </c>
      <c r="E133" s="664"/>
      <c r="F133" s="664"/>
      <c r="G133" s="664"/>
      <c r="H133" s="664"/>
      <c r="I133" s="664">
        <v>-1250</v>
      </c>
      <c r="J133" s="664">
        <v>-250</v>
      </c>
      <c r="K133" s="664"/>
      <c r="L133" s="664"/>
      <c r="M133" s="664"/>
      <c r="N133" s="664"/>
      <c r="O133" s="664"/>
      <c r="P133" s="664"/>
    </row>
    <row r="134" spans="1:16" s="80" customFormat="1" ht="31.5" customHeight="1" thickBot="1">
      <c r="A134" s="669">
        <v>853</v>
      </c>
      <c r="B134" s="669"/>
      <c r="C134" s="670" t="s">
        <v>277</v>
      </c>
      <c r="D134" s="737">
        <f t="shared" si="35"/>
        <v>-708592</v>
      </c>
      <c r="E134" s="737">
        <f>SUM(E135:E136)</f>
        <v>-169374</v>
      </c>
      <c r="F134" s="737">
        <f>SUM(F135:F136)</f>
        <v>-43167</v>
      </c>
      <c r="G134" s="737"/>
      <c r="H134" s="737">
        <f aca="true" t="shared" si="37" ref="H134:P134">SUM(H135:H136)</f>
        <v>-105615</v>
      </c>
      <c r="I134" s="737">
        <f t="shared" si="37"/>
        <v>-43201</v>
      </c>
      <c r="J134" s="737">
        <f t="shared" si="37"/>
        <v>-43167</v>
      </c>
      <c r="K134" s="737">
        <f t="shared" si="37"/>
        <v>-88237</v>
      </c>
      <c r="L134" s="737">
        <f t="shared" si="37"/>
        <v>-43167</v>
      </c>
      <c r="M134" s="737">
        <f t="shared" si="37"/>
        <v>-43166</v>
      </c>
      <c r="N134" s="737">
        <f t="shared" si="37"/>
        <v>-43166</v>
      </c>
      <c r="O134" s="737">
        <f t="shared" si="37"/>
        <v>-43166</v>
      </c>
      <c r="P134" s="737">
        <f t="shared" si="37"/>
        <v>-43166</v>
      </c>
    </row>
    <row r="135" spans="1:16" ht="21" customHeight="1">
      <c r="A135" s="740"/>
      <c r="B135" s="672">
        <v>85322</v>
      </c>
      <c r="C135" s="673" t="s">
        <v>893</v>
      </c>
      <c r="D135" s="674">
        <f t="shared" si="35"/>
        <v>-518000</v>
      </c>
      <c r="E135" s="674">
        <v>-43167</v>
      </c>
      <c r="F135" s="674">
        <v>-43167</v>
      </c>
      <c r="G135" s="674"/>
      <c r="H135" s="674">
        <v>-86300</v>
      </c>
      <c r="I135" s="674">
        <v>-43201</v>
      </c>
      <c r="J135" s="674">
        <v>-43167</v>
      </c>
      <c r="K135" s="674">
        <v>-43167</v>
      </c>
      <c r="L135" s="674">
        <v>-43167</v>
      </c>
      <c r="M135" s="674">
        <v>-43166</v>
      </c>
      <c r="N135" s="674">
        <v>-43166</v>
      </c>
      <c r="O135" s="674">
        <v>-43166</v>
      </c>
      <c r="P135" s="674">
        <v>-43166</v>
      </c>
    </row>
    <row r="136" spans="1:23" ht="21" customHeight="1">
      <c r="A136" s="652"/>
      <c r="B136" s="652">
        <v>85333</v>
      </c>
      <c r="C136" s="668" t="s">
        <v>617</v>
      </c>
      <c r="D136" s="748">
        <f t="shared" si="35"/>
        <v>-190592</v>
      </c>
      <c r="E136" s="748">
        <f>-46068-58051-22088</f>
        <v>-126207</v>
      </c>
      <c r="F136" s="748"/>
      <c r="G136" s="748"/>
      <c r="H136" s="748">
        <v>-19315</v>
      </c>
      <c r="I136" s="748"/>
      <c r="J136" s="748"/>
      <c r="K136" s="748">
        <v>-45070</v>
      </c>
      <c r="L136" s="748"/>
      <c r="M136" s="748"/>
      <c r="N136" s="748"/>
      <c r="O136" s="748"/>
      <c r="P136" s="748"/>
      <c r="Q136" s="754"/>
      <c r="R136" s="754"/>
      <c r="S136" s="755"/>
      <c r="T136" s="755"/>
      <c r="U136" s="755"/>
      <c r="V136" s="755"/>
      <c r="W136" s="755"/>
    </row>
    <row r="137" spans="1:16" s="80" customFormat="1" ht="21" customHeight="1" thickBot="1">
      <c r="A137" s="665">
        <v>854</v>
      </c>
      <c r="B137" s="665"/>
      <c r="C137" s="675" t="s">
        <v>618</v>
      </c>
      <c r="D137" s="667">
        <f t="shared" si="35"/>
        <v>-22800</v>
      </c>
      <c r="E137" s="667"/>
      <c r="F137" s="667"/>
      <c r="G137" s="667">
        <f>G138</f>
        <v>-2000</v>
      </c>
      <c r="H137" s="667">
        <f>H138+H139</f>
        <v>-19200</v>
      </c>
      <c r="I137" s="667">
        <f>I138+I139</f>
        <v>-1600</v>
      </c>
      <c r="J137" s="667"/>
      <c r="K137" s="667"/>
      <c r="L137" s="667"/>
      <c r="M137" s="667"/>
      <c r="N137" s="667"/>
      <c r="O137" s="667"/>
      <c r="P137" s="667"/>
    </row>
    <row r="138" spans="1:16" ht="21" customHeight="1">
      <c r="A138" s="639"/>
      <c r="B138" s="652">
        <v>85403</v>
      </c>
      <c r="C138" s="653" t="s">
        <v>677</v>
      </c>
      <c r="D138" s="664">
        <f t="shared" si="35"/>
        <v>-2000</v>
      </c>
      <c r="E138" s="664"/>
      <c r="F138" s="664"/>
      <c r="G138" s="756">
        <v>-2000</v>
      </c>
      <c r="H138" s="664"/>
      <c r="I138" s="664"/>
      <c r="J138" s="664"/>
      <c r="K138" s="664"/>
      <c r="L138" s="664"/>
      <c r="M138" s="664"/>
      <c r="N138" s="664"/>
      <c r="O138" s="664"/>
      <c r="P138" s="664"/>
    </row>
    <row r="139" spans="1:16" s="706" customFormat="1" ht="21" customHeight="1">
      <c r="A139" s="722"/>
      <c r="B139" s="1018">
        <v>85415</v>
      </c>
      <c r="C139" s="1019" t="s">
        <v>396</v>
      </c>
      <c r="D139" s="1012">
        <f t="shared" si="35"/>
        <v>-20800</v>
      </c>
      <c r="E139" s="1012"/>
      <c r="F139" s="1012"/>
      <c r="G139" s="1052"/>
      <c r="H139" s="1012">
        <v>-19200</v>
      </c>
      <c r="I139" s="1012">
        <v>-1600</v>
      </c>
      <c r="J139" s="1012"/>
      <c r="K139" s="1012"/>
      <c r="L139" s="1012"/>
      <c r="M139" s="1012"/>
      <c r="N139" s="1012"/>
      <c r="O139" s="1012"/>
      <c r="P139" s="1012"/>
    </row>
    <row r="140" spans="1:16" ht="46.5" customHeight="1" thickBot="1">
      <c r="A140" s="652"/>
      <c r="B140" s="652"/>
      <c r="C140" s="739" t="s">
        <v>974</v>
      </c>
      <c r="D140" s="725">
        <f t="shared" si="35"/>
        <v>-4843431</v>
      </c>
      <c r="E140" s="725">
        <f aca="true" t="shared" si="38" ref="E140:P140">E141+E143+E148</f>
        <v>-205000</v>
      </c>
      <c r="F140" s="725">
        <f t="shared" si="38"/>
        <v>-205000</v>
      </c>
      <c r="G140" s="725">
        <f t="shared" si="38"/>
        <v>-205000</v>
      </c>
      <c r="H140" s="725">
        <f t="shared" si="38"/>
        <v>-205000</v>
      </c>
      <c r="I140" s="725">
        <f t="shared" si="38"/>
        <v>-1030170</v>
      </c>
      <c r="J140" s="725">
        <f>J141+J143+J148+J146</f>
        <v>-1763261</v>
      </c>
      <c r="K140" s="725">
        <f t="shared" si="38"/>
        <v>-205000</v>
      </c>
      <c r="L140" s="725">
        <f t="shared" si="38"/>
        <v>-205000</v>
      </c>
      <c r="M140" s="725">
        <f t="shared" si="38"/>
        <v>-205000</v>
      </c>
      <c r="N140" s="725">
        <f t="shared" si="38"/>
        <v>-205000</v>
      </c>
      <c r="O140" s="725">
        <f t="shared" si="38"/>
        <v>-205000</v>
      </c>
      <c r="P140" s="725">
        <f t="shared" si="38"/>
        <v>-205000</v>
      </c>
    </row>
    <row r="141" spans="1:16" s="80" customFormat="1" ht="21" customHeight="1" thickBot="1" thickTop="1">
      <c r="A141" s="669">
        <v>600</v>
      </c>
      <c r="B141" s="669"/>
      <c r="C141" s="670" t="s">
        <v>525</v>
      </c>
      <c r="D141" s="737">
        <f t="shared" si="35"/>
        <v>-1544500</v>
      </c>
      <c r="E141" s="737"/>
      <c r="F141" s="737"/>
      <c r="G141" s="737"/>
      <c r="H141" s="737"/>
      <c r="I141" s="737"/>
      <c r="J141" s="737">
        <f>J142</f>
        <v>-1544500</v>
      </c>
      <c r="K141" s="737"/>
      <c r="L141" s="737"/>
      <c r="M141" s="737"/>
      <c r="N141" s="737"/>
      <c r="O141" s="737"/>
      <c r="P141" s="737"/>
    </row>
    <row r="142" spans="1:16" ht="30" customHeight="1">
      <c r="A142" s="740"/>
      <c r="B142" s="672">
        <v>60015</v>
      </c>
      <c r="C142" s="673" t="s">
        <v>1113</v>
      </c>
      <c r="D142" s="674">
        <f t="shared" si="35"/>
        <v>-1544500</v>
      </c>
      <c r="E142" s="674"/>
      <c r="F142" s="674"/>
      <c r="G142" s="674"/>
      <c r="H142" s="674"/>
      <c r="I142" s="674"/>
      <c r="J142" s="674">
        <v>-1544500</v>
      </c>
      <c r="K142" s="674"/>
      <c r="L142" s="674"/>
      <c r="M142" s="674"/>
      <c r="N142" s="674"/>
      <c r="O142" s="674"/>
      <c r="P142" s="674"/>
    </row>
    <row r="143" spans="1:22" ht="21" customHeight="1" thickBot="1">
      <c r="A143" s="665">
        <v>852</v>
      </c>
      <c r="B143" s="757"/>
      <c r="C143" s="675" t="s">
        <v>129</v>
      </c>
      <c r="D143" s="667">
        <f t="shared" si="35"/>
        <v>-2460000</v>
      </c>
      <c r="E143" s="667">
        <f aca="true" t="shared" si="39" ref="E143:P143">SUM(E144:E145)</f>
        <v>-205000</v>
      </c>
      <c r="F143" s="667">
        <f t="shared" si="39"/>
        <v>-205000</v>
      </c>
      <c r="G143" s="667">
        <f t="shared" si="39"/>
        <v>-205000</v>
      </c>
      <c r="H143" s="667">
        <f t="shared" si="39"/>
        <v>-205000</v>
      </c>
      <c r="I143" s="667">
        <f t="shared" si="39"/>
        <v>-205000</v>
      </c>
      <c r="J143" s="667">
        <f t="shared" si="39"/>
        <v>-205000</v>
      </c>
      <c r="K143" s="667">
        <f t="shared" si="39"/>
        <v>-205000</v>
      </c>
      <c r="L143" s="667">
        <f t="shared" si="39"/>
        <v>-205000</v>
      </c>
      <c r="M143" s="667">
        <f t="shared" si="39"/>
        <v>-205000</v>
      </c>
      <c r="N143" s="667">
        <f t="shared" si="39"/>
        <v>-205000</v>
      </c>
      <c r="O143" s="667">
        <f t="shared" si="39"/>
        <v>-205000</v>
      </c>
      <c r="P143" s="667">
        <f t="shared" si="39"/>
        <v>-205000</v>
      </c>
      <c r="Q143" s="751"/>
      <c r="R143" s="752"/>
      <c r="S143" s="752"/>
      <c r="T143" s="752"/>
      <c r="U143" s="752"/>
      <c r="V143" s="752"/>
    </row>
    <row r="144" spans="1:16" s="643" customFormat="1" ht="21" customHeight="1">
      <c r="A144" s="639"/>
      <c r="B144" s="652">
        <v>85201</v>
      </c>
      <c r="C144" s="653" t="s">
        <v>55</v>
      </c>
      <c r="D144" s="664">
        <f t="shared" si="35"/>
        <v>-2160000</v>
      </c>
      <c r="E144" s="664">
        <v>-180000</v>
      </c>
      <c r="F144" s="664">
        <v>-180000</v>
      </c>
      <c r="G144" s="664">
        <v>-180000</v>
      </c>
      <c r="H144" s="664">
        <v>-180000</v>
      </c>
      <c r="I144" s="664">
        <v>-180000</v>
      </c>
      <c r="J144" s="664">
        <v>-180000</v>
      </c>
      <c r="K144" s="664">
        <v>-180000</v>
      </c>
      <c r="L144" s="664">
        <v>-180000</v>
      </c>
      <c r="M144" s="664">
        <v>-180000</v>
      </c>
      <c r="N144" s="664">
        <v>-180000</v>
      </c>
      <c r="O144" s="664">
        <v>-180000</v>
      </c>
      <c r="P144" s="664">
        <v>-180000</v>
      </c>
    </row>
    <row r="145" spans="1:16" s="643" customFormat="1" ht="21" customHeight="1">
      <c r="A145" s="639"/>
      <c r="B145" s="652">
        <v>85204</v>
      </c>
      <c r="C145" s="668" t="s">
        <v>289</v>
      </c>
      <c r="D145" s="664">
        <f t="shared" si="35"/>
        <v>-300000</v>
      </c>
      <c r="E145" s="664">
        <v>-25000</v>
      </c>
      <c r="F145" s="664">
        <v>-25000</v>
      </c>
      <c r="G145" s="664">
        <v>-25000</v>
      </c>
      <c r="H145" s="664">
        <v>-25000</v>
      </c>
      <c r="I145" s="664">
        <v>-25000</v>
      </c>
      <c r="J145" s="664">
        <v>-25000</v>
      </c>
      <c r="K145" s="664">
        <v>-25000</v>
      </c>
      <c r="L145" s="664">
        <v>-25000</v>
      </c>
      <c r="M145" s="664">
        <v>-25000</v>
      </c>
      <c r="N145" s="664">
        <v>-25000</v>
      </c>
      <c r="O145" s="664">
        <v>-25000</v>
      </c>
      <c r="P145" s="664">
        <v>-25000</v>
      </c>
    </row>
    <row r="146" spans="1:22" ht="33" customHeight="1" thickBot="1">
      <c r="A146" s="665">
        <v>853</v>
      </c>
      <c r="B146" s="757"/>
      <c r="C146" s="675" t="s">
        <v>621</v>
      </c>
      <c r="D146" s="667">
        <f t="shared" si="35"/>
        <v>-11558</v>
      </c>
      <c r="E146" s="667"/>
      <c r="F146" s="667"/>
      <c r="G146" s="667"/>
      <c r="H146" s="667"/>
      <c r="I146" s="667"/>
      <c r="J146" s="667">
        <f>J147</f>
        <v>-1016</v>
      </c>
      <c r="K146" s="667">
        <f>K147</f>
        <v>-7642</v>
      </c>
      <c r="L146" s="667"/>
      <c r="M146" s="667"/>
      <c r="N146" s="667">
        <f>N147</f>
        <v>-2900</v>
      </c>
      <c r="O146" s="667"/>
      <c r="P146" s="667"/>
      <c r="Q146" s="751"/>
      <c r="R146" s="752"/>
      <c r="S146" s="752"/>
      <c r="T146" s="752"/>
      <c r="U146" s="752"/>
      <c r="V146" s="752"/>
    </row>
    <row r="147" spans="1:16" s="643" customFormat="1" ht="31.5" customHeight="1">
      <c r="A147" s="639"/>
      <c r="B147" s="652">
        <v>85311</v>
      </c>
      <c r="C147" s="653" t="s">
        <v>785</v>
      </c>
      <c r="D147" s="664">
        <f t="shared" si="35"/>
        <v>-11558</v>
      </c>
      <c r="E147" s="664"/>
      <c r="F147" s="664"/>
      <c r="G147" s="664"/>
      <c r="H147" s="664"/>
      <c r="I147" s="664"/>
      <c r="J147" s="664">
        <v>-1016</v>
      </c>
      <c r="K147" s="664">
        <v>-7642</v>
      </c>
      <c r="L147" s="664"/>
      <c r="M147" s="664"/>
      <c r="N147" s="664">
        <v>-2900</v>
      </c>
      <c r="O147" s="664"/>
      <c r="P147" s="664"/>
    </row>
    <row r="148" spans="1:22" ht="21" customHeight="1" thickBot="1">
      <c r="A148" s="665">
        <v>854</v>
      </c>
      <c r="B148" s="757"/>
      <c r="C148" s="675" t="s">
        <v>618</v>
      </c>
      <c r="D148" s="667">
        <f t="shared" si="35"/>
        <v>-837915</v>
      </c>
      <c r="E148" s="667"/>
      <c r="F148" s="667"/>
      <c r="G148" s="667"/>
      <c r="H148" s="667"/>
      <c r="I148" s="667">
        <f>I149</f>
        <v>-825170</v>
      </c>
      <c r="J148" s="667">
        <f>J149</f>
        <v>-12745</v>
      </c>
      <c r="K148" s="667"/>
      <c r="L148" s="667"/>
      <c r="M148" s="667"/>
      <c r="N148" s="667"/>
      <c r="O148" s="667"/>
      <c r="P148" s="667"/>
      <c r="Q148" s="751"/>
      <c r="R148" s="752"/>
      <c r="S148" s="752"/>
      <c r="T148" s="752"/>
      <c r="U148" s="752"/>
      <c r="V148" s="752"/>
    </row>
    <row r="149" spans="1:16" s="706" customFormat="1" ht="21" customHeight="1">
      <c r="A149" s="722"/>
      <c r="B149" s="711">
        <v>85415</v>
      </c>
      <c r="C149" s="712" t="s">
        <v>396</v>
      </c>
      <c r="D149" s="1012">
        <f t="shared" si="35"/>
        <v>-837915</v>
      </c>
      <c r="E149" s="753"/>
      <c r="F149" s="753"/>
      <c r="G149" s="753"/>
      <c r="H149" s="753"/>
      <c r="I149" s="753">
        <v>-825170</v>
      </c>
      <c r="J149" s="753">
        <v>-12745</v>
      </c>
      <c r="K149" s="753"/>
      <c r="L149" s="753"/>
      <c r="M149" s="753"/>
      <c r="N149" s="753"/>
      <c r="O149" s="753"/>
      <c r="P149" s="753"/>
    </row>
    <row r="150" spans="1:16" s="648" customFormat="1" ht="33.75" customHeight="1" thickBot="1">
      <c r="A150" s="644"/>
      <c r="B150" s="644"/>
      <c r="C150" s="739" t="s">
        <v>938</v>
      </c>
      <c r="D150" s="725">
        <f t="shared" si="35"/>
        <v>-25348978</v>
      </c>
      <c r="E150" s="725">
        <f aca="true" t="shared" si="40" ref="E150:P150">E151+E153+E156+E159+E161+E163+E167</f>
        <v>-2492311</v>
      </c>
      <c r="F150" s="725">
        <f t="shared" si="40"/>
        <v>-1253031</v>
      </c>
      <c r="G150" s="725">
        <f t="shared" si="40"/>
        <v>-2041160</v>
      </c>
      <c r="H150" s="725">
        <f t="shared" si="40"/>
        <v>-2207606</v>
      </c>
      <c r="I150" s="725">
        <f t="shared" si="40"/>
        <v>-2004796</v>
      </c>
      <c r="J150" s="725">
        <f t="shared" si="40"/>
        <v>-3043375</v>
      </c>
      <c r="K150" s="725">
        <f t="shared" si="40"/>
        <v>-2296636</v>
      </c>
      <c r="L150" s="725">
        <f t="shared" si="40"/>
        <v>-1972986</v>
      </c>
      <c r="M150" s="725">
        <f t="shared" si="40"/>
        <v>-1972986</v>
      </c>
      <c r="N150" s="725">
        <f t="shared" si="40"/>
        <v>-1973086</v>
      </c>
      <c r="O150" s="725">
        <f t="shared" si="40"/>
        <v>-2073086</v>
      </c>
      <c r="P150" s="725">
        <f t="shared" si="40"/>
        <v>-2017919</v>
      </c>
    </row>
    <row r="151" spans="1:16" s="80" customFormat="1" ht="23.25" customHeight="1" thickBot="1" thickTop="1">
      <c r="A151" s="649">
        <v>700</v>
      </c>
      <c r="B151" s="649"/>
      <c r="C151" s="650" t="s">
        <v>271</v>
      </c>
      <c r="D151" s="651">
        <f t="shared" si="35"/>
        <v>-1001150</v>
      </c>
      <c r="E151" s="651"/>
      <c r="F151" s="651"/>
      <c r="G151" s="651">
        <f aca="true" t="shared" si="41" ref="G151:P151">G152</f>
        <v>-100000</v>
      </c>
      <c r="H151" s="651">
        <f t="shared" si="41"/>
        <v>-327500</v>
      </c>
      <c r="I151" s="651">
        <f t="shared" si="41"/>
        <v>-50000</v>
      </c>
      <c r="J151" s="651">
        <f t="shared" si="41"/>
        <v>-50000</v>
      </c>
      <c r="K151" s="651">
        <f t="shared" si="41"/>
        <v>-223650</v>
      </c>
      <c r="L151" s="651">
        <f t="shared" si="41"/>
        <v>-50000</v>
      </c>
      <c r="M151" s="651">
        <f t="shared" si="41"/>
        <v>-50000</v>
      </c>
      <c r="N151" s="651">
        <f t="shared" si="41"/>
        <v>-50000</v>
      </c>
      <c r="O151" s="651">
        <f t="shared" si="41"/>
        <v>-50000</v>
      </c>
      <c r="P151" s="651">
        <f t="shared" si="41"/>
        <v>-50000</v>
      </c>
    </row>
    <row r="152" spans="1:16" ht="23.25" customHeight="1">
      <c r="A152" s="639"/>
      <c r="B152" s="639">
        <v>70005</v>
      </c>
      <c r="C152" s="684" t="s">
        <v>435</v>
      </c>
      <c r="D152" s="654">
        <f t="shared" si="35"/>
        <v>-1001150</v>
      </c>
      <c r="E152" s="685"/>
      <c r="F152" s="685"/>
      <c r="G152" s="685">
        <v>-100000</v>
      </c>
      <c r="H152" s="685">
        <v>-327500</v>
      </c>
      <c r="I152" s="685">
        <v>-50000</v>
      </c>
      <c r="J152" s="685">
        <v>-50000</v>
      </c>
      <c r="K152" s="685">
        <v>-223650</v>
      </c>
      <c r="L152" s="685">
        <v>-50000</v>
      </c>
      <c r="M152" s="685">
        <v>-50000</v>
      </c>
      <c r="N152" s="685">
        <v>-50000</v>
      </c>
      <c r="O152" s="685">
        <v>-50000</v>
      </c>
      <c r="P152" s="685">
        <v>-50000</v>
      </c>
    </row>
    <row r="153" spans="1:16" s="80" customFormat="1" ht="24" customHeight="1" thickBot="1">
      <c r="A153" s="669">
        <v>710</v>
      </c>
      <c r="B153" s="669"/>
      <c r="C153" s="670" t="s">
        <v>436</v>
      </c>
      <c r="D153" s="729">
        <f t="shared" si="35"/>
        <v>-615661</v>
      </c>
      <c r="E153" s="729">
        <f aca="true" t="shared" si="42" ref="E153:P153">E154+E155</f>
        <v>-38400</v>
      </c>
      <c r="F153" s="729">
        <f t="shared" si="42"/>
        <v>-38363</v>
      </c>
      <c r="G153" s="729">
        <f t="shared" si="42"/>
        <v>-38400</v>
      </c>
      <c r="H153" s="729">
        <f t="shared" si="42"/>
        <v>-39457</v>
      </c>
      <c r="I153" s="729">
        <f t="shared" si="42"/>
        <v>-39457</v>
      </c>
      <c r="J153" s="729">
        <f t="shared" si="42"/>
        <v>-39457</v>
      </c>
      <c r="K153" s="729">
        <f t="shared" si="42"/>
        <v>-39457</v>
      </c>
      <c r="L153" s="729">
        <f t="shared" si="42"/>
        <v>-39457</v>
      </c>
      <c r="M153" s="729">
        <f t="shared" si="42"/>
        <v>-39457</v>
      </c>
      <c r="N153" s="729">
        <f t="shared" si="42"/>
        <v>-39557</v>
      </c>
      <c r="O153" s="729">
        <f t="shared" si="42"/>
        <v>-139557</v>
      </c>
      <c r="P153" s="729">
        <f t="shared" si="42"/>
        <v>-84642</v>
      </c>
    </row>
    <row r="154" spans="1:16" ht="31.5" customHeight="1">
      <c r="A154" s="740"/>
      <c r="B154" s="672">
        <v>71013</v>
      </c>
      <c r="C154" s="673" t="s">
        <v>490</v>
      </c>
      <c r="D154" s="727">
        <f t="shared" si="35"/>
        <v>-100000</v>
      </c>
      <c r="E154" s="727"/>
      <c r="F154" s="727"/>
      <c r="G154" s="727"/>
      <c r="H154" s="727"/>
      <c r="I154" s="727"/>
      <c r="J154" s="727"/>
      <c r="K154" s="727"/>
      <c r="L154" s="727"/>
      <c r="M154" s="727"/>
      <c r="N154" s="727"/>
      <c r="O154" s="727">
        <v>-100000</v>
      </c>
      <c r="P154" s="727"/>
    </row>
    <row r="155" spans="1:16" ht="21" customHeight="1">
      <c r="A155" s="652"/>
      <c r="B155" s="639">
        <v>71015</v>
      </c>
      <c r="C155" s="684" t="s">
        <v>290</v>
      </c>
      <c r="D155" s="741">
        <f t="shared" si="35"/>
        <v>-515661</v>
      </c>
      <c r="E155" s="741">
        <v>-38400</v>
      </c>
      <c r="F155" s="741">
        <v>-38363</v>
      </c>
      <c r="G155" s="741">
        <v>-38400</v>
      </c>
      <c r="H155" s="741">
        <v>-39457</v>
      </c>
      <c r="I155" s="741">
        <v>-39457</v>
      </c>
      <c r="J155" s="741">
        <v>-39457</v>
      </c>
      <c r="K155" s="741">
        <v>-39457</v>
      </c>
      <c r="L155" s="741">
        <v>-39457</v>
      </c>
      <c r="M155" s="741">
        <v>-39457</v>
      </c>
      <c r="N155" s="741">
        <v>-39557</v>
      </c>
      <c r="O155" s="741">
        <v>-39557</v>
      </c>
      <c r="P155" s="741">
        <v>-84642</v>
      </c>
    </row>
    <row r="156" spans="1:16" s="80" customFormat="1" ht="21" customHeight="1" thickBot="1">
      <c r="A156" s="649">
        <v>750</v>
      </c>
      <c r="B156" s="665"/>
      <c r="C156" s="675" t="s">
        <v>439</v>
      </c>
      <c r="D156" s="658">
        <f t="shared" si="35"/>
        <v>-924596</v>
      </c>
      <c r="E156" s="658">
        <f aca="true" t="shared" si="43" ref="E156:P156">SUM(E157:E158)</f>
        <v>-100800</v>
      </c>
      <c r="F156" s="658">
        <f t="shared" si="43"/>
        <v>-100900</v>
      </c>
      <c r="G156" s="658">
        <f t="shared" si="43"/>
        <v>-100900</v>
      </c>
      <c r="H156" s="658">
        <f t="shared" si="43"/>
        <v>-69130</v>
      </c>
      <c r="I156" s="658">
        <f t="shared" si="43"/>
        <v>-69130</v>
      </c>
      <c r="J156" s="658">
        <f t="shared" si="43"/>
        <v>-69130</v>
      </c>
      <c r="K156" s="658">
        <f t="shared" si="43"/>
        <v>-69130</v>
      </c>
      <c r="L156" s="658">
        <f t="shared" si="43"/>
        <v>-69130</v>
      </c>
      <c r="M156" s="658">
        <f t="shared" si="43"/>
        <v>-69130</v>
      </c>
      <c r="N156" s="658">
        <f t="shared" si="43"/>
        <v>-69130</v>
      </c>
      <c r="O156" s="658">
        <f t="shared" si="43"/>
        <v>-69130</v>
      </c>
      <c r="P156" s="658">
        <f t="shared" si="43"/>
        <v>-68956</v>
      </c>
    </row>
    <row r="157" spans="1:16" ht="21" customHeight="1">
      <c r="A157" s="639"/>
      <c r="B157" s="652">
        <v>75011</v>
      </c>
      <c r="C157" s="759" t="s">
        <v>1049</v>
      </c>
      <c r="D157" s="682">
        <f aca="true" t="shared" si="44" ref="D157:D174">SUM(E157:P157)</f>
        <v>-829596</v>
      </c>
      <c r="E157" s="682">
        <v>-69200</v>
      </c>
      <c r="F157" s="682">
        <v>-69200</v>
      </c>
      <c r="G157" s="682">
        <v>-69200</v>
      </c>
      <c r="H157" s="682">
        <v>-69130</v>
      </c>
      <c r="I157" s="682">
        <v>-69130</v>
      </c>
      <c r="J157" s="682">
        <v>-69130</v>
      </c>
      <c r="K157" s="682">
        <v>-69130</v>
      </c>
      <c r="L157" s="682">
        <v>-69130</v>
      </c>
      <c r="M157" s="682">
        <v>-69130</v>
      </c>
      <c r="N157" s="682">
        <v>-69130</v>
      </c>
      <c r="O157" s="682">
        <v>-69130</v>
      </c>
      <c r="P157" s="682">
        <v>-68956</v>
      </c>
    </row>
    <row r="158" spans="1:16" ht="21" customHeight="1">
      <c r="A158" s="652"/>
      <c r="B158" s="652">
        <v>75045</v>
      </c>
      <c r="C158" s="759" t="s">
        <v>291</v>
      </c>
      <c r="D158" s="682">
        <f t="shared" si="44"/>
        <v>-95000</v>
      </c>
      <c r="E158" s="682">
        <v>-31600</v>
      </c>
      <c r="F158" s="682">
        <v>-31700</v>
      </c>
      <c r="G158" s="682">
        <v>-31700</v>
      </c>
      <c r="H158" s="682"/>
      <c r="I158" s="682"/>
      <c r="J158" s="682"/>
      <c r="K158" s="682"/>
      <c r="L158" s="682"/>
      <c r="M158" s="682"/>
      <c r="N158" s="682"/>
      <c r="O158" s="682"/>
      <c r="P158" s="682"/>
    </row>
    <row r="159" spans="1:16" s="80" customFormat="1" ht="35.25" customHeight="1" thickBot="1">
      <c r="A159" s="669">
        <v>754</v>
      </c>
      <c r="B159" s="669"/>
      <c r="C159" s="670" t="s">
        <v>441</v>
      </c>
      <c r="D159" s="671">
        <f t="shared" si="44"/>
        <v>-14101100</v>
      </c>
      <c r="E159" s="671">
        <f aca="true" t="shared" si="45" ref="E159:P159">E160</f>
        <v>-1707055</v>
      </c>
      <c r="F159" s="671">
        <f t="shared" si="45"/>
        <v>-459295</v>
      </c>
      <c r="G159" s="671">
        <f t="shared" si="45"/>
        <v>-1068150</v>
      </c>
      <c r="H159" s="671">
        <f t="shared" si="45"/>
        <v>-1078500</v>
      </c>
      <c r="I159" s="671">
        <f t="shared" si="45"/>
        <v>-1078500</v>
      </c>
      <c r="J159" s="671">
        <f t="shared" si="45"/>
        <v>-2088600</v>
      </c>
      <c r="K159" s="671">
        <f t="shared" si="45"/>
        <v>-1228500</v>
      </c>
      <c r="L159" s="671">
        <f t="shared" si="45"/>
        <v>-1078500</v>
      </c>
      <c r="M159" s="671">
        <f t="shared" si="45"/>
        <v>-1078500</v>
      </c>
      <c r="N159" s="671">
        <f t="shared" si="45"/>
        <v>-1078500</v>
      </c>
      <c r="O159" s="671">
        <f t="shared" si="45"/>
        <v>-1078500</v>
      </c>
      <c r="P159" s="671">
        <f t="shared" si="45"/>
        <v>-1078500</v>
      </c>
    </row>
    <row r="160" spans="1:16" ht="31.5" customHeight="1">
      <c r="A160" s="740"/>
      <c r="B160" s="672">
        <v>75411</v>
      </c>
      <c r="C160" s="673" t="s">
        <v>442</v>
      </c>
      <c r="D160" s="693">
        <f t="shared" si="44"/>
        <v>-14101100</v>
      </c>
      <c r="E160" s="693">
        <v>-1707055</v>
      </c>
      <c r="F160" s="693">
        <v>-459295</v>
      </c>
      <c r="G160" s="693">
        <v>-1068150</v>
      </c>
      <c r="H160" s="693">
        <v>-1078500</v>
      </c>
      <c r="I160" s="693">
        <v>-1078500</v>
      </c>
      <c r="J160" s="693">
        <f>-1078500-1010100</f>
        <v>-2088600</v>
      </c>
      <c r="K160" s="693">
        <f>-1078500-150000</f>
        <v>-1228500</v>
      </c>
      <c r="L160" s="693">
        <v>-1078500</v>
      </c>
      <c r="M160" s="693">
        <v>-1078500</v>
      </c>
      <c r="N160" s="693">
        <v>-1078500</v>
      </c>
      <c r="O160" s="693">
        <v>-1078500</v>
      </c>
      <c r="P160" s="693">
        <v>-1078500</v>
      </c>
    </row>
    <row r="161" spans="1:16" s="80" customFormat="1" ht="18.75" customHeight="1" thickBot="1">
      <c r="A161" s="665">
        <v>851</v>
      </c>
      <c r="B161" s="665"/>
      <c r="C161" s="675" t="s">
        <v>106</v>
      </c>
      <c r="D161" s="676">
        <f t="shared" si="44"/>
        <v>-4387800</v>
      </c>
      <c r="E161" s="676">
        <f aca="true" t="shared" si="46" ref="E161:P161">E162</f>
        <v>-365750</v>
      </c>
      <c r="F161" s="676">
        <f t="shared" si="46"/>
        <v>-365750</v>
      </c>
      <c r="G161" s="676">
        <f t="shared" si="46"/>
        <v>-365630</v>
      </c>
      <c r="H161" s="676">
        <f t="shared" si="46"/>
        <v>-365630</v>
      </c>
      <c r="I161" s="676">
        <f t="shared" si="46"/>
        <v>-365630</v>
      </c>
      <c r="J161" s="676">
        <f t="shared" si="46"/>
        <v>-365630</v>
      </c>
      <c r="K161" s="676">
        <f t="shared" si="46"/>
        <v>-365630</v>
      </c>
      <c r="L161" s="676">
        <f t="shared" si="46"/>
        <v>-365630</v>
      </c>
      <c r="M161" s="676">
        <f t="shared" si="46"/>
        <v>-365630</v>
      </c>
      <c r="N161" s="676">
        <f t="shared" si="46"/>
        <v>-365630</v>
      </c>
      <c r="O161" s="676">
        <f t="shared" si="46"/>
        <v>-365630</v>
      </c>
      <c r="P161" s="676">
        <f t="shared" si="46"/>
        <v>-365630</v>
      </c>
    </row>
    <row r="162" spans="1:16" ht="45" customHeight="1">
      <c r="A162" s="639"/>
      <c r="B162" s="639">
        <v>85156</v>
      </c>
      <c r="C162" s="684" t="s">
        <v>561</v>
      </c>
      <c r="D162" s="682">
        <f t="shared" si="44"/>
        <v>-4387800</v>
      </c>
      <c r="E162" s="1007">
        <v>-365750</v>
      </c>
      <c r="F162" s="1007">
        <v>-365750</v>
      </c>
      <c r="G162" s="1007">
        <v>-365630</v>
      </c>
      <c r="H162" s="1007">
        <v>-365630</v>
      </c>
      <c r="I162" s="1007">
        <v>-365630</v>
      </c>
      <c r="J162" s="1007">
        <v>-365630</v>
      </c>
      <c r="K162" s="1007">
        <v>-365630</v>
      </c>
      <c r="L162" s="1007">
        <v>-365630</v>
      </c>
      <c r="M162" s="1007">
        <v>-365630</v>
      </c>
      <c r="N162" s="1007">
        <v>-365630</v>
      </c>
      <c r="O162" s="1007">
        <v>-365630</v>
      </c>
      <c r="P162" s="1007">
        <v>-365630</v>
      </c>
    </row>
    <row r="163" spans="1:16" s="80" customFormat="1" ht="21" customHeight="1" thickBot="1">
      <c r="A163" s="669">
        <v>852</v>
      </c>
      <c r="B163" s="669"/>
      <c r="C163" s="670" t="s">
        <v>129</v>
      </c>
      <c r="D163" s="671">
        <f t="shared" si="44"/>
        <v>-3758000</v>
      </c>
      <c r="E163" s="671">
        <f aca="true" t="shared" si="47" ref="E163:P163">E164+E165+E166</f>
        <v>-238187</v>
      </c>
      <c r="F163" s="671">
        <f t="shared" si="47"/>
        <v>-243723</v>
      </c>
      <c r="G163" s="671">
        <f t="shared" si="47"/>
        <v>-314590</v>
      </c>
      <c r="H163" s="671">
        <f t="shared" si="47"/>
        <v>-276690</v>
      </c>
      <c r="I163" s="671">
        <f t="shared" si="47"/>
        <v>-354060</v>
      </c>
      <c r="J163" s="671">
        <f t="shared" si="47"/>
        <v>-377746</v>
      </c>
      <c r="K163" s="671">
        <f t="shared" si="47"/>
        <v>-325494</v>
      </c>
      <c r="L163" s="671">
        <f t="shared" si="47"/>
        <v>-325494</v>
      </c>
      <c r="M163" s="671">
        <f t="shared" si="47"/>
        <v>-325494</v>
      </c>
      <c r="N163" s="671">
        <f t="shared" si="47"/>
        <v>-325494</v>
      </c>
      <c r="O163" s="671">
        <f t="shared" si="47"/>
        <v>-325494</v>
      </c>
      <c r="P163" s="671">
        <f t="shared" si="47"/>
        <v>-325534</v>
      </c>
    </row>
    <row r="164" spans="1:16" ht="21" customHeight="1">
      <c r="A164" s="740"/>
      <c r="B164" s="740">
        <v>85203</v>
      </c>
      <c r="C164" s="1008" t="s">
        <v>126</v>
      </c>
      <c r="D164" s="693">
        <f t="shared" si="44"/>
        <v>-3516250</v>
      </c>
      <c r="E164" s="693">
        <v>-223000</v>
      </c>
      <c r="F164" s="693">
        <v>-223000</v>
      </c>
      <c r="G164" s="693">
        <v>-292000</v>
      </c>
      <c r="H164" s="693">
        <v>-249440</v>
      </c>
      <c r="I164" s="693">
        <v>-334560</v>
      </c>
      <c r="J164" s="693">
        <v>-358246</v>
      </c>
      <c r="K164" s="693">
        <v>-305994</v>
      </c>
      <c r="L164" s="693">
        <v>-305994</v>
      </c>
      <c r="M164" s="693">
        <v>-305994</v>
      </c>
      <c r="N164" s="693">
        <v>-305994</v>
      </c>
      <c r="O164" s="693">
        <v>-305994</v>
      </c>
      <c r="P164" s="693">
        <v>-306034</v>
      </c>
    </row>
    <row r="165" spans="1:16" ht="21" customHeight="1">
      <c r="A165" s="639"/>
      <c r="B165" s="719">
        <v>85231</v>
      </c>
      <c r="C165" s="668" t="s">
        <v>388</v>
      </c>
      <c r="D165" s="682">
        <f t="shared" si="44"/>
        <v>-234000</v>
      </c>
      <c r="E165" s="682">
        <v>-15187</v>
      </c>
      <c r="F165" s="682">
        <v>-20723</v>
      </c>
      <c r="G165" s="682">
        <v>-22590</v>
      </c>
      <c r="H165" s="682">
        <v>-19500</v>
      </c>
      <c r="I165" s="682">
        <v>-19500</v>
      </c>
      <c r="J165" s="682">
        <v>-19500</v>
      </c>
      <c r="K165" s="682">
        <v>-19500</v>
      </c>
      <c r="L165" s="682">
        <v>-19500</v>
      </c>
      <c r="M165" s="682">
        <v>-19500</v>
      </c>
      <c r="N165" s="682">
        <v>-19500</v>
      </c>
      <c r="O165" s="682">
        <v>-19500</v>
      </c>
      <c r="P165" s="682">
        <v>-19500</v>
      </c>
    </row>
    <row r="166" spans="1:16" ht="21" customHeight="1">
      <c r="A166" s="652"/>
      <c r="B166" s="639">
        <v>85295</v>
      </c>
      <c r="C166" s="684" t="s">
        <v>100</v>
      </c>
      <c r="D166" s="682">
        <f t="shared" si="44"/>
        <v>-7750</v>
      </c>
      <c r="E166" s="1007"/>
      <c r="F166" s="1007"/>
      <c r="G166" s="1007"/>
      <c r="H166" s="1007">
        <v>-7750</v>
      </c>
      <c r="I166" s="1007"/>
      <c r="J166" s="1007"/>
      <c r="K166" s="1007"/>
      <c r="L166" s="1007"/>
      <c r="M166" s="1007"/>
      <c r="N166" s="1007"/>
      <c r="O166" s="1007"/>
      <c r="P166" s="1007"/>
    </row>
    <row r="167" spans="1:16" s="80" customFormat="1" ht="33.75" customHeight="1" thickBot="1">
      <c r="A167" s="665">
        <v>853</v>
      </c>
      <c r="B167" s="665"/>
      <c r="C167" s="675" t="s">
        <v>277</v>
      </c>
      <c r="D167" s="676">
        <f t="shared" si="44"/>
        <v>-560671</v>
      </c>
      <c r="E167" s="676">
        <f aca="true" t="shared" si="48" ref="E167:P167">E168+E169</f>
        <v>-42119</v>
      </c>
      <c r="F167" s="676">
        <f t="shared" si="48"/>
        <v>-45000</v>
      </c>
      <c r="G167" s="676">
        <f t="shared" si="48"/>
        <v>-53490</v>
      </c>
      <c r="H167" s="676">
        <f t="shared" si="48"/>
        <v>-50699</v>
      </c>
      <c r="I167" s="676">
        <f t="shared" si="48"/>
        <v>-48019</v>
      </c>
      <c r="J167" s="676">
        <f t="shared" si="48"/>
        <v>-52812</v>
      </c>
      <c r="K167" s="676">
        <f t="shared" si="48"/>
        <v>-44775</v>
      </c>
      <c r="L167" s="676">
        <f t="shared" si="48"/>
        <v>-44775</v>
      </c>
      <c r="M167" s="676">
        <f t="shared" si="48"/>
        <v>-44775</v>
      </c>
      <c r="N167" s="676">
        <f t="shared" si="48"/>
        <v>-44775</v>
      </c>
      <c r="O167" s="676">
        <f t="shared" si="48"/>
        <v>-44775</v>
      </c>
      <c r="P167" s="676">
        <f t="shared" si="48"/>
        <v>-44657</v>
      </c>
    </row>
    <row r="168" spans="1:16" ht="31.5" customHeight="1">
      <c r="A168" s="639"/>
      <c r="B168" s="652">
        <v>85321</v>
      </c>
      <c r="C168" s="653" t="s">
        <v>939</v>
      </c>
      <c r="D168" s="682">
        <f t="shared" si="44"/>
        <v>-528000</v>
      </c>
      <c r="E168" s="682">
        <v>-42119</v>
      </c>
      <c r="F168" s="682">
        <v>-45000</v>
      </c>
      <c r="G168" s="682">
        <v>-45000</v>
      </c>
      <c r="H168" s="682">
        <v>-44000</v>
      </c>
      <c r="I168" s="682">
        <v>-44000</v>
      </c>
      <c r="J168" s="682">
        <v>-44000</v>
      </c>
      <c r="K168" s="682">
        <v>-44000</v>
      </c>
      <c r="L168" s="682">
        <v>-44000</v>
      </c>
      <c r="M168" s="682">
        <v>-44000</v>
      </c>
      <c r="N168" s="682">
        <v>-44000</v>
      </c>
      <c r="O168" s="682">
        <v>-44000</v>
      </c>
      <c r="P168" s="682">
        <v>-43881</v>
      </c>
    </row>
    <row r="169" spans="1:16" ht="23.25" customHeight="1">
      <c r="A169" s="639"/>
      <c r="B169" s="719">
        <v>85334</v>
      </c>
      <c r="C169" s="668" t="s">
        <v>885</v>
      </c>
      <c r="D169" s="858">
        <f t="shared" si="44"/>
        <v>-32671</v>
      </c>
      <c r="E169" s="858"/>
      <c r="F169" s="858"/>
      <c r="G169" s="858">
        <v>-8490</v>
      </c>
      <c r="H169" s="858">
        <v>-6699</v>
      </c>
      <c r="I169" s="858">
        <v>-4019</v>
      </c>
      <c r="J169" s="858">
        <v>-8812</v>
      </c>
      <c r="K169" s="858">
        <v>-775</v>
      </c>
      <c r="L169" s="858">
        <v>-775</v>
      </c>
      <c r="M169" s="858">
        <v>-775</v>
      </c>
      <c r="N169" s="858">
        <v>-775</v>
      </c>
      <c r="O169" s="858">
        <v>-775</v>
      </c>
      <c r="P169" s="858">
        <v>-776</v>
      </c>
    </row>
    <row r="170" spans="1:16" ht="23.25" customHeight="1">
      <c r="A170" s="639"/>
      <c r="B170" s="639"/>
      <c r="C170" s="640" t="s">
        <v>992</v>
      </c>
      <c r="D170" s="641">
        <f t="shared" si="44"/>
        <v>755256246</v>
      </c>
      <c r="E170" s="641">
        <f aca="true" t="shared" si="49" ref="E170:P170">E171+E254</f>
        <v>56093815</v>
      </c>
      <c r="F170" s="641">
        <f t="shared" si="49"/>
        <v>66487833</v>
      </c>
      <c r="G170" s="641">
        <f t="shared" si="49"/>
        <v>63752518</v>
      </c>
      <c r="H170" s="641">
        <f t="shared" si="49"/>
        <v>61172495</v>
      </c>
      <c r="I170" s="641">
        <f t="shared" si="49"/>
        <v>56109003</v>
      </c>
      <c r="J170" s="641">
        <f t="shared" si="49"/>
        <v>60163610</v>
      </c>
      <c r="K170" s="641">
        <f t="shared" si="49"/>
        <v>65822868</v>
      </c>
      <c r="L170" s="641">
        <f t="shared" si="49"/>
        <v>62071347</v>
      </c>
      <c r="M170" s="641">
        <f t="shared" si="49"/>
        <v>63258568</v>
      </c>
      <c r="N170" s="641">
        <f t="shared" si="49"/>
        <v>67623282</v>
      </c>
      <c r="O170" s="641">
        <f t="shared" si="49"/>
        <v>65666231</v>
      </c>
      <c r="P170" s="641">
        <f t="shared" si="49"/>
        <v>67034676</v>
      </c>
    </row>
    <row r="171" spans="1:16" s="648" customFormat="1" ht="20.25" customHeight="1">
      <c r="A171" s="655"/>
      <c r="B171" s="655"/>
      <c r="C171" s="656" t="s">
        <v>1144</v>
      </c>
      <c r="D171" s="657">
        <f t="shared" si="44"/>
        <v>486828475</v>
      </c>
      <c r="E171" s="657">
        <f aca="true" t="shared" si="50" ref="E171:P171">E172+E189+E195+E223+E230</f>
        <v>36778094</v>
      </c>
      <c r="F171" s="657">
        <f t="shared" si="50"/>
        <v>36512592</v>
      </c>
      <c r="G171" s="657">
        <f t="shared" si="50"/>
        <v>43612697</v>
      </c>
      <c r="H171" s="657">
        <f t="shared" si="50"/>
        <v>36596928</v>
      </c>
      <c r="I171" s="657">
        <f t="shared" si="50"/>
        <v>37308801</v>
      </c>
      <c r="J171" s="657">
        <f t="shared" si="50"/>
        <v>36050233</v>
      </c>
      <c r="K171" s="657">
        <f t="shared" si="50"/>
        <v>44263780</v>
      </c>
      <c r="L171" s="657">
        <f t="shared" si="50"/>
        <v>41018992</v>
      </c>
      <c r="M171" s="657">
        <f t="shared" si="50"/>
        <v>41877404</v>
      </c>
      <c r="N171" s="657">
        <f t="shared" si="50"/>
        <v>44232836</v>
      </c>
      <c r="O171" s="657">
        <f t="shared" si="50"/>
        <v>43601908</v>
      </c>
      <c r="P171" s="657">
        <f t="shared" si="50"/>
        <v>44974210</v>
      </c>
    </row>
    <row r="172" spans="1:16" s="648" customFormat="1" ht="22.5" customHeight="1" thickBot="1">
      <c r="A172" s="644"/>
      <c r="B172" s="644"/>
      <c r="C172" s="645" t="s">
        <v>967</v>
      </c>
      <c r="D172" s="647">
        <f t="shared" si="44"/>
        <v>251432368</v>
      </c>
      <c r="E172" s="647">
        <f>E175+E178+E184+E186</f>
        <v>18477973</v>
      </c>
      <c r="F172" s="647">
        <f>F175+F178+F184+F186</f>
        <v>17838690</v>
      </c>
      <c r="G172" s="647">
        <f>G175+G178+G184+G186</f>
        <v>18318566</v>
      </c>
      <c r="H172" s="647">
        <f>H175+H178+H184+H186</f>
        <v>21968463</v>
      </c>
      <c r="I172" s="647">
        <f>I175+I178+I184+I186</f>
        <v>19983947</v>
      </c>
      <c r="J172" s="647">
        <f>J175+J178+J184+J186+J173</f>
        <v>17923974</v>
      </c>
      <c r="K172" s="647">
        <f aca="true" t="shared" si="51" ref="K172:P172">K175+K178+K184+K186</f>
        <v>18806913</v>
      </c>
      <c r="L172" s="647">
        <f t="shared" si="51"/>
        <v>21805913</v>
      </c>
      <c r="M172" s="647">
        <f t="shared" si="51"/>
        <v>22315923</v>
      </c>
      <c r="N172" s="647">
        <f t="shared" si="51"/>
        <v>23305923</v>
      </c>
      <c r="O172" s="647">
        <f t="shared" si="51"/>
        <v>24705823</v>
      </c>
      <c r="P172" s="647">
        <f t="shared" si="51"/>
        <v>25980260</v>
      </c>
    </row>
    <row r="173" spans="1:16" s="80" customFormat="1" ht="21" customHeight="1" thickBot="1" thickTop="1">
      <c r="A173" s="649">
        <v>700</v>
      </c>
      <c r="B173" s="649"/>
      <c r="C173" s="650" t="s">
        <v>433</v>
      </c>
      <c r="D173" s="658">
        <f t="shared" si="44"/>
        <v>73678</v>
      </c>
      <c r="E173" s="658"/>
      <c r="F173" s="658"/>
      <c r="G173" s="658"/>
      <c r="H173" s="658"/>
      <c r="I173" s="658"/>
      <c r="J173" s="658">
        <f>J174</f>
        <v>73678</v>
      </c>
      <c r="K173" s="658"/>
      <c r="L173" s="658"/>
      <c r="M173" s="658"/>
      <c r="N173" s="658"/>
      <c r="O173" s="658"/>
      <c r="P173" s="658"/>
    </row>
    <row r="174" spans="1:16" s="663" customFormat="1" ht="21" customHeight="1">
      <c r="A174" s="659"/>
      <c r="B174" s="660">
        <v>70005</v>
      </c>
      <c r="C174" s="661" t="s">
        <v>435</v>
      </c>
      <c r="D174" s="662">
        <f t="shared" si="44"/>
        <v>73678</v>
      </c>
      <c r="E174" s="662"/>
      <c r="F174" s="662"/>
      <c r="G174" s="662"/>
      <c r="H174" s="662"/>
      <c r="I174" s="662"/>
      <c r="J174" s="662">
        <v>73678</v>
      </c>
      <c r="K174" s="662"/>
      <c r="L174" s="662"/>
      <c r="M174" s="662"/>
      <c r="N174" s="662"/>
      <c r="O174" s="662"/>
      <c r="P174" s="662"/>
    </row>
    <row r="175" spans="1:16" s="80" customFormat="1" ht="21" customHeight="1" thickBot="1">
      <c r="A175" s="665">
        <v>750</v>
      </c>
      <c r="B175" s="649"/>
      <c r="C175" s="650" t="s">
        <v>439</v>
      </c>
      <c r="D175" s="658">
        <f aca="true" t="shared" si="52" ref="D175:D206">SUM(E175:P175)</f>
        <v>157811</v>
      </c>
      <c r="E175" s="658">
        <f aca="true" t="shared" si="53" ref="E175:P175">SUM(E176:E177)</f>
        <v>9000</v>
      </c>
      <c r="F175" s="658">
        <f t="shared" si="53"/>
        <v>9000</v>
      </c>
      <c r="G175" s="658">
        <f t="shared" si="53"/>
        <v>9000</v>
      </c>
      <c r="H175" s="658">
        <f t="shared" si="53"/>
        <v>9000</v>
      </c>
      <c r="I175" s="658">
        <f t="shared" si="53"/>
        <v>9000</v>
      </c>
      <c r="J175" s="658">
        <f t="shared" si="53"/>
        <v>58611</v>
      </c>
      <c r="K175" s="658">
        <f t="shared" si="53"/>
        <v>9000</v>
      </c>
      <c r="L175" s="658">
        <f t="shared" si="53"/>
        <v>9000</v>
      </c>
      <c r="M175" s="658">
        <f t="shared" si="53"/>
        <v>9000</v>
      </c>
      <c r="N175" s="658">
        <f t="shared" si="53"/>
        <v>9000</v>
      </c>
      <c r="O175" s="658">
        <f t="shared" si="53"/>
        <v>8900</v>
      </c>
      <c r="P175" s="658">
        <f t="shared" si="53"/>
        <v>9300</v>
      </c>
    </row>
    <row r="176" spans="1:16" s="663" customFormat="1" ht="21" customHeight="1">
      <c r="A176" s="659"/>
      <c r="B176" s="660">
        <v>75011</v>
      </c>
      <c r="C176" s="661" t="s">
        <v>1049</v>
      </c>
      <c r="D176" s="662">
        <f t="shared" si="52"/>
        <v>82000</v>
      </c>
      <c r="E176" s="662">
        <v>6800</v>
      </c>
      <c r="F176" s="662">
        <v>6800</v>
      </c>
      <c r="G176" s="662">
        <v>6800</v>
      </c>
      <c r="H176" s="662">
        <v>6800</v>
      </c>
      <c r="I176" s="662">
        <v>6800</v>
      </c>
      <c r="J176" s="662">
        <v>6800</v>
      </c>
      <c r="K176" s="662">
        <v>6800</v>
      </c>
      <c r="L176" s="662">
        <v>6800</v>
      </c>
      <c r="M176" s="662">
        <v>6800</v>
      </c>
      <c r="N176" s="662">
        <v>6800</v>
      </c>
      <c r="O176" s="662">
        <v>6800</v>
      </c>
      <c r="P176" s="662">
        <v>7200</v>
      </c>
    </row>
    <row r="177" spans="1:16" ht="21" customHeight="1">
      <c r="A177" s="652"/>
      <c r="B177" s="652">
        <v>75023</v>
      </c>
      <c r="C177" s="653" t="s">
        <v>1061</v>
      </c>
      <c r="D177" s="664">
        <f t="shared" si="52"/>
        <v>75811</v>
      </c>
      <c r="E177" s="664">
        <v>2200</v>
      </c>
      <c r="F177" s="664">
        <v>2200</v>
      </c>
      <c r="G177" s="664">
        <v>2200</v>
      </c>
      <c r="H177" s="664">
        <v>2200</v>
      </c>
      <c r="I177" s="664">
        <v>2200</v>
      </c>
      <c r="J177" s="664">
        <f>2200+49611</f>
        <v>51811</v>
      </c>
      <c r="K177" s="664">
        <v>2200</v>
      </c>
      <c r="L177" s="664">
        <v>2200</v>
      </c>
      <c r="M177" s="664">
        <v>2200</v>
      </c>
      <c r="N177" s="664">
        <v>2200</v>
      </c>
      <c r="O177" s="664">
        <v>2100</v>
      </c>
      <c r="P177" s="664">
        <v>2100</v>
      </c>
    </row>
    <row r="178" spans="1:16" s="80" customFormat="1" ht="64.5" customHeight="1" thickBot="1">
      <c r="A178" s="665">
        <v>756</v>
      </c>
      <c r="B178" s="665"/>
      <c r="C178" s="666" t="s">
        <v>380</v>
      </c>
      <c r="D178" s="667">
        <f t="shared" si="52"/>
        <v>250114182</v>
      </c>
      <c r="E178" s="667">
        <f aca="true" t="shared" si="54" ref="E178:P178">E179+E180+E181+E182+E183</f>
        <v>18385418</v>
      </c>
      <c r="F178" s="667">
        <f t="shared" si="54"/>
        <v>17746135</v>
      </c>
      <c r="G178" s="667">
        <f t="shared" si="54"/>
        <v>18226011</v>
      </c>
      <c r="H178" s="667">
        <f t="shared" si="54"/>
        <v>21875908</v>
      </c>
      <c r="I178" s="667">
        <f t="shared" si="54"/>
        <v>19891392</v>
      </c>
      <c r="J178" s="667">
        <f t="shared" si="54"/>
        <v>17625133</v>
      </c>
      <c r="K178" s="667">
        <f t="shared" si="54"/>
        <v>18713358</v>
      </c>
      <c r="L178" s="667">
        <f t="shared" si="54"/>
        <v>21713358</v>
      </c>
      <c r="M178" s="667">
        <f t="shared" si="54"/>
        <v>22223358</v>
      </c>
      <c r="N178" s="667">
        <f t="shared" si="54"/>
        <v>23213358</v>
      </c>
      <c r="O178" s="667">
        <f t="shared" si="54"/>
        <v>24613358</v>
      </c>
      <c r="P178" s="667">
        <f t="shared" si="54"/>
        <v>25887395</v>
      </c>
    </row>
    <row r="179" spans="1:16" ht="31.5" customHeight="1">
      <c r="A179" s="672"/>
      <c r="B179" s="652">
        <v>75601</v>
      </c>
      <c r="C179" s="653" t="s">
        <v>883</v>
      </c>
      <c r="D179" s="654">
        <f t="shared" si="52"/>
        <v>1460000</v>
      </c>
      <c r="E179" s="654">
        <v>120000</v>
      </c>
      <c r="F179" s="654">
        <v>120000</v>
      </c>
      <c r="G179" s="654">
        <v>120000</v>
      </c>
      <c r="H179" s="654">
        <v>120000</v>
      </c>
      <c r="I179" s="654">
        <v>120000</v>
      </c>
      <c r="J179" s="654">
        <v>130000</v>
      </c>
      <c r="K179" s="654">
        <v>120000</v>
      </c>
      <c r="L179" s="654">
        <v>120000</v>
      </c>
      <c r="M179" s="654">
        <v>130000</v>
      </c>
      <c r="N179" s="654">
        <v>120000</v>
      </c>
      <c r="O179" s="654">
        <v>120000</v>
      </c>
      <c r="P179" s="654">
        <v>120000</v>
      </c>
    </row>
    <row r="180" spans="1:16" s="643" customFormat="1" ht="60">
      <c r="A180" s="639"/>
      <c r="B180" s="652">
        <v>75615</v>
      </c>
      <c r="C180" s="653" t="s">
        <v>475</v>
      </c>
      <c r="D180" s="654">
        <f t="shared" si="52"/>
        <v>3400000</v>
      </c>
      <c r="E180" s="654">
        <v>700056</v>
      </c>
      <c r="F180" s="654"/>
      <c r="G180" s="654"/>
      <c r="H180" s="654">
        <v>537115</v>
      </c>
      <c r="I180" s="654">
        <v>446358</v>
      </c>
      <c r="J180" s="654">
        <v>246471</v>
      </c>
      <c r="K180" s="654">
        <v>245000</v>
      </c>
      <c r="L180" s="654">
        <v>245000</v>
      </c>
      <c r="M180" s="654">
        <v>245000</v>
      </c>
      <c r="N180" s="654">
        <v>245000</v>
      </c>
      <c r="O180" s="654">
        <v>245000</v>
      </c>
      <c r="P180" s="654">
        <v>245000</v>
      </c>
    </row>
    <row r="181" spans="1:16" s="643" customFormat="1" ht="59.25" customHeight="1">
      <c r="A181" s="639"/>
      <c r="B181" s="652">
        <v>75616</v>
      </c>
      <c r="C181" s="668" t="s">
        <v>1145</v>
      </c>
      <c r="D181" s="654">
        <f t="shared" si="52"/>
        <v>15500000</v>
      </c>
      <c r="E181" s="654">
        <v>1159797</v>
      </c>
      <c r="F181" s="654">
        <v>1985135</v>
      </c>
      <c r="G181" s="654">
        <v>1772653</v>
      </c>
      <c r="H181" s="654">
        <v>2285435</v>
      </c>
      <c r="I181" s="654">
        <v>1891676</v>
      </c>
      <c r="J181" s="654">
        <v>915304</v>
      </c>
      <c r="K181" s="654">
        <v>915000</v>
      </c>
      <c r="L181" s="654">
        <v>915000</v>
      </c>
      <c r="M181" s="654">
        <v>915000</v>
      </c>
      <c r="N181" s="654">
        <v>915000</v>
      </c>
      <c r="O181" s="654">
        <v>915000</v>
      </c>
      <c r="P181" s="654">
        <v>915000</v>
      </c>
    </row>
    <row r="182" spans="1:16" ht="45.75" customHeight="1" hidden="1">
      <c r="A182" s="639"/>
      <c r="B182" s="652">
        <v>75618</v>
      </c>
      <c r="C182" s="653" t="s">
        <v>989</v>
      </c>
      <c r="D182" s="664">
        <f t="shared" si="52"/>
        <v>0</v>
      </c>
      <c r="E182" s="664"/>
      <c r="F182" s="664"/>
      <c r="G182" s="664"/>
      <c r="H182" s="664"/>
      <c r="I182" s="664"/>
      <c r="J182" s="664"/>
      <c r="K182" s="664"/>
      <c r="L182" s="664"/>
      <c r="M182" s="664"/>
      <c r="N182" s="664"/>
      <c r="O182" s="664"/>
      <c r="P182" s="664"/>
    </row>
    <row r="183" spans="1:16" ht="31.5" customHeight="1">
      <c r="A183" s="652"/>
      <c r="B183" s="639">
        <v>75621</v>
      </c>
      <c r="C183" s="1005" t="s">
        <v>878</v>
      </c>
      <c r="D183" s="748">
        <f t="shared" si="52"/>
        <v>229754182</v>
      </c>
      <c r="E183" s="1006">
        <v>16405565</v>
      </c>
      <c r="F183" s="1006">
        <v>15641000</v>
      </c>
      <c r="G183" s="1006">
        <v>16333358</v>
      </c>
      <c r="H183" s="1006">
        <v>18933358</v>
      </c>
      <c r="I183" s="1006">
        <v>17433358</v>
      </c>
      <c r="J183" s="1006">
        <v>16333358</v>
      </c>
      <c r="K183" s="1006">
        <v>17433358</v>
      </c>
      <c r="L183" s="1006">
        <v>20433358</v>
      </c>
      <c r="M183" s="1006">
        <v>20933358</v>
      </c>
      <c r="N183" s="1006">
        <v>21933358</v>
      </c>
      <c r="O183" s="1006">
        <v>23333358</v>
      </c>
      <c r="P183" s="1006">
        <v>24607395</v>
      </c>
    </row>
    <row r="184" spans="1:16" s="80" customFormat="1" ht="19.5" customHeight="1" thickBot="1">
      <c r="A184" s="669">
        <v>758</v>
      </c>
      <c r="B184" s="669"/>
      <c r="C184" s="670" t="s">
        <v>446</v>
      </c>
      <c r="D184" s="671">
        <f t="shared" si="52"/>
        <v>1079997</v>
      </c>
      <c r="E184" s="671">
        <f aca="true" t="shared" si="55" ref="E184:P184">E185</f>
        <v>83000</v>
      </c>
      <c r="F184" s="671">
        <f t="shared" si="55"/>
        <v>83000</v>
      </c>
      <c r="G184" s="671">
        <f t="shared" si="55"/>
        <v>83000</v>
      </c>
      <c r="H184" s="671">
        <f t="shared" si="55"/>
        <v>83000</v>
      </c>
      <c r="I184" s="671">
        <f t="shared" si="55"/>
        <v>83000</v>
      </c>
      <c r="J184" s="671">
        <f t="shared" si="55"/>
        <v>165997</v>
      </c>
      <c r="K184" s="671">
        <f t="shared" si="55"/>
        <v>84000</v>
      </c>
      <c r="L184" s="671">
        <f t="shared" si="55"/>
        <v>83000</v>
      </c>
      <c r="M184" s="671">
        <f t="shared" si="55"/>
        <v>83000</v>
      </c>
      <c r="N184" s="671">
        <f t="shared" si="55"/>
        <v>83000</v>
      </c>
      <c r="O184" s="671">
        <f t="shared" si="55"/>
        <v>83000</v>
      </c>
      <c r="P184" s="671">
        <f t="shared" si="55"/>
        <v>83000</v>
      </c>
    </row>
    <row r="185" spans="1:16" ht="19.5" customHeight="1">
      <c r="A185" s="672"/>
      <c r="B185" s="672">
        <v>75814</v>
      </c>
      <c r="C185" s="673" t="s">
        <v>384</v>
      </c>
      <c r="D185" s="674">
        <f t="shared" si="52"/>
        <v>1079997</v>
      </c>
      <c r="E185" s="674">
        <v>83000</v>
      </c>
      <c r="F185" s="674">
        <v>83000</v>
      </c>
      <c r="G185" s="674">
        <v>83000</v>
      </c>
      <c r="H185" s="674">
        <v>83000</v>
      </c>
      <c r="I185" s="674">
        <v>83000</v>
      </c>
      <c r="J185" s="674">
        <f>86000+79997</f>
        <v>165997</v>
      </c>
      <c r="K185" s="674">
        <v>84000</v>
      </c>
      <c r="L185" s="674">
        <v>83000</v>
      </c>
      <c r="M185" s="674">
        <v>83000</v>
      </c>
      <c r="N185" s="674">
        <v>83000</v>
      </c>
      <c r="O185" s="674">
        <v>83000</v>
      </c>
      <c r="P185" s="674">
        <v>83000</v>
      </c>
    </row>
    <row r="186" spans="1:16" s="80" customFormat="1" ht="19.5" customHeight="1" thickBot="1">
      <c r="A186" s="665">
        <v>852</v>
      </c>
      <c r="B186" s="665"/>
      <c r="C186" s="675" t="s">
        <v>129</v>
      </c>
      <c r="D186" s="676">
        <f t="shared" si="52"/>
        <v>6700</v>
      </c>
      <c r="E186" s="676">
        <f aca="true" t="shared" si="56" ref="E186:P186">SUM(E187:E188)</f>
        <v>555</v>
      </c>
      <c r="F186" s="676">
        <f t="shared" si="56"/>
        <v>555</v>
      </c>
      <c r="G186" s="676">
        <f t="shared" si="56"/>
        <v>555</v>
      </c>
      <c r="H186" s="676">
        <f t="shared" si="56"/>
        <v>555</v>
      </c>
      <c r="I186" s="676">
        <f t="shared" si="56"/>
        <v>555</v>
      </c>
      <c r="J186" s="676">
        <f t="shared" si="56"/>
        <v>555</v>
      </c>
      <c r="K186" s="676">
        <f t="shared" si="56"/>
        <v>555</v>
      </c>
      <c r="L186" s="676">
        <f t="shared" si="56"/>
        <v>555</v>
      </c>
      <c r="M186" s="676">
        <f t="shared" si="56"/>
        <v>565</v>
      </c>
      <c r="N186" s="676">
        <f t="shared" si="56"/>
        <v>565</v>
      </c>
      <c r="O186" s="676">
        <f t="shared" si="56"/>
        <v>565</v>
      </c>
      <c r="P186" s="676">
        <f t="shared" si="56"/>
        <v>565</v>
      </c>
    </row>
    <row r="187" spans="1:16" ht="19.5" customHeight="1">
      <c r="A187" s="639"/>
      <c r="B187" s="652">
        <v>85203</v>
      </c>
      <c r="C187" s="653" t="s">
        <v>126</v>
      </c>
      <c r="D187" s="664">
        <f t="shared" si="52"/>
        <v>1500</v>
      </c>
      <c r="E187" s="664">
        <v>125</v>
      </c>
      <c r="F187" s="664">
        <v>125</v>
      </c>
      <c r="G187" s="664">
        <v>125</v>
      </c>
      <c r="H187" s="664">
        <v>125</v>
      </c>
      <c r="I187" s="664">
        <v>125</v>
      </c>
      <c r="J187" s="664">
        <v>125</v>
      </c>
      <c r="K187" s="664">
        <v>125</v>
      </c>
      <c r="L187" s="664">
        <v>125</v>
      </c>
      <c r="M187" s="664">
        <v>125</v>
      </c>
      <c r="N187" s="664">
        <v>125</v>
      </c>
      <c r="O187" s="664">
        <v>125</v>
      </c>
      <c r="P187" s="664">
        <v>125</v>
      </c>
    </row>
    <row r="188" spans="1:16" ht="28.5" customHeight="1">
      <c r="A188" s="639"/>
      <c r="B188" s="652">
        <v>85228</v>
      </c>
      <c r="C188" s="653" t="s">
        <v>616</v>
      </c>
      <c r="D188" s="664">
        <f t="shared" si="52"/>
        <v>5200</v>
      </c>
      <c r="E188" s="664">
        <v>430</v>
      </c>
      <c r="F188" s="664">
        <v>430</v>
      </c>
      <c r="G188" s="664">
        <v>430</v>
      </c>
      <c r="H188" s="664">
        <v>430</v>
      </c>
      <c r="I188" s="664">
        <v>430</v>
      </c>
      <c r="J188" s="664">
        <v>430</v>
      </c>
      <c r="K188" s="664">
        <v>430</v>
      </c>
      <c r="L188" s="664">
        <v>430</v>
      </c>
      <c r="M188" s="664">
        <v>440</v>
      </c>
      <c r="N188" s="664">
        <v>440</v>
      </c>
      <c r="O188" s="664">
        <v>440</v>
      </c>
      <c r="P188" s="664">
        <v>440</v>
      </c>
    </row>
    <row r="189" spans="1:16" s="648" customFormat="1" ht="21" customHeight="1" thickBot="1">
      <c r="A189" s="644"/>
      <c r="B189" s="644"/>
      <c r="C189" s="677" t="s">
        <v>1146</v>
      </c>
      <c r="D189" s="678">
        <f t="shared" si="52"/>
        <v>115171669</v>
      </c>
      <c r="E189" s="678">
        <f aca="true" t="shared" si="57" ref="E189:P189">E190+E192</f>
        <v>8629048</v>
      </c>
      <c r="F189" s="678">
        <f t="shared" si="57"/>
        <v>8629047</v>
      </c>
      <c r="G189" s="678">
        <f t="shared" si="57"/>
        <v>17560188</v>
      </c>
      <c r="H189" s="678">
        <f t="shared" si="57"/>
        <v>8805931</v>
      </c>
      <c r="I189" s="678">
        <f t="shared" si="57"/>
        <v>9330787</v>
      </c>
      <c r="J189" s="678">
        <f t="shared" si="57"/>
        <v>8805931</v>
      </c>
      <c r="K189" s="678">
        <f t="shared" si="57"/>
        <v>8805933</v>
      </c>
      <c r="L189" s="678">
        <f t="shared" si="57"/>
        <v>8805931</v>
      </c>
      <c r="M189" s="678">
        <f t="shared" si="57"/>
        <v>8805933</v>
      </c>
      <c r="N189" s="678">
        <f t="shared" si="57"/>
        <v>9381076</v>
      </c>
      <c r="O189" s="678">
        <f t="shared" si="57"/>
        <v>8805933</v>
      </c>
      <c r="P189" s="678">
        <f t="shared" si="57"/>
        <v>8805931</v>
      </c>
    </row>
    <row r="190" spans="1:16" s="80" customFormat="1" ht="64.5" customHeight="1" thickBot="1" thickTop="1">
      <c r="A190" s="649">
        <v>756</v>
      </c>
      <c r="B190" s="649"/>
      <c r="C190" s="764" t="s">
        <v>380</v>
      </c>
      <c r="D190" s="667">
        <f t="shared" si="52"/>
        <v>1100000</v>
      </c>
      <c r="E190" s="667"/>
      <c r="F190" s="667"/>
      <c r="G190" s="667"/>
      <c r="H190" s="667"/>
      <c r="I190" s="667">
        <f>I191</f>
        <v>524855</v>
      </c>
      <c r="J190" s="667"/>
      <c r="K190" s="667"/>
      <c r="L190" s="667"/>
      <c r="M190" s="667"/>
      <c r="N190" s="667">
        <f>N191</f>
        <v>575145</v>
      </c>
      <c r="O190" s="667"/>
      <c r="P190" s="743"/>
    </row>
    <row r="191" spans="1:16" s="648" customFormat="1" ht="60">
      <c r="A191" s="655"/>
      <c r="B191" s="652">
        <v>75615</v>
      </c>
      <c r="C191" s="653" t="s">
        <v>1102</v>
      </c>
      <c r="D191" s="682">
        <f t="shared" si="52"/>
        <v>1100000</v>
      </c>
      <c r="E191" s="682"/>
      <c r="F191" s="682"/>
      <c r="G191" s="682"/>
      <c r="H191" s="682"/>
      <c r="I191" s="682">
        <v>524855</v>
      </c>
      <c r="J191" s="682"/>
      <c r="K191" s="682"/>
      <c r="L191" s="682"/>
      <c r="M191" s="682"/>
      <c r="N191" s="682">
        <v>575145</v>
      </c>
      <c r="O191" s="682"/>
      <c r="P191" s="682"/>
    </row>
    <row r="192" spans="1:16" s="80" customFormat="1" ht="18.75" customHeight="1" thickBot="1">
      <c r="A192" s="665">
        <v>758</v>
      </c>
      <c r="B192" s="665"/>
      <c r="C192" s="675" t="s">
        <v>446</v>
      </c>
      <c r="D192" s="683">
        <f t="shared" si="52"/>
        <v>114071669</v>
      </c>
      <c r="E192" s="683">
        <f aca="true" t="shared" si="58" ref="E192:P192">E193+E194</f>
        <v>8629048</v>
      </c>
      <c r="F192" s="683">
        <f t="shared" si="58"/>
        <v>8629047</v>
      </c>
      <c r="G192" s="683">
        <f t="shared" si="58"/>
        <v>17560188</v>
      </c>
      <c r="H192" s="683">
        <f t="shared" si="58"/>
        <v>8805931</v>
      </c>
      <c r="I192" s="683">
        <f t="shared" si="58"/>
        <v>8805932</v>
      </c>
      <c r="J192" s="683">
        <f t="shared" si="58"/>
        <v>8805931</v>
      </c>
      <c r="K192" s="683">
        <f t="shared" si="58"/>
        <v>8805933</v>
      </c>
      <c r="L192" s="683">
        <f t="shared" si="58"/>
        <v>8805931</v>
      </c>
      <c r="M192" s="683">
        <f t="shared" si="58"/>
        <v>8805933</v>
      </c>
      <c r="N192" s="683">
        <f t="shared" si="58"/>
        <v>8805931</v>
      </c>
      <c r="O192" s="683">
        <f t="shared" si="58"/>
        <v>8805933</v>
      </c>
      <c r="P192" s="683">
        <f t="shared" si="58"/>
        <v>8805931</v>
      </c>
    </row>
    <row r="193" spans="1:18" ht="30" customHeight="1">
      <c r="A193" s="639"/>
      <c r="B193" s="639">
        <v>75801</v>
      </c>
      <c r="C193" s="684" t="s">
        <v>1147</v>
      </c>
      <c r="D193" s="654">
        <f t="shared" si="52"/>
        <v>109206347</v>
      </c>
      <c r="E193" s="741">
        <v>8223604</v>
      </c>
      <c r="F193" s="741">
        <v>8223604</v>
      </c>
      <c r="G193" s="741">
        <v>17154744</v>
      </c>
      <c r="H193" s="741">
        <v>8400488</v>
      </c>
      <c r="I193" s="741">
        <v>8400488</v>
      </c>
      <c r="J193" s="741">
        <v>8400488</v>
      </c>
      <c r="K193" s="741">
        <v>8400489</v>
      </c>
      <c r="L193" s="741">
        <v>8400488</v>
      </c>
      <c r="M193" s="741">
        <v>8400489</v>
      </c>
      <c r="N193" s="741">
        <v>8400488</v>
      </c>
      <c r="O193" s="741">
        <v>8400489</v>
      </c>
      <c r="P193" s="741">
        <v>8400488</v>
      </c>
      <c r="Q193" s="612"/>
      <c r="R193" s="612"/>
    </row>
    <row r="194" spans="1:18" ht="21" customHeight="1">
      <c r="A194" s="639"/>
      <c r="B194" s="719">
        <v>75831</v>
      </c>
      <c r="C194" s="668" t="s">
        <v>1104</v>
      </c>
      <c r="D194" s="741">
        <f t="shared" si="52"/>
        <v>4865322</v>
      </c>
      <c r="E194" s="741">
        <v>405444</v>
      </c>
      <c r="F194" s="741">
        <v>405443</v>
      </c>
      <c r="G194" s="741">
        <v>405444</v>
      </c>
      <c r="H194" s="741">
        <v>405443</v>
      </c>
      <c r="I194" s="741">
        <v>405444</v>
      </c>
      <c r="J194" s="741">
        <v>405443</v>
      </c>
      <c r="K194" s="741">
        <v>405444</v>
      </c>
      <c r="L194" s="741">
        <v>405443</v>
      </c>
      <c r="M194" s="741">
        <v>405444</v>
      </c>
      <c r="N194" s="741">
        <v>405443</v>
      </c>
      <c r="O194" s="741">
        <v>405444</v>
      </c>
      <c r="P194" s="741">
        <v>405443</v>
      </c>
      <c r="Q194" s="612"/>
      <c r="R194" s="612"/>
    </row>
    <row r="195" spans="1:16" s="648" customFormat="1" ht="33" customHeight="1" thickBot="1">
      <c r="A195" s="644"/>
      <c r="B195" s="686"/>
      <c r="C195" s="677" t="s">
        <v>403</v>
      </c>
      <c r="D195" s="678">
        <f t="shared" si="52"/>
        <v>31609737</v>
      </c>
      <c r="E195" s="678">
        <f aca="true" t="shared" si="59" ref="E195:P195">E196+E198+E200+E202+E204+E208+E215+E217+E220+E213</f>
        <v>1419759</v>
      </c>
      <c r="F195" s="678">
        <f t="shared" si="59"/>
        <v>2433254</v>
      </c>
      <c r="G195" s="678">
        <f t="shared" si="59"/>
        <v>1644563</v>
      </c>
      <c r="H195" s="678">
        <f t="shared" si="59"/>
        <v>2354496</v>
      </c>
      <c r="I195" s="678">
        <f t="shared" si="59"/>
        <v>1865923</v>
      </c>
      <c r="J195" s="678">
        <f t="shared" si="59"/>
        <v>2271406</v>
      </c>
      <c r="K195" s="678">
        <f t="shared" si="59"/>
        <v>8502189</v>
      </c>
      <c r="L195" s="678">
        <f t="shared" si="59"/>
        <v>2248779</v>
      </c>
      <c r="M195" s="678">
        <f t="shared" si="59"/>
        <v>1760499</v>
      </c>
      <c r="N195" s="678">
        <f t="shared" si="59"/>
        <v>3322125</v>
      </c>
      <c r="O195" s="678">
        <f t="shared" si="59"/>
        <v>1878440</v>
      </c>
      <c r="P195" s="678">
        <f t="shared" si="59"/>
        <v>1908304</v>
      </c>
    </row>
    <row r="196" spans="1:16" s="648" customFormat="1" ht="21" customHeight="1" thickBot="1" thickTop="1">
      <c r="A196" s="669">
        <v>600</v>
      </c>
      <c r="B196" s="687"/>
      <c r="C196" s="688" t="s">
        <v>525</v>
      </c>
      <c r="D196" s="689">
        <f t="shared" si="52"/>
        <v>4444207</v>
      </c>
      <c r="E196" s="689"/>
      <c r="F196" s="689"/>
      <c r="G196" s="689"/>
      <c r="H196" s="689">
        <f>H197</f>
        <v>896888</v>
      </c>
      <c r="I196" s="689"/>
      <c r="J196" s="689">
        <f aca="true" t="shared" si="60" ref="J196:P196">J197</f>
        <v>246946</v>
      </c>
      <c r="K196" s="689">
        <f t="shared" si="60"/>
        <v>464085</v>
      </c>
      <c r="L196" s="689">
        <f t="shared" si="60"/>
        <v>548554</v>
      </c>
      <c r="M196" s="690">
        <f t="shared" si="60"/>
        <v>484777</v>
      </c>
      <c r="N196" s="690">
        <f t="shared" si="60"/>
        <v>600985</v>
      </c>
      <c r="O196" s="690">
        <f t="shared" si="60"/>
        <v>600986</v>
      </c>
      <c r="P196" s="690">
        <f t="shared" si="60"/>
        <v>600986</v>
      </c>
    </row>
    <row r="197" spans="1:17" s="648" customFormat="1" ht="21" customHeight="1">
      <c r="A197" s="691"/>
      <c r="B197" s="672">
        <v>60004</v>
      </c>
      <c r="C197" s="673" t="s">
        <v>647</v>
      </c>
      <c r="D197" s="692">
        <f t="shared" si="52"/>
        <v>4444207</v>
      </c>
      <c r="E197" s="692"/>
      <c r="F197" s="692"/>
      <c r="G197" s="692"/>
      <c r="H197" s="692">
        <v>896888</v>
      </c>
      <c r="I197" s="692"/>
      <c r="J197" s="692">
        <v>246946</v>
      </c>
      <c r="K197" s="692">
        <v>464085</v>
      </c>
      <c r="L197" s="692">
        <v>548554</v>
      </c>
      <c r="M197" s="693">
        <v>484777</v>
      </c>
      <c r="N197" s="693">
        <v>600985</v>
      </c>
      <c r="O197" s="693">
        <v>600986</v>
      </c>
      <c r="P197" s="693">
        <v>600986</v>
      </c>
      <c r="Q197" s="694"/>
    </row>
    <row r="198" spans="1:17" s="700" customFormat="1" ht="21" customHeight="1" thickBot="1">
      <c r="A198" s="695">
        <v>630</v>
      </c>
      <c r="B198" s="695"/>
      <c r="C198" s="696" t="s">
        <v>430</v>
      </c>
      <c r="D198" s="697">
        <f t="shared" si="52"/>
        <v>439057</v>
      </c>
      <c r="E198" s="697"/>
      <c r="F198" s="697">
        <f>F199</f>
        <v>382294</v>
      </c>
      <c r="G198" s="697"/>
      <c r="H198" s="697"/>
      <c r="I198" s="697">
        <f>I199</f>
        <v>17361</v>
      </c>
      <c r="J198" s="697"/>
      <c r="K198" s="697">
        <f>K199</f>
        <v>39402</v>
      </c>
      <c r="L198" s="697"/>
      <c r="M198" s="698"/>
      <c r="N198" s="698"/>
      <c r="O198" s="698"/>
      <c r="P198" s="698"/>
      <c r="Q198" s="699"/>
    </row>
    <row r="199" spans="1:17" s="706" customFormat="1" ht="30" customHeight="1">
      <c r="A199" s="701"/>
      <c r="B199" s="701">
        <v>63003</v>
      </c>
      <c r="C199" s="702" t="s">
        <v>432</v>
      </c>
      <c r="D199" s="703">
        <f t="shared" si="52"/>
        <v>439057</v>
      </c>
      <c r="E199" s="703"/>
      <c r="F199" s="703">
        <v>382294</v>
      </c>
      <c r="G199" s="703"/>
      <c r="H199" s="703"/>
      <c r="I199" s="703">
        <v>17361</v>
      </c>
      <c r="J199" s="703"/>
      <c r="K199" s="703">
        <v>39402</v>
      </c>
      <c r="L199" s="703"/>
      <c r="M199" s="704"/>
      <c r="N199" s="704"/>
      <c r="O199" s="704"/>
      <c r="P199" s="704"/>
      <c r="Q199" s="705"/>
    </row>
    <row r="200" spans="1:17" s="700" customFormat="1" ht="18.75" customHeight="1" thickBot="1">
      <c r="A200" s="707">
        <v>750</v>
      </c>
      <c r="B200" s="707"/>
      <c r="C200" s="708" t="s">
        <v>439</v>
      </c>
      <c r="D200" s="709">
        <f t="shared" si="52"/>
        <v>2162613</v>
      </c>
      <c r="E200" s="709"/>
      <c r="F200" s="709">
        <f>F201</f>
        <v>188513</v>
      </c>
      <c r="G200" s="709"/>
      <c r="H200" s="709"/>
      <c r="I200" s="709"/>
      <c r="J200" s="709"/>
      <c r="K200" s="709">
        <f aca="true" t="shared" si="61" ref="K200:P200">K201</f>
        <v>608325</v>
      </c>
      <c r="L200" s="709">
        <f t="shared" si="61"/>
        <v>750047</v>
      </c>
      <c r="M200" s="710"/>
      <c r="N200" s="710">
        <f t="shared" si="61"/>
        <v>205243</v>
      </c>
      <c r="O200" s="710">
        <f t="shared" si="61"/>
        <v>205243</v>
      </c>
      <c r="P200" s="710">
        <f t="shared" si="61"/>
        <v>205242</v>
      </c>
      <c r="Q200" s="699"/>
    </row>
    <row r="201" spans="1:17" s="706" customFormat="1" ht="18.75" customHeight="1">
      <c r="A201" s="711"/>
      <c r="B201" s="711">
        <v>75023</v>
      </c>
      <c r="C201" s="712" t="s">
        <v>1061</v>
      </c>
      <c r="D201" s="713">
        <f t="shared" si="52"/>
        <v>2162613</v>
      </c>
      <c r="E201" s="713"/>
      <c r="F201" s="713">
        <v>188513</v>
      </c>
      <c r="G201" s="713"/>
      <c r="H201" s="713"/>
      <c r="I201" s="713"/>
      <c r="J201" s="713"/>
      <c r="K201" s="713">
        <v>608325</v>
      </c>
      <c r="L201" s="713">
        <v>750047</v>
      </c>
      <c r="M201" s="714"/>
      <c r="N201" s="714">
        <v>205243</v>
      </c>
      <c r="O201" s="714">
        <v>205243</v>
      </c>
      <c r="P201" s="714">
        <v>205242</v>
      </c>
      <c r="Q201" s="705"/>
    </row>
    <row r="202" spans="1:16" s="648" customFormat="1" ht="18.75" customHeight="1" thickBot="1">
      <c r="A202" s="665">
        <v>758</v>
      </c>
      <c r="B202" s="715"/>
      <c r="C202" s="675" t="s">
        <v>446</v>
      </c>
      <c r="D202" s="676">
        <f t="shared" si="52"/>
        <v>487631</v>
      </c>
      <c r="E202" s="676"/>
      <c r="F202" s="676"/>
      <c r="G202" s="676"/>
      <c r="H202" s="676">
        <f>H203</f>
        <v>18463</v>
      </c>
      <c r="I202" s="676">
        <f>I203</f>
        <v>30050</v>
      </c>
      <c r="J202" s="676"/>
      <c r="K202" s="676">
        <f>K203</f>
        <v>259684</v>
      </c>
      <c r="L202" s="676">
        <f>L203</f>
        <v>28700</v>
      </c>
      <c r="M202" s="676"/>
      <c r="N202" s="676"/>
      <c r="O202" s="676">
        <f>O203</f>
        <v>150734</v>
      </c>
      <c r="P202" s="676"/>
    </row>
    <row r="203" spans="1:19" s="648" customFormat="1" ht="18.75" customHeight="1">
      <c r="A203" s="644"/>
      <c r="B203" s="652">
        <v>75860</v>
      </c>
      <c r="C203" s="653" t="s">
        <v>309</v>
      </c>
      <c r="D203" s="662">
        <f t="shared" si="52"/>
        <v>487631</v>
      </c>
      <c r="E203" s="662"/>
      <c r="F203" s="662"/>
      <c r="G203" s="662"/>
      <c r="H203" s="662">
        <v>18463</v>
      </c>
      <c r="I203" s="662">
        <v>30050</v>
      </c>
      <c r="J203" s="662"/>
      <c r="K203" s="662">
        <v>259684</v>
      </c>
      <c r="L203" s="662">
        <v>28700</v>
      </c>
      <c r="M203" s="682"/>
      <c r="N203" s="682"/>
      <c r="O203" s="682">
        <f>129787+20947</f>
        <v>150734</v>
      </c>
      <c r="P203" s="682"/>
      <c r="Q203" s="716"/>
      <c r="R203" s="716"/>
      <c r="S203" s="717"/>
    </row>
    <row r="204" spans="1:16" s="648" customFormat="1" ht="18.75" customHeight="1" thickBot="1">
      <c r="A204" s="669">
        <v>801</v>
      </c>
      <c r="B204" s="687"/>
      <c r="C204" s="670" t="s">
        <v>448</v>
      </c>
      <c r="D204" s="671">
        <f t="shared" si="52"/>
        <v>2116116</v>
      </c>
      <c r="E204" s="671"/>
      <c r="F204" s="671"/>
      <c r="G204" s="671"/>
      <c r="H204" s="671">
        <f>SUM(H205:H207)</f>
        <v>239045</v>
      </c>
      <c r="I204" s="671">
        <f>SUM(I205:I207)</f>
        <v>47812</v>
      </c>
      <c r="J204" s="671">
        <f>SUM(J205:J207)</f>
        <v>63350</v>
      </c>
      <c r="K204" s="671">
        <f>SUM(K205:K207)</f>
        <v>47784</v>
      </c>
      <c r="L204" s="671"/>
      <c r="M204" s="671">
        <f>M205+M206</f>
        <v>304245</v>
      </c>
      <c r="N204" s="671">
        <f>N205+N206</f>
        <v>1413880</v>
      </c>
      <c r="O204" s="671"/>
      <c r="P204" s="671"/>
    </row>
    <row r="205" spans="1:17" s="648" customFormat="1" ht="18.75" customHeight="1">
      <c r="A205" s="718"/>
      <c r="B205" s="740">
        <v>80101</v>
      </c>
      <c r="C205" s="1008" t="s">
        <v>449</v>
      </c>
      <c r="D205" s="1009">
        <f t="shared" si="52"/>
        <v>1800550</v>
      </c>
      <c r="E205" s="1009"/>
      <c r="F205" s="1009"/>
      <c r="G205" s="1009"/>
      <c r="H205" s="1009">
        <v>239045</v>
      </c>
      <c r="I205" s="1009">
        <v>47812</v>
      </c>
      <c r="J205" s="1009">
        <v>47784</v>
      </c>
      <c r="K205" s="1009">
        <v>47784</v>
      </c>
      <c r="L205" s="1009"/>
      <c r="M205" s="1009">
        <v>304245</v>
      </c>
      <c r="N205" s="1009">
        <v>1113880</v>
      </c>
      <c r="O205" s="1009"/>
      <c r="P205" s="1009"/>
      <c r="Q205" s="8"/>
    </row>
    <row r="206" spans="1:17" s="648" customFormat="1" ht="18.75" customHeight="1">
      <c r="A206" s="655"/>
      <c r="B206" s="719">
        <v>80110</v>
      </c>
      <c r="C206" s="668" t="s">
        <v>450</v>
      </c>
      <c r="D206" s="1049">
        <f t="shared" si="52"/>
        <v>305869</v>
      </c>
      <c r="E206" s="1049"/>
      <c r="F206" s="1049"/>
      <c r="G206" s="1049"/>
      <c r="H206" s="1049"/>
      <c r="I206" s="1049"/>
      <c r="J206" s="1049">
        <v>5869</v>
      </c>
      <c r="K206" s="1049"/>
      <c r="L206" s="1049"/>
      <c r="M206" s="858"/>
      <c r="N206" s="858">
        <v>300000</v>
      </c>
      <c r="O206" s="858"/>
      <c r="P206" s="858"/>
      <c r="Q206" s="8"/>
    </row>
    <row r="207" spans="1:17" s="648" customFormat="1" ht="18.75" customHeight="1">
      <c r="A207" s="644"/>
      <c r="B207" s="719">
        <v>80195</v>
      </c>
      <c r="C207" s="653" t="s">
        <v>100</v>
      </c>
      <c r="D207" s="662">
        <f>SUM(E207:P207)</f>
        <v>9697</v>
      </c>
      <c r="E207" s="662"/>
      <c r="F207" s="662"/>
      <c r="G207" s="662"/>
      <c r="H207" s="662"/>
      <c r="I207" s="662"/>
      <c r="J207" s="662">
        <v>9697</v>
      </c>
      <c r="K207" s="662"/>
      <c r="L207" s="662"/>
      <c r="M207" s="682"/>
      <c r="N207" s="682"/>
      <c r="O207" s="682"/>
      <c r="P207" s="682"/>
      <c r="Q207" s="8"/>
    </row>
    <row r="208" spans="1:16" s="648" customFormat="1" ht="18.75" customHeight="1" thickBot="1">
      <c r="A208" s="665">
        <v>852</v>
      </c>
      <c r="B208" s="715"/>
      <c r="C208" s="675" t="s">
        <v>129</v>
      </c>
      <c r="D208" s="676">
        <f aca="true" t="shared" si="62" ref="D208:D221">SUM(E208:P208)</f>
        <v>13476214</v>
      </c>
      <c r="E208" s="676">
        <f aca="true" t="shared" si="63" ref="E208:P208">E209+E210+E211+E212</f>
        <v>871665</v>
      </c>
      <c r="F208" s="676">
        <f t="shared" si="63"/>
        <v>1862447</v>
      </c>
      <c r="G208" s="676">
        <f t="shared" si="63"/>
        <v>1136240</v>
      </c>
      <c r="H208" s="676">
        <f t="shared" si="63"/>
        <v>1030640</v>
      </c>
      <c r="I208" s="676">
        <f t="shared" si="63"/>
        <v>1601240</v>
      </c>
      <c r="J208" s="676">
        <f t="shared" si="63"/>
        <v>1083980</v>
      </c>
      <c r="K208" s="676">
        <f t="shared" si="63"/>
        <v>921477</v>
      </c>
      <c r="L208" s="676">
        <f t="shared" si="63"/>
        <v>921478</v>
      </c>
      <c r="M208" s="676">
        <f t="shared" si="63"/>
        <v>921477</v>
      </c>
      <c r="N208" s="676">
        <f t="shared" si="63"/>
        <v>1102017</v>
      </c>
      <c r="O208" s="676">
        <f t="shared" si="63"/>
        <v>921477</v>
      </c>
      <c r="P208" s="676">
        <f t="shared" si="63"/>
        <v>1102076</v>
      </c>
    </row>
    <row r="209" spans="1:16" s="648" customFormat="1" ht="30" customHeight="1">
      <c r="A209" s="655"/>
      <c r="B209" s="652">
        <v>85214</v>
      </c>
      <c r="C209" s="653" t="s">
        <v>459</v>
      </c>
      <c r="D209" s="662">
        <f t="shared" si="62"/>
        <v>4731000</v>
      </c>
      <c r="E209" s="662">
        <v>394250</v>
      </c>
      <c r="F209" s="662">
        <v>394250</v>
      </c>
      <c r="G209" s="662">
        <v>394250</v>
      </c>
      <c r="H209" s="662">
        <v>394250</v>
      </c>
      <c r="I209" s="662">
        <v>394250</v>
      </c>
      <c r="J209" s="662">
        <v>394250</v>
      </c>
      <c r="K209" s="662">
        <v>394250</v>
      </c>
      <c r="L209" s="662">
        <v>394250</v>
      </c>
      <c r="M209" s="662">
        <v>394250</v>
      </c>
      <c r="N209" s="662">
        <v>394250</v>
      </c>
      <c r="O209" s="662">
        <v>394250</v>
      </c>
      <c r="P209" s="662">
        <v>394250</v>
      </c>
    </row>
    <row r="210" spans="1:19" s="648" customFormat="1" ht="21" customHeight="1">
      <c r="A210" s="655"/>
      <c r="B210" s="758">
        <v>85219</v>
      </c>
      <c r="C210" s="684" t="s">
        <v>1020</v>
      </c>
      <c r="D210" s="662">
        <f t="shared" si="62"/>
        <v>4450682</v>
      </c>
      <c r="E210" s="662">
        <v>314375</v>
      </c>
      <c r="F210" s="662">
        <v>797300</v>
      </c>
      <c r="G210" s="662">
        <v>450000</v>
      </c>
      <c r="H210" s="662">
        <v>285000</v>
      </c>
      <c r="I210" s="662">
        <v>460000</v>
      </c>
      <c r="J210" s="662">
        <v>330000</v>
      </c>
      <c r="K210" s="662">
        <v>302334</v>
      </c>
      <c r="L210" s="662">
        <v>302335</v>
      </c>
      <c r="M210" s="662">
        <v>302334</v>
      </c>
      <c r="N210" s="662">
        <v>302335</v>
      </c>
      <c r="O210" s="662">
        <v>302334</v>
      </c>
      <c r="P210" s="662">
        <v>302335</v>
      </c>
      <c r="Q210" s="720"/>
      <c r="R210" s="720"/>
      <c r="S210" s="717"/>
    </row>
    <row r="211" spans="1:16" s="648" customFormat="1" ht="21" customHeight="1">
      <c r="A211" s="655"/>
      <c r="B211" s="719">
        <v>85232</v>
      </c>
      <c r="C211" s="668" t="s">
        <v>708</v>
      </c>
      <c r="D211" s="662">
        <f t="shared" si="62"/>
        <v>1134632</v>
      </c>
      <c r="E211" s="721"/>
      <c r="F211" s="662">
        <v>318497</v>
      </c>
      <c r="G211" s="662"/>
      <c r="H211" s="662"/>
      <c r="I211" s="662">
        <v>455000</v>
      </c>
      <c r="J211" s="662"/>
      <c r="K211" s="662"/>
      <c r="L211" s="662"/>
      <c r="M211" s="662"/>
      <c r="N211" s="662">
        <v>180539</v>
      </c>
      <c r="O211" s="662"/>
      <c r="P211" s="662">
        <f>189870-9274</f>
        <v>180596</v>
      </c>
    </row>
    <row r="212" spans="1:16" s="648" customFormat="1" ht="21" customHeight="1">
      <c r="A212" s="655"/>
      <c r="B212" s="758">
        <v>85295</v>
      </c>
      <c r="C212" s="684" t="s">
        <v>100</v>
      </c>
      <c r="D212" s="662">
        <f t="shared" si="62"/>
        <v>3159900</v>
      </c>
      <c r="E212" s="858">
        <v>163040</v>
      </c>
      <c r="F212" s="858">
        <v>352400</v>
      </c>
      <c r="G212" s="858">
        <v>291990</v>
      </c>
      <c r="H212" s="858">
        <v>351390</v>
      </c>
      <c r="I212" s="858">
        <v>291990</v>
      </c>
      <c r="J212" s="858">
        <v>359730</v>
      </c>
      <c r="K212" s="858">
        <v>224893</v>
      </c>
      <c r="L212" s="858">
        <v>224893</v>
      </c>
      <c r="M212" s="858">
        <v>224893</v>
      </c>
      <c r="N212" s="858">
        <v>224893</v>
      </c>
      <c r="O212" s="858">
        <v>224893</v>
      </c>
      <c r="P212" s="858">
        <v>224895</v>
      </c>
    </row>
    <row r="213" spans="1:17" s="700" customFormat="1" ht="18.75" customHeight="1" thickBot="1">
      <c r="A213" s="707">
        <v>854</v>
      </c>
      <c r="B213" s="707"/>
      <c r="C213" s="707" t="s">
        <v>618</v>
      </c>
      <c r="D213" s="709">
        <f t="shared" si="62"/>
        <v>1016758</v>
      </c>
      <c r="E213" s="709"/>
      <c r="F213" s="709"/>
      <c r="G213" s="709">
        <f>G214</f>
        <v>508323</v>
      </c>
      <c r="H213" s="709">
        <f>H214</f>
        <v>169460</v>
      </c>
      <c r="I213" s="709">
        <f>I214</f>
        <v>169460</v>
      </c>
      <c r="J213" s="709">
        <f>J214</f>
        <v>169515</v>
      </c>
      <c r="K213" s="709"/>
      <c r="L213" s="709"/>
      <c r="M213" s="710"/>
      <c r="N213" s="710"/>
      <c r="O213" s="710"/>
      <c r="P213" s="710"/>
      <c r="Q213" s="699"/>
    </row>
    <row r="214" spans="1:17" s="706" customFormat="1" ht="18.75" customHeight="1">
      <c r="A214" s="711"/>
      <c r="B214" s="711">
        <v>85415</v>
      </c>
      <c r="C214" s="712" t="s">
        <v>396</v>
      </c>
      <c r="D214" s="713">
        <f t="shared" si="62"/>
        <v>1016758</v>
      </c>
      <c r="E214" s="713"/>
      <c r="F214" s="713"/>
      <c r="G214" s="713">
        <v>508323</v>
      </c>
      <c r="H214" s="713">
        <v>169460</v>
      </c>
      <c r="I214" s="713">
        <v>169460</v>
      </c>
      <c r="J214" s="713">
        <v>169515</v>
      </c>
      <c r="K214" s="713"/>
      <c r="L214" s="713"/>
      <c r="M214" s="714"/>
      <c r="N214" s="714"/>
      <c r="O214" s="714"/>
      <c r="P214" s="714"/>
      <c r="Q214" s="705"/>
    </row>
    <row r="215" spans="1:17" s="700" customFormat="1" ht="32.25" customHeight="1" thickBot="1">
      <c r="A215" s="707">
        <v>900</v>
      </c>
      <c r="B215" s="707"/>
      <c r="C215" s="708" t="s">
        <v>1048</v>
      </c>
      <c r="D215" s="709">
        <f t="shared" si="62"/>
        <v>1255587</v>
      </c>
      <c r="E215" s="709">
        <f>E216</f>
        <v>530103</v>
      </c>
      <c r="F215" s="709"/>
      <c r="G215" s="709"/>
      <c r="H215" s="709"/>
      <c r="I215" s="709"/>
      <c r="J215" s="709">
        <f>J216</f>
        <v>707615</v>
      </c>
      <c r="K215" s="709">
        <f>K216</f>
        <v>17869</v>
      </c>
      <c r="L215" s="709"/>
      <c r="M215" s="710"/>
      <c r="N215" s="710"/>
      <c r="O215" s="710"/>
      <c r="P215" s="710"/>
      <c r="Q215" s="699"/>
    </row>
    <row r="216" spans="1:17" s="706" customFormat="1" ht="21" customHeight="1">
      <c r="A216" s="711"/>
      <c r="B216" s="711">
        <v>90002</v>
      </c>
      <c r="C216" s="712" t="s">
        <v>176</v>
      </c>
      <c r="D216" s="713">
        <f t="shared" si="62"/>
        <v>1255587</v>
      </c>
      <c r="E216" s="713">
        <v>530103</v>
      </c>
      <c r="F216" s="713"/>
      <c r="G216" s="713"/>
      <c r="H216" s="713"/>
      <c r="I216" s="713"/>
      <c r="J216" s="713">
        <v>707615</v>
      </c>
      <c r="K216" s="713">
        <v>17869</v>
      </c>
      <c r="L216" s="713"/>
      <c r="M216" s="714"/>
      <c r="N216" s="714"/>
      <c r="O216" s="714"/>
      <c r="P216" s="714"/>
      <c r="Q216" s="705"/>
    </row>
    <row r="217" spans="1:17" s="700" customFormat="1" ht="20.25" customHeight="1" thickBot="1">
      <c r="A217" s="695">
        <v>921</v>
      </c>
      <c r="B217" s="695"/>
      <c r="C217" s="696" t="s">
        <v>401</v>
      </c>
      <c r="D217" s="697">
        <f t="shared" si="62"/>
        <v>22533</v>
      </c>
      <c r="E217" s="697">
        <f>E218</f>
        <v>17991</v>
      </c>
      <c r="F217" s="697"/>
      <c r="G217" s="697"/>
      <c r="H217" s="697"/>
      <c r="I217" s="697"/>
      <c r="J217" s="697"/>
      <c r="K217" s="697">
        <f>K219</f>
        <v>4542</v>
      </c>
      <c r="L217" s="697"/>
      <c r="M217" s="698"/>
      <c r="N217" s="698"/>
      <c r="O217" s="698"/>
      <c r="P217" s="698"/>
      <c r="Q217" s="699"/>
    </row>
    <row r="218" spans="1:17" s="706" customFormat="1" ht="18.75" customHeight="1">
      <c r="A218" s="722"/>
      <c r="B218" s="701">
        <v>92105</v>
      </c>
      <c r="C218" s="702" t="s">
        <v>397</v>
      </c>
      <c r="D218" s="703">
        <f t="shared" si="62"/>
        <v>17991</v>
      </c>
      <c r="E218" s="703">
        <v>17991</v>
      </c>
      <c r="F218" s="703"/>
      <c r="G218" s="703"/>
      <c r="H218" s="703"/>
      <c r="I218" s="703"/>
      <c r="J218" s="703"/>
      <c r="K218" s="703"/>
      <c r="L218" s="703"/>
      <c r="M218" s="704"/>
      <c r="N218" s="704"/>
      <c r="O218" s="704"/>
      <c r="P218" s="704"/>
      <c r="Q218" s="705"/>
    </row>
    <row r="219" spans="1:17" s="706" customFormat="1" ht="18.75" customHeight="1">
      <c r="A219" s="701"/>
      <c r="B219" s="701">
        <v>92109</v>
      </c>
      <c r="C219" s="702" t="s">
        <v>1043</v>
      </c>
      <c r="D219" s="703">
        <f t="shared" si="62"/>
        <v>4542</v>
      </c>
      <c r="E219" s="703"/>
      <c r="F219" s="703"/>
      <c r="G219" s="703"/>
      <c r="H219" s="703"/>
      <c r="I219" s="703"/>
      <c r="J219" s="703"/>
      <c r="K219" s="703">
        <v>4542</v>
      </c>
      <c r="L219" s="703"/>
      <c r="M219" s="704"/>
      <c r="N219" s="704"/>
      <c r="O219" s="704"/>
      <c r="P219" s="704"/>
      <c r="Q219" s="705"/>
    </row>
    <row r="220" spans="1:17" s="700" customFormat="1" ht="18.75" customHeight="1" thickBot="1">
      <c r="A220" s="707">
        <v>926</v>
      </c>
      <c r="B220" s="707"/>
      <c r="C220" s="708" t="s">
        <v>1045</v>
      </c>
      <c r="D220" s="709">
        <f t="shared" si="62"/>
        <v>6189021</v>
      </c>
      <c r="E220" s="709"/>
      <c r="F220" s="709"/>
      <c r="G220" s="709"/>
      <c r="H220" s="709"/>
      <c r="I220" s="709"/>
      <c r="J220" s="709"/>
      <c r="K220" s="709">
        <f>SUM(K221:K222)</f>
        <v>6139021</v>
      </c>
      <c r="L220" s="709"/>
      <c r="M220" s="710">
        <f>M222</f>
        <v>50000</v>
      </c>
      <c r="N220" s="710"/>
      <c r="O220" s="710"/>
      <c r="P220" s="710"/>
      <c r="Q220" s="699"/>
    </row>
    <row r="221" spans="1:17" s="706" customFormat="1" ht="18.75" customHeight="1">
      <c r="A221" s="723"/>
      <c r="B221" s="723">
        <v>92604</v>
      </c>
      <c r="C221" s="1015" t="s">
        <v>1047</v>
      </c>
      <c r="D221" s="1016">
        <f t="shared" si="62"/>
        <v>6089021</v>
      </c>
      <c r="E221" s="1016"/>
      <c r="F221" s="1016"/>
      <c r="G221" s="1016"/>
      <c r="H221" s="1016"/>
      <c r="I221" s="1016"/>
      <c r="J221" s="1016"/>
      <c r="K221" s="1016">
        <v>6089021</v>
      </c>
      <c r="L221" s="1016"/>
      <c r="M221" s="1017"/>
      <c r="N221" s="1017"/>
      <c r="O221" s="1017"/>
      <c r="P221" s="1017"/>
      <c r="Q221" s="705"/>
    </row>
    <row r="222" spans="1:17" s="706" customFormat="1" ht="18.75" customHeight="1">
      <c r="A222" s="722"/>
      <c r="B222" s="1018">
        <v>92695</v>
      </c>
      <c r="C222" s="1019" t="s">
        <v>100</v>
      </c>
      <c r="D222" s="1020">
        <f>SUM(E222:P222)</f>
        <v>100000</v>
      </c>
      <c r="E222" s="1020"/>
      <c r="F222" s="1020"/>
      <c r="G222" s="1020"/>
      <c r="H222" s="1020"/>
      <c r="I222" s="1020"/>
      <c r="J222" s="1020"/>
      <c r="K222" s="1020">
        <v>50000</v>
      </c>
      <c r="L222" s="1020"/>
      <c r="M222" s="1021">
        <v>50000</v>
      </c>
      <c r="N222" s="1021"/>
      <c r="O222" s="1021"/>
      <c r="P222" s="1021"/>
      <c r="Q222" s="705"/>
    </row>
    <row r="223" spans="1:16" s="648" customFormat="1" ht="46.5" customHeight="1" thickBot="1">
      <c r="A223" s="644"/>
      <c r="B223" s="686"/>
      <c r="C223" s="677" t="s">
        <v>476</v>
      </c>
      <c r="D223" s="678">
        <f aca="true" t="shared" si="64" ref="D223:D266">SUM(E223:P223)</f>
        <v>847216</v>
      </c>
      <c r="E223" s="678"/>
      <c r="F223" s="678"/>
      <c r="G223" s="678"/>
      <c r="H223" s="678"/>
      <c r="I223" s="678"/>
      <c r="J223" s="678">
        <f aca="true" t="shared" si="65" ref="J223:P223">J224+J228+J226</f>
        <v>132379</v>
      </c>
      <c r="K223" s="678">
        <f t="shared" si="65"/>
        <v>2660</v>
      </c>
      <c r="L223" s="678">
        <f t="shared" si="65"/>
        <v>2660</v>
      </c>
      <c r="M223" s="678">
        <f t="shared" si="65"/>
        <v>688997</v>
      </c>
      <c r="N223" s="678">
        <f t="shared" si="65"/>
        <v>15160</v>
      </c>
      <c r="O223" s="678">
        <f t="shared" si="65"/>
        <v>2660</v>
      </c>
      <c r="P223" s="678">
        <f t="shared" si="65"/>
        <v>2700</v>
      </c>
    </row>
    <row r="224" spans="1:16" s="648" customFormat="1" ht="18.75" customHeight="1" thickBot="1" thickTop="1">
      <c r="A224" s="665">
        <v>150</v>
      </c>
      <c r="B224" s="715"/>
      <c r="C224" s="650" t="s">
        <v>905</v>
      </c>
      <c r="D224" s="658">
        <f t="shared" si="64"/>
        <v>806216</v>
      </c>
      <c r="E224" s="658"/>
      <c r="F224" s="658"/>
      <c r="G224" s="658"/>
      <c r="H224" s="658"/>
      <c r="I224" s="658"/>
      <c r="J224" s="658">
        <f>J225</f>
        <v>119879</v>
      </c>
      <c r="K224" s="658"/>
      <c r="L224" s="658"/>
      <c r="M224" s="724">
        <f>M225</f>
        <v>686337</v>
      </c>
      <c r="N224" s="724"/>
      <c r="O224" s="724"/>
      <c r="P224" s="724"/>
    </row>
    <row r="225" spans="1:16" s="648" customFormat="1" ht="18.75" customHeight="1">
      <c r="A225" s="655"/>
      <c r="B225" s="652">
        <v>15011</v>
      </c>
      <c r="C225" s="653" t="s">
        <v>416</v>
      </c>
      <c r="D225" s="662">
        <f t="shared" si="64"/>
        <v>806216</v>
      </c>
      <c r="E225" s="662"/>
      <c r="F225" s="662"/>
      <c r="G225" s="662"/>
      <c r="H225" s="662"/>
      <c r="I225" s="662"/>
      <c r="J225" s="662">
        <v>119879</v>
      </c>
      <c r="K225" s="662"/>
      <c r="L225" s="662"/>
      <c r="M225" s="662">
        <v>686337</v>
      </c>
      <c r="N225" s="662"/>
      <c r="O225" s="662"/>
      <c r="P225" s="662"/>
    </row>
    <row r="226" spans="1:16" s="648" customFormat="1" ht="18.75" customHeight="1" thickBot="1">
      <c r="A226" s="665">
        <v>710</v>
      </c>
      <c r="B226" s="715"/>
      <c r="C226" s="675" t="s">
        <v>436</v>
      </c>
      <c r="D226" s="676">
        <f t="shared" si="64"/>
        <v>25000</v>
      </c>
      <c r="E226" s="676"/>
      <c r="F226" s="676"/>
      <c r="G226" s="676"/>
      <c r="H226" s="676"/>
      <c r="I226" s="676"/>
      <c r="J226" s="676">
        <f>J227</f>
        <v>12500</v>
      </c>
      <c r="K226" s="676"/>
      <c r="L226" s="676"/>
      <c r="M226" s="676"/>
      <c r="N226" s="676">
        <f>N227</f>
        <v>12500</v>
      </c>
      <c r="O226" s="676"/>
      <c r="P226" s="676"/>
    </row>
    <row r="227" spans="1:16" s="648" customFormat="1" ht="18.75" customHeight="1">
      <c r="A227" s="655"/>
      <c r="B227" s="652">
        <v>71035</v>
      </c>
      <c r="C227" s="653" t="s">
        <v>191</v>
      </c>
      <c r="D227" s="662">
        <f t="shared" si="64"/>
        <v>25000</v>
      </c>
      <c r="E227" s="662"/>
      <c r="F227" s="662"/>
      <c r="G227" s="662"/>
      <c r="H227" s="662"/>
      <c r="I227" s="662"/>
      <c r="J227" s="662">
        <v>12500</v>
      </c>
      <c r="K227" s="662"/>
      <c r="L227" s="662"/>
      <c r="M227" s="662"/>
      <c r="N227" s="662">
        <v>12500</v>
      </c>
      <c r="O227" s="662"/>
      <c r="P227" s="662"/>
    </row>
    <row r="228" spans="1:16" s="648" customFormat="1" ht="18.75" customHeight="1" thickBot="1">
      <c r="A228" s="665">
        <v>801</v>
      </c>
      <c r="B228" s="715"/>
      <c r="C228" s="675" t="s">
        <v>448</v>
      </c>
      <c r="D228" s="676">
        <f t="shared" si="64"/>
        <v>16000</v>
      </c>
      <c r="E228" s="676"/>
      <c r="F228" s="676"/>
      <c r="G228" s="676"/>
      <c r="H228" s="676"/>
      <c r="I228" s="676"/>
      <c r="J228" s="676"/>
      <c r="K228" s="676">
        <f aca="true" t="shared" si="66" ref="K228:P228">K229</f>
        <v>2660</v>
      </c>
      <c r="L228" s="676">
        <f t="shared" si="66"/>
        <v>2660</v>
      </c>
      <c r="M228" s="676">
        <f t="shared" si="66"/>
        <v>2660</v>
      </c>
      <c r="N228" s="676">
        <f t="shared" si="66"/>
        <v>2660</v>
      </c>
      <c r="O228" s="676">
        <f t="shared" si="66"/>
        <v>2660</v>
      </c>
      <c r="P228" s="676">
        <f t="shared" si="66"/>
        <v>2700</v>
      </c>
    </row>
    <row r="229" spans="1:16" s="648" customFormat="1" ht="18.75" customHeight="1">
      <c r="A229" s="655"/>
      <c r="B229" s="652">
        <v>80195</v>
      </c>
      <c r="C229" s="653" t="s">
        <v>100</v>
      </c>
      <c r="D229" s="662">
        <f t="shared" si="64"/>
        <v>16000</v>
      </c>
      <c r="E229" s="662"/>
      <c r="F229" s="662"/>
      <c r="G229" s="662"/>
      <c r="H229" s="662"/>
      <c r="I229" s="662"/>
      <c r="J229" s="662"/>
      <c r="K229" s="662">
        <v>2660</v>
      </c>
      <c r="L229" s="662">
        <v>2660</v>
      </c>
      <c r="M229" s="662">
        <v>2660</v>
      </c>
      <c r="N229" s="662">
        <v>2660</v>
      </c>
      <c r="O229" s="662">
        <v>2660</v>
      </c>
      <c r="P229" s="662">
        <v>2700</v>
      </c>
    </row>
    <row r="230" spans="1:16" s="648" customFormat="1" ht="45.75" customHeight="1" thickBot="1">
      <c r="A230" s="644"/>
      <c r="B230" s="644"/>
      <c r="C230" s="645" t="s">
        <v>964</v>
      </c>
      <c r="D230" s="725">
        <f t="shared" si="64"/>
        <v>87767485</v>
      </c>
      <c r="E230" s="725">
        <f aca="true" t="shared" si="67" ref="E230:P230">E233+E235+E237+E241+E243+E231+E239+E250+E252</f>
        <v>8251314</v>
      </c>
      <c r="F230" s="725">
        <f t="shared" si="67"/>
        <v>7611601</v>
      </c>
      <c r="G230" s="725">
        <f t="shared" si="67"/>
        <v>6089380</v>
      </c>
      <c r="H230" s="725">
        <f t="shared" si="67"/>
        <v>3468038</v>
      </c>
      <c r="I230" s="725">
        <f t="shared" si="67"/>
        <v>6128144</v>
      </c>
      <c r="J230" s="725">
        <f t="shared" si="67"/>
        <v>6916543</v>
      </c>
      <c r="K230" s="725">
        <f t="shared" si="67"/>
        <v>8146085</v>
      </c>
      <c r="L230" s="725">
        <f t="shared" si="67"/>
        <v>8155709</v>
      </c>
      <c r="M230" s="725">
        <f t="shared" si="67"/>
        <v>8306052</v>
      </c>
      <c r="N230" s="725">
        <f t="shared" si="67"/>
        <v>8208552</v>
      </c>
      <c r="O230" s="725">
        <f t="shared" si="67"/>
        <v>8209052</v>
      </c>
      <c r="P230" s="725">
        <f t="shared" si="67"/>
        <v>8277015</v>
      </c>
    </row>
    <row r="231" spans="1:16" s="80" customFormat="1" ht="21" customHeight="1" thickBot="1" thickTop="1">
      <c r="A231" s="1010" t="s">
        <v>1022</v>
      </c>
      <c r="B231" s="726"/>
      <c r="C231" s="688" t="s">
        <v>1023</v>
      </c>
      <c r="D231" s="689">
        <f t="shared" si="64"/>
        <v>4548</v>
      </c>
      <c r="E231" s="630"/>
      <c r="F231" s="630"/>
      <c r="G231" s="630"/>
      <c r="H231" s="630"/>
      <c r="I231" s="630">
        <f>I232</f>
        <v>4548</v>
      </c>
      <c r="J231" s="630"/>
      <c r="K231" s="630"/>
      <c r="L231" s="630"/>
      <c r="M231" s="630"/>
      <c r="N231" s="630"/>
      <c r="O231" s="630"/>
      <c r="P231" s="630"/>
    </row>
    <row r="232" spans="1:16" ht="21" customHeight="1">
      <c r="A232" s="672"/>
      <c r="B232" s="761" t="s">
        <v>743</v>
      </c>
      <c r="C232" s="673" t="s">
        <v>100</v>
      </c>
      <c r="D232" s="727">
        <f t="shared" si="64"/>
        <v>4548</v>
      </c>
      <c r="E232" s="727"/>
      <c r="F232" s="727"/>
      <c r="G232" s="727"/>
      <c r="H232" s="727"/>
      <c r="I232" s="727">
        <v>4548</v>
      </c>
      <c r="J232" s="727"/>
      <c r="K232" s="727"/>
      <c r="L232" s="727"/>
      <c r="M232" s="727"/>
      <c r="N232" s="727"/>
      <c r="O232" s="727"/>
      <c r="P232" s="727"/>
    </row>
    <row r="233" spans="1:16" s="80" customFormat="1" ht="21" customHeight="1" thickBot="1">
      <c r="A233" s="726">
        <v>750</v>
      </c>
      <c r="B233" s="726"/>
      <c r="C233" s="688" t="s">
        <v>439</v>
      </c>
      <c r="D233" s="689">
        <f t="shared" si="64"/>
        <v>1568923</v>
      </c>
      <c r="E233" s="689">
        <f aca="true" t="shared" si="68" ref="E233:P233">E234</f>
        <v>120700</v>
      </c>
      <c r="F233" s="689">
        <f t="shared" si="68"/>
        <v>120700</v>
      </c>
      <c r="G233" s="689">
        <f t="shared" si="68"/>
        <v>120700</v>
      </c>
      <c r="H233" s="689">
        <f t="shared" si="68"/>
        <v>120700</v>
      </c>
      <c r="I233" s="689">
        <f t="shared" si="68"/>
        <v>120700</v>
      </c>
      <c r="J233" s="689">
        <f t="shared" si="68"/>
        <v>119700</v>
      </c>
      <c r="K233" s="689">
        <f t="shared" si="68"/>
        <v>140000</v>
      </c>
      <c r="L233" s="689">
        <f t="shared" si="68"/>
        <v>140000</v>
      </c>
      <c r="M233" s="630">
        <f t="shared" si="68"/>
        <v>140000</v>
      </c>
      <c r="N233" s="630">
        <f t="shared" si="68"/>
        <v>140000</v>
      </c>
      <c r="O233" s="630">
        <f t="shared" si="68"/>
        <v>140000</v>
      </c>
      <c r="P233" s="630">
        <f t="shared" si="68"/>
        <v>145723</v>
      </c>
    </row>
    <row r="234" spans="1:16" ht="21" customHeight="1">
      <c r="A234" s="672"/>
      <c r="B234" s="672">
        <v>75011</v>
      </c>
      <c r="C234" s="673" t="s">
        <v>1049</v>
      </c>
      <c r="D234" s="727">
        <f t="shared" si="64"/>
        <v>1568923</v>
      </c>
      <c r="E234" s="727">
        <v>120700</v>
      </c>
      <c r="F234" s="727">
        <v>120700</v>
      </c>
      <c r="G234" s="727">
        <v>120700</v>
      </c>
      <c r="H234" s="727">
        <v>120700</v>
      </c>
      <c r="I234" s="727">
        <v>120700</v>
      </c>
      <c r="J234" s="727">
        <v>119700</v>
      </c>
      <c r="K234" s="727">
        <v>140000</v>
      </c>
      <c r="L234" s="727">
        <v>140000</v>
      </c>
      <c r="M234" s="727">
        <v>140000</v>
      </c>
      <c r="N234" s="727">
        <v>140000</v>
      </c>
      <c r="O234" s="727">
        <v>140000</v>
      </c>
      <c r="P234" s="727">
        <v>145723</v>
      </c>
    </row>
    <row r="235" spans="1:16" s="80" customFormat="1" ht="48.75" customHeight="1" thickBot="1">
      <c r="A235" s="665">
        <v>751</v>
      </c>
      <c r="B235" s="665"/>
      <c r="C235" s="675" t="s">
        <v>387</v>
      </c>
      <c r="D235" s="683">
        <f t="shared" si="64"/>
        <v>28672</v>
      </c>
      <c r="E235" s="683">
        <f aca="true" t="shared" si="69" ref="E235:P235">E236</f>
        <v>2306</v>
      </c>
      <c r="F235" s="683">
        <f t="shared" si="69"/>
        <v>2306</v>
      </c>
      <c r="G235" s="683">
        <f t="shared" si="69"/>
        <v>2306</v>
      </c>
      <c r="H235" s="683">
        <f t="shared" si="69"/>
        <v>2306</v>
      </c>
      <c r="I235" s="683">
        <f t="shared" si="69"/>
        <v>2306</v>
      </c>
      <c r="J235" s="683">
        <f t="shared" si="69"/>
        <v>2306</v>
      </c>
      <c r="K235" s="683">
        <f t="shared" si="69"/>
        <v>2470</v>
      </c>
      <c r="L235" s="683">
        <f t="shared" si="69"/>
        <v>2470</v>
      </c>
      <c r="M235" s="683">
        <f t="shared" si="69"/>
        <v>2470</v>
      </c>
      <c r="N235" s="683">
        <f t="shared" si="69"/>
        <v>2470</v>
      </c>
      <c r="O235" s="683">
        <f t="shared" si="69"/>
        <v>2470</v>
      </c>
      <c r="P235" s="683">
        <f t="shared" si="69"/>
        <v>2486</v>
      </c>
    </row>
    <row r="236" spans="1:16" ht="31.5" customHeight="1">
      <c r="A236" s="652"/>
      <c r="B236" s="652">
        <v>75101</v>
      </c>
      <c r="C236" s="653" t="s">
        <v>966</v>
      </c>
      <c r="D236" s="654">
        <f t="shared" si="64"/>
        <v>28672</v>
      </c>
      <c r="E236" s="654">
        <v>2306</v>
      </c>
      <c r="F236" s="654">
        <v>2306</v>
      </c>
      <c r="G236" s="654">
        <v>2306</v>
      </c>
      <c r="H236" s="654">
        <v>2306</v>
      </c>
      <c r="I236" s="654">
        <v>2306</v>
      </c>
      <c r="J236" s="654">
        <v>2306</v>
      </c>
      <c r="K236" s="654">
        <v>2470</v>
      </c>
      <c r="L236" s="654">
        <v>2470</v>
      </c>
      <c r="M236" s="654">
        <v>2470</v>
      </c>
      <c r="N236" s="654">
        <v>2470</v>
      </c>
      <c r="O236" s="654">
        <v>2470</v>
      </c>
      <c r="P236" s="654">
        <v>2486</v>
      </c>
    </row>
    <row r="237" spans="1:16" s="80" customFormat="1" ht="33.75" customHeight="1" thickBot="1">
      <c r="A237" s="669">
        <v>754</v>
      </c>
      <c r="B237" s="669"/>
      <c r="C237" s="728" t="s">
        <v>441</v>
      </c>
      <c r="D237" s="729">
        <f t="shared" si="64"/>
        <v>1700</v>
      </c>
      <c r="E237" s="729"/>
      <c r="F237" s="729"/>
      <c r="G237" s="729">
        <f>G238</f>
        <v>1700</v>
      </c>
      <c r="H237" s="729"/>
      <c r="I237" s="729"/>
      <c r="J237" s="729"/>
      <c r="K237" s="729"/>
      <c r="L237" s="729"/>
      <c r="M237" s="729"/>
      <c r="N237" s="729"/>
      <c r="O237" s="729"/>
      <c r="P237" s="729"/>
    </row>
    <row r="238" spans="1:16" ht="21" customHeight="1">
      <c r="A238" s="672"/>
      <c r="B238" s="672">
        <v>75414</v>
      </c>
      <c r="C238" s="730" t="s">
        <v>545</v>
      </c>
      <c r="D238" s="727">
        <f t="shared" si="64"/>
        <v>1700</v>
      </c>
      <c r="E238" s="727"/>
      <c r="F238" s="727"/>
      <c r="G238" s="727">
        <v>1700</v>
      </c>
      <c r="H238" s="727"/>
      <c r="I238" s="727"/>
      <c r="J238" s="727"/>
      <c r="K238" s="727"/>
      <c r="L238" s="727"/>
      <c r="M238" s="727"/>
      <c r="N238" s="727"/>
      <c r="O238" s="727"/>
      <c r="P238" s="727"/>
    </row>
    <row r="239" spans="1:16" s="80" customFormat="1" ht="21" customHeight="1" thickBot="1">
      <c r="A239" s="649">
        <v>801</v>
      </c>
      <c r="B239" s="649"/>
      <c r="C239" s="650" t="s">
        <v>448</v>
      </c>
      <c r="D239" s="658">
        <f t="shared" si="64"/>
        <v>6048</v>
      </c>
      <c r="E239" s="658"/>
      <c r="F239" s="658"/>
      <c r="G239" s="658"/>
      <c r="H239" s="658"/>
      <c r="I239" s="658"/>
      <c r="J239" s="658"/>
      <c r="K239" s="658">
        <f>K240</f>
        <v>6048</v>
      </c>
      <c r="L239" s="658"/>
      <c r="M239" s="651"/>
      <c r="N239" s="651"/>
      <c r="O239" s="651"/>
      <c r="P239" s="651"/>
    </row>
    <row r="240" spans="1:16" ht="21" customHeight="1">
      <c r="A240" s="652"/>
      <c r="B240" s="652">
        <v>80195</v>
      </c>
      <c r="C240" s="653" t="s">
        <v>100</v>
      </c>
      <c r="D240" s="654">
        <f t="shared" si="64"/>
        <v>6048</v>
      </c>
      <c r="E240" s="654"/>
      <c r="F240" s="654"/>
      <c r="G240" s="654"/>
      <c r="H240" s="654"/>
      <c r="I240" s="654"/>
      <c r="J240" s="654"/>
      <c r="K240" s="654">
        <v>6048</v>
      </c>
      <c r="L240" s="654"/>
      <c r="M240" s="654"/>
      <c r="N240" s="654"/>
      <c r="O240" s="654"/>
      <c r="P240" s="654"/>
    </row>
    <row r="241" spans="1:16" s="80" customFormat="1" ht="21" customHeight="1" thickBot="1">
      <c r="A241" s="649">
        <v>851</v>
      </c>
      <c r="B241" s="649"/>
      <c r="C241" s="650" t="s">
        <v>106</v>
      </c>
      <c r="D241" s="658">
        <f t="shared" si="64"/>
        <v>8000</v>
      </c>
      <c r="E241" s="658"/>
      <c r="F241" s="658"/>
      <c r="G241" s="658"/>
      <c r="H241" s="658"/>
      <c r="I241" s="658"/>
      <c r="J241" s="658"/>
      <c r="K241" s="658">
        <f>K242</f>
        <v>2500</v>
      </c>
      <c r="L241" s="658"/>
      <c r="M241" s="651"/>
      <c r="N241" s="651">
        <f>N242</f>
        <v>2500</v>
      </c>
      <c r="O241" s="651">
        <f>O242</f>
        <v>3000</v>
      </c>
      <c r="P241" s="651"/>
    </row>
    <row r="242" spans="1:16" ht="21" customHeight="1">
      <c r="A242" s="652"/>
      <c r="B242" s="652">
        <v>85195</v>
      </c>
      <c r="C242" s="653" t="s">
        <v>100</v>
      </c>
      <c r="D242" s="654">
        <f t="shared" si="64"/>
        <v>8000</v>
      </c>
      <c r="E242" s="654"/>
      <c r="F242" s="654"/>
      <c r="G242" s="654"/>
      <c r="H242" s="654"/>
      <c r="I242" s="654"/>
      <c r="J242" s="654"/>
      <c r="K242" s="654">
        <v>2500</v>
      </c>
      <c r="L242" s="654"/>
      <c r="M242" s="654"/>
      <c r="N242" s="654">
        <v>2500</v>
      </c>
      <c r="O242" s="654">
        <v>3000</v>
      </c>
      <c r="P242" s="654"/>
    </row>
    <row r="243" spans="1:16" s="80" customFormat="1" ht="21" customHeight="1" thickBot="1">
      <c r="A243" s="665">
        <v>852</v>
      </c>
      <c r="B243" s="665"/>
      <c r="C243" s="675" t="s">
        <v>129</v>
      </c>
      <c r="D243" s="667">
        <f t="shared" si="64"/>
        <v>86058152</v>
      </c>
      <c r="E243" s="667">
        <f aca="true" t="shared" si="70" ref="E243:P243">E244+E245+E246+E247+E248+E249</f>
        <v>8128308</v>
      </c>
      <c r="F243" s="667">
        <f t="shared" si="70"/>
        <v>7488595</v>
      </c>
      <c r="G243" s="667">
        <f t="shared" si="70"/>
        <v>5964674</v>
      </c>
      <c r="H243" s="667">
        <f t="shared" si="70"/>
        <v>3345032</v>
      </c>
      <c r="I243" s="667">
        <f t="shared" si="70"/>
        <v>5995590</v>
      </c>
      <c r="J243" s="667">
        <f t="shared" si="70"/>
        <v>6789237</v>
      </c>
      <c r="K243" s="667">
        <f t="shared" si="70"/>
        <v>7963582</v>
      </c>
      <c r="L243" s="667">
        <f t="shared" si="70"/>
        <v>7963582</v>
      </c>
      <c r="M243" s="667">
        <f t="shared" si="70"/>
        <v>8163582</v>
      </c>
      <c r="N243" s="667">
        <f t="shared" si="70"/>
        <v>8063582</v>
      </c>
      <c r="O243" s="667">
        <f t="shared" si="70"/>
        <v>8063582</v>
      </c>
      <c r="P243" s="667">
        <f t="shared" si="70"/>
        <v>8128806</v>
      </c>
    </row>
    <row r="244" spans="1:16" ht="23.25" customHeight="1">
      <c r="A244" s="639"/>
      <c r="B244" s="639">
        <v>85203</v>
      </c>
      <c r="C244" s="684" t="s">
        <v>126</v>
      </c>
      <c r="D244" s="654">
        <f t="shared" si="64"/>
        <v>271000</v>
      </c>
      <c r="E244" s="654">
        <v>20600</v>
      </c>
      <c r="F244" s="654">
        <v>41188</v>
      </c>
      <c r="G244" s="654">
        <v>20600</v>
      </c>
      <c r="H244" s="654">
        <v>20600</v>
      </c>
      <c r="I244" s="654"/>
      <c r="J244" s="654">
        <v>24002</v>
      </c>
      <c r="K244" s="654">
        <v>24002</v>
      </c>
      <c r="L244" s="654">
        <v>24002</v>
      </c>
      <c r="M244" s="654">
        <v>24002</v>
      </c>
      <c r="N244" s="654">
        <v>24002</v>
      </c>
      <c r="O244" s="654">
        <v>24002</v>
      </c>
      <c r="P244" s="654">
        <v>24000</v>
      </c>
    </row>
    <row r="245" spans="1:16" ht="45" customHeight="1">
      <c r="A245" s="639"/>
      <c r="B245" s="719">
        <v>85212</v>
      </c>
      <c r="C245" s="668" t="s">
        <v>976</v>
      </c>
      <c r="D245" s="654">
        <f t="shared" si="64"/>
        <v>74451000</v>
      </c>
      <c r="E245" s="654">
        <v>7168128</v>
      </c>
      <c r="F245" s="654">
        <v>6507827</v>
      </c>
      <c r="G245" s="654">
        <v>4986794</v>
      </c>
      <c r="H245" s="654">
        <v>2365000</v>
      </c>
      <c r="I245" s="654">
        <v>5056000</v>
      </c>
      <c r="J245" s="654">
        <v>5802055</v>
      </c>
      <c r="K245" s="654">
        <v>7000000</v>
      </c>
      <c r="L245" s="654">
        <v>7000000</v>
      </c>
      <c r="M245" s="654">
        <v>7200000</v>
      </c>
      <c r="N245" s="654">
        <v>7100000</v>
      </c>
      <c r="O245" s="654">
        <v>7100000</v>
      </c>
      <c r="P245" s="654">
        <v>7165196</v>
      </c>
    </row>
    <row r="246" spans="1:16" ht="60" customHeight="1">
      <c r="A246" s="639"/>
      <c r="B246" s="652">
        <v>85213</v>
      </c>
      <c r="C246" s="731" t="s">
        <v>270</v>
      </c>
      <c r="D246" s="654">
        <f t="shared" si="64"/>
        <v>729000</v>
      </c>
      <c r="E246" s="654">
        <v>60750</v>
      </c>
      <c r="F246" s="654">
        <v>60750</v>
      </c>
      <c r="G246" s="654">
        <v>60750</v>
      </c>
      <c r="H246" s="654">
        <v>60750</v>
      </c>
      <c r="I246" s="654">
        <v>60750</v>
      </c>
      <c r="J246" s="654">
        <v>60750</v>
      </c>
      <c r="K246" s="654">
        <v>60750</v>
      </c>
      <c r="L246" s="654">
        <v>60750</v>
      </c>
      <c r="M246" s="654">
        <v>60750</v>
      </c>
      <c r="N246" s="654">
        <v>60750</v>
      </c>
      <c r="O246" s="654">
        <v>60750</v>
      </c>
      <c r="P246" s="654">
        <v>60750</v>
      </c>
    </row>
    <row r="247" spans="1:16" ht="30" customHeight="1">
      <c r="A247" s="639"/>
      <c r="B247" s="652">
        <v>85214</v>
      </c>
      <c r="C247" s="653" t="s">
        <v>459</v>
      </c>
      <c r="D247" s="682">
        <f t="shared" si="64"/>
        <v>9268000</v>
      </c>
      <c r="E247" s="682">
        <v>772330</v>
      </c>
      <c r="F247" s="682">
        <v>772330</v>
      </c>
      <c r="G247" s="682">
        <v>772330</v>
      </c>
      <c r="H247" s="682">
        <v>772330</v>
      </c>
      <c r="I247" s="682">
        <v>772340</v>
      </c>
      <c r="J247" s="682">
        <v>772330</v>
      </c>
      <c r="K247" s="682">
        <v>772330</v>
      </c>
      <c r="L247" s="682">
        <v>772330</v>
      </c>
      <c r="M247" s="682">
        <v>772330</v>
      </c>
      <c r="N247" s="682">
        <v>772330</v>
      </c>
      <c r="O247" s="682">
        <v>772330</v>
      </c>
      <c r="P247" s="682">
        <v>772360</v>
      </c>
    </row>
    <row r="248" spans="1:16" ht="31.5" customHeight="1">
      <c r="A248" s="639"/>
      <c r="B248" s="652">
        <v>85228</v>
      </c>
      <c r="C248" s="653" t="s">
        <v>616</v>
      </c>
      <c r="D248" s="682">
        <f t="shared" si="64"/>
        <v>1278000</v>
      </c>
      <c r="E248" s="682">
        <v>106500</v>
      </c>
      <c r="F248" s="682">
        <v>106500</v>
      </c>
      <c r="G248" s="682">
        <v>106500</v>
      </c>
      <c r="H248" s="682">
        <v>106500</v>
      </c>
      <c r="I248" s="682">
        <v>106500</v>
      </c>
      <c r="J248" s="682">
        <v>106500</v>
      </c>
      <c r="K248" s="682">
        <v>106500</v>
      </c>
      <c r="L248" s="682">
        <v>106500</v>
      </c>
      <c r="M248" s="682">
        <v>106500</v>
      </c>
      <c r="N248" s="682">
        <v>106500</v>
      </c>
      <c r="O248" s="682">
        <v>106500</v>
      </c>
      <c r="P248" s="682">
        <v>106500</v>
      </c>
    </row>
    <row r="249" spans="1:16" ht="24.75" customHeight="1">
      <c r="A249" s="652"/>
      <c r="B249" s="719">
        <v>85278</v>
      </c>
      <c r="C249" s="668" t="s">
        <v>671</v>
      </c>
      <c r="D249" s="858">
        <f t="shared" si="64"/>
        <v>61152</v>
      </c>
      <c r="E249" s="858"/>
      <c r="F249" s="858"/>
      <c r="G249" s="858">
        <v>17700</v>
      </c>
      <c r="H249" s="858">
        <v>19852</v>
      </c>
      <c r="I249" s="858"/>
      <c r="J249" s="858">
        <v>23600</v>
      </c>
      <c r="K249" s="858"/>
      <c r="L249" s="858"/>
      <c r="M249" s="858"/>
      <c r="N249" s="858"/>
      <c r="O249" s="858"/>
      <c r="P249" s="858"/>
    </row>
    <row r="250" spans="1:16" s="80" customFormat="1" ht="21" customHeight="1" thickBot="1">
      <c r="A250" s="665">
        <v>854</v>
      </c>
      <c r="B250" s="665"/>
      <c r="C250" s="675" t="s">
        <v>618</v>
      </c>
      <c r="D250" s="676">
        <f t="shared" si="64"/>
        <v>57442</v>
      </c>
      <c r="E250" s="676"/>
      <c r="F250" s="676"/>
      <c r="G250" s="676"/>
      <c r="H250" s="676"/>
      <c r="I250" s="676"/>
      <c r="J250" s="676"/>
      <c r="K250" s="676">
        <f>K251</f>
        <v>18785</v>
      </c>
      <c r="L250" s="676">
        <f>L251</f>
        <v>38657</v>
      </c>
      <c r="M250" s="683"/>
      <c r="N250" s="683"/>
      <c r="O250" s="683"/>
      <c r="P250" s="683"/>
    </row>
    <row r="251" spans="1:16" ht="45">
      <c r="A251" s="652"/>
      <c r="B251" s="652">
        <v>85412</v>
      </c>
      <c r="C251" s="653" t="s">
        <v>929</v>
      </c>
      <c r="D251" s="654">
        <f t="shared" si="64"/>
        <v>57442</v>
      </c>
      <c r="E251" s="654"/>
      <c r="F251" s="654"/>
      <c r="G251" s="654"/>
      <c r="H251" s="654"/>
      <c r="I251" s="654"/>
      <c r="J251" s="654"/>
      <c r="K251" s="654">
        <v>18785</v>
      </c>
      <c r="L251" s="654">
        <v>38657</v>
      </c>
      <c r="M251" s="654"/>
      <c r="N251" s="654"/>
      <c r="O251" s="654"/>
      <c r="P251" s="654"/>
    </row>
    <row r="252" spans="1:16" s="80" customFormat="1" ht="21.75" customHeight="1" thickBot="1">
      <c r="A252" s="665">
        <v>921</v>
      </c>
      <c r="B252" s="649"/>
      <c r="C252" s="650" t="s">
        <v>401</v>
      </c>
      <c r="D252" s="658">
        <f t="shared" si="64"/>
        <v>34000</v>
      </c>
      <c r="E252" s="658"/>
      <c r="F252" s="658"/>
      <c r="G252" s="658"/>
      <c r="H252" s="658"/>
      <c r="I252" s="658">
        <f>I253</f>
        <v>5000</v>
      </c>
      <c r="J252" s="658">
        <f>J253</f>
        <v>5300</v>
      </c>
      <c r="K252" s="658">
        <f>K253</f>
        <v>12700</v>
      </c>
      <c r="L252" s="658">
        <f>L253</f>
        <v>11000</v>
      </c>
      <c r="M252" s="651"/>
      <c r="N252" s="651"/>
      <c r="O252" s="651"/>
      <c r="P252" s="651"/>
    </row>
    <row r="253" spans="1:16" ht="21" customHeight="1">
      <c r="A253" s="740"/>
      <c r="B253" s="652">
        <v>92109</v>
      </c>
      <c r="C253" s="653" t="s">
        <v>1043</v>
      </c>
      <c r="D253" s="654">
        <f t="shared" si="64"/>
        <v>34000</v>
      </c>
      <c r="E253" s="654"/>
      <c r="F253" s="654"/>
      <c r="G253" s="654"/>
      <c r="H253" s="654"/>
      <c r="I253" s="654">
        <v>5000</v>
      </c>
      <c r="J253" s="654">
        <v>5300</v>
      </c>
      <c r="K253" s="654">
        <v>12700</v>
      </c>
      <c r="L253" s="654">
        <v>11000</v>
      </c>
      <c r="M253" s="654"/>
      <c r="N253" s="654"/>
      <c r="O253" s="654"/>
      <c r="P253" s="654"/>
    </row>
    <row r="254" spans="1:16" ht="22.5" customHeight="1">
      <c r="A254" s="639"/>
      <c r="B254" s="639"/>
      <c r="C254" s="732" t="s">
        <v>242</v>
      </c>
      <c r="D254" s="657">
        <f t="shared" si="64"/>
        <v>268427771</v>
      </c>
      <c r="E254" s="657">
        <f aca="true" t="shared" si="71" ref="E254:P254">E255+E264+E269+E290+E300</f>
        <v>19315721</v>
      </c>
      <c r="F254" s="657">
        <f t="shared" si="71"/>
        <v>29975241</v>
      </c>
      <c r="G254" s="657">
        <f t="shared" si="71"/>
        <v>20139821</v>
      </c>
      <c r="H254" s="657">
        <f t="shared" si="71"/>
        <v>24575567</v>
      </c>
      <c r="I254" s="657">
        <f t="shared" si="71"/>
        <v>18800202</v>
      </c>
      <c r="J254" s="657">
        <f t="shared" si="71"/>
        <v>24113377</v>
      </c>
      <c r="K254" s="657">
        <f t="shared" si="71"/>
        <v>21559088</v>
      </c>
      <c r="L254" s="657">
        <f t="shared" si="71"/>
        <v>21052355</v>
      </c>
      <c r="M254" s="733">
        <f t="shared" si="71"/>
        <v>21381164</v>
      </c>
      <c r="N254" s="733">
        <f t="shared" si="71"/>
        <v>23390446</v>
      </c>
      <c r="O254" s="733">
        <f t="shared" si="71"/>
        <v>22064323</v>
      </c>
      <c r="P254" s="733">
        <f t="shared" si="71"/>
        <v>22060466</v>
      </c>
    </row>
    <row r="255" spans="1:16" s="648" customFormat="1" ht="18" customHeight="1" thickBot="1">
      <c r="A255" s="644"/>
      <c r="B255" s="644"/>
      <c r="C255" s="645" t="s">
        <v>967</v>
      </c>
      <c r="D255" s="647">
        <f t="shared" si="64"/>
        <v>65468928</v>
      </c>
      <c r="E255" s="647">
        <f aca="true" t="shared" si="72" ref="E255:P255">E256+E258+E260+E262</f>
        <v>4663383</v>
      </c>
      <c r="F255" s="647">
        <f t="shared" si="72"/>
        <v>4325683</v>
      </c>
      <c r="G255" s="647">
        <f t="shared" si="72"/>
        <v>6182606</v>
      </c>
      <c r="H255" s="647">
        <f t="shared" si="72"/>
        <v>9484992</v>
      </c>
      <c r="I255" s="647">
        <f t="shared" si="72"/>
        <v>4504892</v>
      </c>
      <c r="J255" s="647">
        <f t="shared" si="72"/>
        <v>4801094</v>
      </c>
      <c r="K255" s="647">
        <f t="shared" si="72"/>
        <v>4881094</v>
      </c>
      <c r="L255" s="647">
        <f t="shared" si="72"/>
        <v>4781094</v>
      </c>
      <c r="M255" s="647">
        <f t="shared" si="72"/>
        <v>4981094</v>
      </c>
      <c r="N255" s="647">
        <f t="shared" si="72"/>
        <v>5201093</v>
      </c>
      <c r="O255" s="647">
        <f t="shared" si="72"/>
        <v>5605094</v>
      </c>
      <c r="P255" s="647">
        <f t="shared" si="72"/>
        <v>6056809</v>
      </c>
    </row>
    <row r="256" spans="1:16" s="80" customFormat="1" ht="21" customHeight="1" thickBot="1" thickTop="1">
      <c r="A256" s="688">
        <v>700</v>
      </c>
      <c r="B256" s="688"/>
      <c r="C256" s="734" t="s">
        <v>271</v>
      </c>
      <c r="D256" s="735">
        <f t="shared" si="64"/>
        <v>2100000</v>
      </c>
      <c r="E256" s="735">
        <f aca="true" t="shared" si="73" ref="E256:P256">E257</f>
        <v>35000</v>
      </c>
      <c r="F256" s="735">
        <f t="shared" si="73"/>
        <v>11000</v>
      </c>
      <c r="G256" s="735">
        <f t="shared" si="73"/>
        <v>1600000</v>
      </c>
      <c r="H256" s="735">
        <f t="shared" si="73"/>
        <v>10000</v>
      </c>
      <c r="I256" s="735">
        <f t="shared" si="73"/>
        <v>50000</v>
      </c>
      <c r="J256" s="735">
        <f t="shared" si="73"/>
        <v>150000</v>
      </c>
      <c r="K256" s="735">
        <f t="shared" si="73"/>
        <v>30000</v>
      </c>
      <c r="L256" s="735">
        <f t="shared" si="73"/>
        <v>30000</v>
      </c>
      <c r="M256" s="735">
        <f t="shared" si="73"/>
        <v>30000</v>
      </c>
      <c r="N256" s="735">
        <f t="shared" si="73"/>
        <v>50000</v>
      </c>
      <c r="O256" s="735">
        <f t="shared" si="73"/>
        <v>54000</v>
      </c>
      <c r="P256" s="735">
        <f t="shared" si="73"/>
        <v>50000</v>
      </c>
    </row>
    <row r="257" spans="1:16" ht="21" customHeight="1">
      <c r="A257" s="672"/>
      <c r="B257" s="672">
        <v>70005</v>
      </c>
      <c r="C257" s="673" t="s">
        <v>435</v>
      </c>
      <c r="D257" s="674">
        <f t="shared" si="64"/>
        <v>2100000</v>
      </c>
      <c r="E257" s="674">
        <v>35000</v>
      </c>
      <c r="F257" s="674">
        <v>11000</v>
      </c>
      <c r="G257" s="674">
        <v>1600000</v>
      </c>
      <c r="H257" s="674">
        <v>10000</v>
      </c>
      <c r="I257" s="674">
        <v>50000</v>
      </c>
      <c r="J257" s="674">
        <v>150000</v>
      </c>
      <c r="K257" s="674">
        <v>30000</v>
      </c>
      <c r="L257" s="674">
        <v>30000</v>
      </c>
      <c r="M257" s="727">
        <v>30000</v>
      </c>
      <c r="N257" s="727">
        <v>50000</v>
      </c>
      <c r="O257" s="727">
        <v>54000</v>
      </c>
      <c r="P257" s="727">
        <v>50000</v>
      </c>
    </row>
    <row r="258" spans="1:16" s="80" customFormat="1" ht="36" customHeight="1" thickBot="1">
      <c r="A258" s="675">
        <v>754</v>
      </c>
      <c r="B258" s="675"/>
      <c r="C258" s="666" t="s">
        <v>441</v>
      </c>
      <c r="D258" s="667">
        <f t="shared" si="64"/>
        <v>5000</v>
      </c>
      <c r="E258" s="667">
        <f aca="true" t="shared" si="74" ref="E258:P258">E259</f>
        <v>410</v>
      </c>
      <c r="F258" s="667">
        <f t="shared" si="74"/>
        <v>410</v>
      </c>
      <c r="G258" s="667">
        <f t="shared" si="74"/>
        <v>410</v>
      </c>
      <c r="H258" s="667">
        <f t="shared" si="74"/>
        <v>410</v>
      </c>
      <c r="I258" s="667">
        <f t="shared" si="74"/>
        <v>410</v>
      </c>
      <c r="J258" s="667">
        <f t="shared" si="74"/>
        <v>410</v>
      </c>
      <c r="K258" s="667">
        <f t="shared" si="74"/>
        <v>410</v>
      </c>
      <c r="L258" s="667">
        <f t="shared" si="74"/>
        <v>410</v>
      </c>
      <c r="M258" s="667">
        <f t="shared" si="74"/>
        <v>410</v>
      </c>
      <c r="N258" s="667">
        <f t="shared" si="74"/>
        <v>410</v>
      </c>
      <c r="O258" s="667">
        <f t="shared" si="74"/>
        <v>410</v>
      </c>
      <c r="P258" s="667">
        <f t="shared" si="74"/>
        <v>490</v>
      </c>
    </row>
    <row r="259" spans="1:16" ht="32.25" customHeight="1">
      <c r="A259" s="652"/>
      <c r="B259" s="652">
        <v>75411</v>
      </c>
      <c r="C259" s="653" t="s">
        <v>442</v>
      </c>
      <c r="D259" s="664">
        <f t="shared" si="64"/>
        <v>5000</v>
      </c>
      <c r="E259" s="664">
        <v>410</v>
      </c>
      <c r="F259" s="664">
        <v>410</v>
      </c>
      <c r="G259" s="664">
        <v>410</v>
      </c>
      <c r="H259" s="664">
        <v>410</v>
      </c>
      <c r="I259" s="664">
        <v>410</v>
      </c>
      <c r="J259" s="664">
        <v>410</v>
      </c>
      <c r="K259" s="664">
        <v>410</v>
      </c>
      <c r="L259" s="664">
        <v>410</v>
      </c>
      <c r="M259" s="664">
        <v>410</v>
      </c>
      <c r="N259" s="664">
        <v>410</v>
      </c>
      <c r="O259" s="664">
        <v>410</v>
      </c>
      <c r="P259" s="664">
        <v>490</v>
      </c>
    </row>
    <row r="260" spans="1:16" s="80" customFormat="1" ht="63.75" customHeight="1" thickBot="1">
      <c r="A260" s="670">
        <v>756</v>
      </c>
      <c r="B260" s="670"/>
      <c r="C260" s="736" t="s">
        <v>380</v>
      </c>
      <c r="D260" s="737">
        <f t="shared" si="64"/>
        <v>63358928</v>
      </c>
      <c r="E260" s="737">
        <f aca="true" t="shared" si="75" ref="E260:P260">E261</f>
        <v>4627563</v>
      </c>
      <c r="F260" s="737">
        <f t="shared" si="75"/>
        <v>4313863</v>
      </c>
      <c r="G260" s="737">
        <f t="shared" si="75"/>
        <v>4581786</v>
      </c>
      <c r="H260" s="737">
        <f t="shared" si="75"/>
        <v>9474172</v>
      </c>
      <c r="I260" s="737">
        <f t="shared" si="75"/>
        <v>4454072</v>
      </c>
      <c r="J260" s="737">
        <f t="shared" si="75"/>
        <v>4650274</v>
      </c>
      <c r="K260" s="737">
        <f t="shared" si="75"/>
        <v>4850274</v>
      </c>
      <c r="L260" s="737">
        <f t="shared" si="75"/>
        <v>4750274</v>
      </c>
      <c r="M260" s="737">
        <f t="shared" si="75"/>
        <v>4950274</v>
      </c>
      <c r="N260" s="737">
        <f t="shared" si="75"/>
        <v>5150273</v>
      </c>
      <c r="O260" s="737">
        <f t="shared" si="75"/>
        <v>5550274</v>
      </c>
      <c r="P260" s="737">
        <f t="shared" si="75"/>
        <v>6005829</v>
      </c>
    </row>
    <row r="261" spans="1:16" ht="31.5" customHeight="1">
      <c r="A261" s="672"/>
      <c r="B261" s="672">
        <v>75622</v>
      </c>
      <c r="C261" s="673" t="s">
        <v>968</v>
      </c>
      <c r="D261" s="674">
        <f t="shared" si="64"/>
        <v>63358928</v>
      </c>
      <c r="E261" s="727">
        <v>4627563</v>
      </c>
      <c r="F261" s="727">
        <v>4313863</v>
      </c>
      <c r="G261" s="727">
        <v>4581786</v>
      </c>
      <c r="H261" s="727">
        <v>9474172</v>
      </c>
      <c r="I261" s="727">
        <v>4454072</v>
      </c>
      <c r="J261" s="727">
        <v>4650274</v>
      </c>
      <c r="K261" s="727">
        <v>4850274</v>
      </c>
      <c r="L261" s="727">
        <v>4750274</v>
      </c>
      <c r="M261" s="727">
        <v>4950274</v>
      </c>
      <c r="N261" s="727">
        <v>5150273</v>
      </c>
      <c r="O261" s="727">
        <v>5550274</v>
      </c>
      <c r="P261" s="727">
        <v>6005829</v>
      </c>
    </row>
    <row r="262" spans="1:16" s="80" customFormat="1" ht="21" customHeight="1" thickBot="1">
      <c r="A262" s="675">
        <v>852</v>
      </c>
      <c r="B262" s="675"/>
      <c r="C262" s="666" t="s">
        <v>129</v>
      </c>
      <c r="D262" s="667">
        <f t="shared" si="64"/>
        <v>5000</v>
      </c>
      <c r="E262" s="667">
        <f aca="true" t="shared" si="76" ref="E262:P262">E263</f>
        <v>410</v>
      </c>
      <c r="F262" s="667">
        <f t="shared" si="76"/>
        <v>410</v>
      </c>
      <c r="G262" s="667">
        <f t="shared" si="76"/>
        <v>410</v>
      </c>
      <c r="H262" s="667">
        <f t="shared" si="76"/>
        <v>410</v>
      </c>
      <c r="I262" s="667">
        <f t="shared" si="76"/>
        <v>410</v>
      </c>
      <c r="J262" s="667">
        <f t="shared" si="76"/>
        <v>410</v>
      </c>
      <c r="K262" s="667">
        <f t="shared" si="76"/>
        <v>410</v>
      </c>
      <c r="L262" s="667">
        <f t="shared" si="76"/>
        <v>410</v>
      </c>
      <c r="M262" s="667">
        <f t="shared" si="76"/>
        <v>410</v>
      </c>
      <c r="N262" s="667">
        <f t="shared" si="76"/>
        <v>410</v>
      </c>
      <c r="O262" s="667">
        <f t="shared" si="76"/>
        <v>410</v>
      </c>
      <c r="P262" s="667">
        <f t="shared" si="76"/>
        <v>490</v>
      </c>
    </row>
    <row r="263" spans="1:16" ht="21" customHeight="1">
      <c r="A263" s="639"/>
      <c r="B263" s="652">
        <v>85203</v>
      </c>
      <c r="C263" s="653" t="s">
        <v>126</v>
      </c>
      <c r="D263" s="664">
        <f t="shared" si="64"/>
        <v>5000</v>
      </c>
      <c r="E263" s="664">
        <v>410</v>
      </c>
      <c r="F263" s="664">
        <v>410</v>
      </c>
      <c r="G263" s="664">
        <v>410</v>
      </c>
      <c r="H263" s="664">
        <v>410</v>
      </c>
      <c r="I263" s="664">
        <v>410</v>
      </c>
      <c r="J263" s="664">
        <v>410</v>
      </c>
      <c r="K263" s="664">
        <v>410</v>
      </c>
      <c r="L263" s="664">
        <v>410</v>
      </c>
      <c r="M263" s="664">
        <v>410</v>
      </c>
      <c r="N263" s="664">
        <v>410</v>
      </c>
      <c r="O263" s="664">
        <v>410</v>
      </c>
      <c r="P263" s="664">
        <v>490</v>
      </c>
    </row>
    <row r="264" spans="1:16" s="648" customFormat="1" ht="26.25" customHeight="1" thickBot="1">
      <c r="A264" s="738"/>
      <c r="B264" s="738"/>
      <c r="C264" s="739" t="s">
        <v>455</v>
      </c>
      <c r="D264" s="647">
        <f t="shared" si="64"/>
        <v>142173147</v>
      </c>
      <c r="E264" s="647">
        <f aca="true" t="shared" si="77" ref="E264:P264">E265</f>
        <v>10663314</v>
      </c>
      <c r="F264" s="647">
        <f t="shared" si="77"/>
        <v>20813019</v>
      </c>
      <c r="G264" s="647">
        <f t="shared" si="77"/>
        <v>10709833</v>
      </c>
      <c r="H264" s="647">
        <f t="shared" si="77"/>
        <v>10709834</v>
      </c>
      <c r="I264" s="647">
        <f t="shared" si="77"/>
        <v>10709833</v>
      </c>
      <c r="J264" s="647">
        <f t="shared" si="77"/>
        <v>14154833</v>
      </c>
      <c r="K264" s="647">
        <f t="shared" si="77"/>
        <v>10740666</v>
      </c>
      <c r="L264" s="647">
        <f t="shared" si="77"/>
        <v>10740667</v>
      </c>
      <c r="M264" s="647">
        <f t="shared" si="77"/>
        <v>10740666</v>
      </c>
      <c r="N264" s="647">
        <f t="shared" si="77"/>
        <v>10740667</v>
      </c>
      <c r="O264" s="647">
        <f t="shared" si="77"/>
        <v>10740667</v>
      </c>
      <c r="P264" s="647">
        <f t="shared" si="77"/>
        <v>10709148</v>
      </c>
    </row>
    <row r="265" spans="1:16" s="80" customFormat="1" ht="23.25" customHeight="1" thickBot="1" thickTop="1">
      <c r="A265" s="669">
        <v>758</v>
      </c>
      <c r="B265" s="669"/>
      <c r="C265" s="688" t="s">
        <v>446</v>
      </c>
      <c r="D265" s="630">
        <f t="shared" si="64"/>
        <v>142173147</v>
      </c>
      <c r="E265" s="630">
        <f>E266+E268</f>
        <v>10663314</v>
      </c>
      <c r="F265" s="630">
        <f>F266+F268</f>
        <v>20813019</v>
      </c>
      <c r="G265" s="630">
        <f>G266+G268</f>
        <v>10709833</v>
      </c>
      <c r="H265" s="630">
        <f>H266+H268</f>
        <v>10709834</v>
      </c>
      <c r="I265" s="630">
        <f>I266+I268</f>
        <v>10709833</v>
      </c>
      <c r="J265" s="630">
        <f>J266+J268+J267</f>
        <v>14154833</v>
      </c>
      <c r="K265" s="630">
        <f aca="true" t="shared" si="78" ref="K265:P265">K266+K268</f>
        <v>10740666</v>
      </c>
      <c r="L265" s="630">
        <f t="shared" si="78"/>
        <v>10740667</v>
      </c>
      <c r="M265" s="630">
        <f t="shared" si="78"/>
        <v>10740666</v>
      </c>
      <c r="N265" s="630">
        <f t="shared" si="78"/>
        <v>10740667</v>
      </c>
      <c r="O265" s="630">
        <f t="shared" si="78"/>
        <v>10740667</v>
      </c>
      <c r="P265" s="630">
        <f t="shared" si="78"/>
        <v>10709148</v>
      </c>
    </row>
    <row r="266" spans="1:16" ht="31.5" customHeight="1">
      <c r="A266" s="740"/>
      <c r="B266" s="672">
        <v>75801</v>
      </c>
      <c r="C266" s="673" t="s">
        <v>662</v>
      </c>
      <c r="D266" s="727">
        <f t="shared" si="64"/>
        <v>132976929</v>
      </c>
      <c r="E266" s="727">
        <v>10163629</v>
      </c>
      <c r="F266" s="727">
        <v>20313334</v>
      </c>
      <c r="G266" s="727">
        <v>10210148</v>
      </c>
      <c r="H266" s="727">
        <v>10210149</v>
      </c>
      <c r="I266" s="727">
        <v>10210148</v>
      </c>
      <c r="J266" s="727">
        <v>10455148</v>
      </c>
      <c r="K266" s="727">
        <v>10240981</v>
      </c>
      <c r="L266" s="727">
        <v>10240982</v>
      </c>
      <c r="M266" s="727">
        <v>10240981</v>
      </c>
      <c r="N266" s="727">
        <v>10240982</v>
      </c>
      <c r="O266" s="727">
        <v>10240982</v>
      </c>
      <c r="P266" s="727">
        <v>10209465</v>
      </c>
    </row>
    <row r="267" spans="1:16" ht="30.75" customHeight="1">
      <c r="A267" s="639"/>
      <c r="B267" s="652">
        <v>75802</v>
      </c>
      <c r="C267" s="653" t="s">
        <v>117</v>
      </c>
      <c r="D267" s="741">
        <f>SUM(E267:P267)</f>
        <v>3200000</v>
      </c>
      <c r="E267" s="741"/>
      <c r="F267" s="741"/>
      <c r="G267" s="741"/>
      <c r="H267" s="741"/>
      <c r="I267" s="741"/>
      <c r="J267" s="741">
        <v>3200000</v>
      </c>
      <c r="K267" s="741"/>
      <c r="L267" s="741"/>
      <c r="M267" s="741"/>
      <c r="N267" s="741"/>
      <c r="O267" s="741"/>
      <c r="P267" s="741"/>
    </row>
    <row r="268" spans="1:16" ht="30.75" customHeight="1">
      <c r="A268" s="639"/>
      <c r="B268" s="652">
        <v>75832</v>
      </c>
      <c r="C268" s="668" t="s">
        <v>1039</v>
      </c>
      <c r="D268" s="741">
        <f aca="true" t="shared" si="79" ref="D268:D295">SUM(E268:P268)</f>
        <v>5996218</v>
      </c>
      <c r="E268" s="741">
        <v>499685</v>
      </c>
      <c r="F268" s="741">
        <v>499685</v>
      </c>
      <c r="G268" s="741">
        <v>499685</v>
      </c>
      <c r="H268" s="741">
        <v>499685</v>
      </c>
      <c r="I268" s="741">
        <v>499685</v>
      </c>
      <c r="J268" s="741">
        <v>499685</v>
      </c>
      <c r="K268" s="741">
        <v>499685</v>
      </c>
      <c r="L268" s="741">
        <v>499685</v>
      </c>
      <c r="M268" s="741">
        <v>499685</v>
      </c>
      <c r="N268" s="741">
        <v>499685</v>
      </c>
      <c r="O268" s="741">
        <v>499685</v>
      </c>
      <c r="P268" s="741">
        <v>499683</v>
      </c>
    </row>
    <row r="269" spans="1:16" s="648" customFormat="1" ht="32.25" customHeight="1" thickBot="1">
      <c r="A269" s="742"/>
      <c r="B269" s="742"/>
      <c r="C269" s="739" t="s">
        <v>403</v>
      </c>
      <c r="D269" s="725">
        <f t="shared" si="79"/>
        <v>30593287</v>
      </c>
      <c r="E269" s="725">
        <f aca="true" t="shared" si="80" ref="E269:P269">E270+E273+E279+E284+E287</f>
        <v>2156200</v>
      </c>
      <c r="F269" s="725">
        <f t="shared" si="80"/>
        <v>1720235</v>
      </c>
      <c r="G269" s="725">
        <f t="shared" si="80"/>
        <v>1112286</v>
      </c>
      <c r="H269" s="725">
        <f t="shared" si="80"/>
        <v>1800176</v>
      </c>
      <c r="I269" s="725">
        <f t="shared" si="80"/>
        <v>530650</v>
      </c>
      <c r="J269" s="725">
        <f t="shared" si="80"/>
        <v>1675536</v>
      </c>
      <c r="K269" s="725">
        <f t="shared" si="80"/>
        <v>3528657</v>
      </c>
      <c r="L269" s="725">
        <f t="shared" si="80"/>
        <v>3236521</v>
      </c>
      <c r="M269" s="725">
        <f t="shared" si="80"/>
        <v>3486581</v>
      </c>
      <c r="N269" s="725">
        <f t="shared" si="80"/>
        <v>5150847</v>
      </c>
      <c r="O269" s="725">
        <f t="shared" si="80"/>
        <v>3320723</v>
      </c>
      <c r="P269" s="725">
        <f t="shared" si="80"/>
        <v>2874875</v>
      </c>
    </row>
    <row r="270" spans="1:16" s="80" customFormat="1" ht="18.75" customHeight="1" thickBot="1" thickTop="1">
      <c r="A270" s="649">
        <v>600</v>
      </c>
      <c r="B270" s="649"/>
      <c r="C270" s="675" t="s">
        <v>525</v>
      </c>
      <c r="D270" s="743">
        <f t="shared" si="79"/>
        <v>20687527</v>
      </c>
      <c r="E270" s="743">
        <f>SUM(E271:E272)</f>
        <v>1561699</v>
      </c>
      <c r="F270" s="743">
        <f>F271</f>
        <v>816185</v>
      </c>
      <c r="G270" s="743">
        <f>SUM(G271:G272)</f>
        <v>393083</v>
      </c>
      <c r="H270" s="743">
        <f>SUM(H271:H272)</f>
        <v>1171981</v>
      </c>
      <c r="I270" s="743"/>
      <c r="J270" s="743">
        <f>J272</f>
        <v>1142236</v>
      </c>
      <c r="K270" s="743">
        <f aca="true" t="shared" si="81" ref="K270:P270">SUM(K271:K272)</f>
        <v>2754485</v>
      </c>
      <c r="L270" s="743">
        <f t="shared" si="81"/>
        <v>2511425</v>
      </c>
      <c r="M270" s="743">
        <f t="shared" si="81"/>
        <v>2809351</v>
      </c>
      <c r="N270" s="743">
        <f t="shared" si="81"/>
        <v>2657876</v>
      </c>
      <c r="O270" s="743">
        <f t="shared" si="81"/>
        <v>2657877</v>
      </c>
      <c r="P270" s="743">
        <f t="shared" si="81"/>
        <v>2211329</v>
      </c>
    </row>
    <row r="271" spans="1:30" ht="20.25" customHeight="1">
      <c r="A271" s="639"/>
      <c r="B271" s="652">
        <v>60015</v>
      </c>
      <c r="C271" s="653" t="s">
        <v>1113</v>
      </c>
      <c r="D271" s="664">
        <f t="shared" si="79"/>
        <v>19545291</v>
      </c>
      <c r="E271" s="664">
        <f>1045042+516657</f>
        <v>1561699</v>
      </c>
      <c r="F271" s="664">
        <v>816185</v>
      </c>
      <c r="G271" s="664">
        <v>393083</v>
      </c>
      <c r="H271" s="664">
        <v>1171981</v>
      </c>
      <c r="I271" s="664"/>
      <c r="J271" s="664"/>
      <c r="K271" s="664">
        <v>2754485</v>
      </c>
      <c r="L271" s="664">
        <v>2511425</v>
      </c>
      <c r="M271" s="664">
        <v>2809351</v>
      </c>
      <c r="N271" s="664">
        <v>2657876</v>
      </c>
      <c r="O271" s="664">
        <v>2657877</v>
      </c>
      <c r="P271" s="664">
        <v>2211329</v>
      </c>
      <c r="Q271" s="744"/>
      <c r="R271" s="745"/>
      <c r="S271" s="745"/>
      <c r="T271" s="745" t="s">
        <v>910</v>
      </c>
      <c r="U271" s="746" t="s">
        <v>937</v>
      </c>
      <c r="V271" s="747"/>
      <c r="W271" s="747"/>
      <c r="X271" s="747"/>
      <c r="Y271" s="747"/>
      <c r="Z271" s="747"/>
      <c r="AA271" s="747"/>
      <c r="AB271" s="747"/>
      <c r="AC271" s="747"/>
      <c r="AD271" s="747"/>
    </row>
    <row r="272" spans="1:20" ht="18.75" customHeight="1">
      <c r="A272" s="652"/>
      <c r="B272" s="719">
        <v>60095</v>
      </c>
      <c r="C272" s="653" t="s">
        <v>100</v>
      </c>
      <c r="D272" s="664">
        <f t="shared" si="79"/>
        <v>1142236</v>
      </c>
      <c r="E272" s="748"/>
      <c r="F272" s="748"/>
      <c r="G272" s="748"/>
      <c r="H272" s="748"/>
      <c r="I272" s="748"/>
      <c r="J272" s="748">
        <v>1142236</v>
      </c>
      <c r="K272" s="748"/>
      <c r="L272" s="748"/>
      <c r="M272" s="748"/>
      <c r="N272" s="748"/>
      <c r="O272" s="748"/>
      <c r="P272" s="748"/>
      <c r="Q272" s="749"/>
      <c r="R272" s="750"/>
      <c r="S272" s="750"/>
      <c r="T272" s="750"/>
    </row>
    <row r="273" spans="1:22" ht="18.75" customHeight="1" thickBot="1">
      <c r="A273" s="726">
        <v>801</v>
      </c>
      <c r="B273" s="639"/>
      <c r="C273" s="688" t="s">
        <v>448</v>
      </c>
      <c r="D273" s="735">
        <f t="shared" si="79"/>
        <v>1956456</v>
      </c>
      <c r="E273" s="735"/>
      <c r="F273" s="735"/>
      <c r="G273" s="735"/>
      <c r="H273" s="735">
        <f>SUM(H274:H278)</f>
        <v>3010</v>
      </c>
      <c r="I273" s="735">
        <f>I276+I278</f>
        <v>20000</v>
      </c>
      <c r="J273" s="735"/>
      <c r="K273" s="735">
        <f>K277</f>
        <v>27312</v>
      </c>
      <c r="L273" s="735">
        <f>SUM(L274:L278)</f>
        <v>62000</v>
      </c>
      <c r="M273" s="735">
        <f>SUM(M274:M278)</f>
        <v>14134</v>
      </c>
      <c r="N273" s="735">
        <f>SUM(N274:N278)</f>
        <v>1830000</v>
      </c>
      <c r="O273" s="735"/>
      <c r="P273" s="735"/>
      <c r="Q273" s="751"/>
      <c r="R273" s="752"/>
      <c r="S273" s="752"/>
      <c r="T273" s="752"/>
      <c r="U273" s="752"/>
      <c r="V273" s="752"/>
    </row>
    <row r="274" spans="1:16" s="1051" customFormat="1" ht="21" customHeight="1">
      <c r="A274" s="723"/>
      <c r="B274" s="711">
        <v>80102</v>
      </c>
      <c r="C274" s="712" t="s">
        <v>247</v>
      </c>
      <c r="D274" s="1050">
        <f t="shared" si="79"/>
        <v>3010</v>
      </c>
      <c r="E274" s="1050"/>
      <c r="F274" s="1050"/>
      <c r="G274" s="1050"/>
      <c r="H274" s="1050">
        <v>3010</v>
      </c>
      <c r="I274" s="1050"/>
      <c r="J274" s="1050"/>
      <c r="K274" s="1050"/>
      <c r="L274" s="1050"/>
      <c r="M274" s="1050"/>
      <c r="N274" s="1050"/>
      <c r="O274" s="1050"/>
      <c r="P274" s="1050"/>
    </row>
    <row r="275" spans="1:16" s="643" customFormat="1" ht="21" customHeight="1">
      <c r="A275" s="639"/>
      <c r="B275" s="652">
        <v>80120</v>
      </c>
      <c r="C275" s="653" t="s">
        <v>814</v>
      </c>
      <c r="D275" s="664">
        <f t="shared" si="79"/>
        <v>4852</v>
      </c>
      <c r="E275" s="664"/>
      <c r="F275" s="664"/>
      <c r="G275" s="664"/>
      <c r="H275" s="664"/>
      <c r="I275" s="664"/>
      <c r="J275" s="664"/>
      <c r="K275" s="664"/>
      <c r="L275" s="664"/>
      <c r="M275" s="664">
        <v>4852</v>
      </c>
      <c r="N275" s="664"/>
      <c r="O275" s="664"/>
      <c r="P275" s="664"/>
    </row>
    <row r="276" spans="1:16" s="643" customFormat="1" ht="21" customHeight="1">
      <c r="A276" s="639"/>
      <c r="B276" s="652">
        <v>80130</v>
      </c>
      <c r="C276" s="668" t="s">
        <v>494</v>
      </c>
      <c r="D276" s="664">
        <f t="shared" si="79"/>
        <v>1815939</v>
      </c>
      <c r="E276" s="664"/>
      <c r="F276" s="664"/>
      <c r="G276" s="664"/>
      <c r="H276" s="664"/>
      <c r="I276" s="664">
        <v>10000</v>
      </c>
      <c r="J276" s="664"/>
      <c r="K276" s="664"/>
      <c r="L276" s="664">
        <v>37000</v>
      </c>
      <c r="M276" s="664">
        <v>3939</v>
      </c>
      <c r="N276" s="664">
        <f>1700000+65000</f>
        <v>1765000</v>
      </c>
      <c r="O276" s="664"/>
      <c r="P276" s="664"/>
    </row>
    <row r="277" spans="1:16" s="643" customFormat="1" ht="21" customHeight="1">
      <c r="A277" s="639"/>
      <c r="B277" s="652">
        <v>80132</v>
      </c>
      <c r="C277" s="668" t="s">
        <v>1112</v>
      </c>
      <c r="D277" s="664">
        <f t="shared" si="79"/>
        <v>27312</v>
      </c>
      <c r="E277" s="664"/>
      <c r="F277" s="664"/>
      <c r="G277" s="664"/>
      <c r="H277" s="664"/>
      <c r="I277" s="664"/>
      <c r="J277" s="664"/>
      <c r="K277" s="664">
        <v>27312</v>
      </c>
      <c r="L277" s="664"/>
      <c r="M277" s="664"/>
      <c r="N277" s="664"/>
      <c r="O277" s="664"/>
      <c r="P277" s="664"/>
    </row>
    <row r="278" spans="1:16" s="643" customFormat="1" ht="33" customHeight="1">
      <c r="A278" s="652"/>
      <c r="B278" s="652">
        <v>80140</v>
      </c>
      <c r="C278" s="668" t="s">
        <v>43</v>
      </c>
      <c r="D278" s="664">
        <f t="shared" si="79"/>
        <v>105343</v>
      </c>
      <c r="E278" s="664"/>
      <c r="F278" s="664"/>
      <c r="G278" s="664"/>
      <c r="H278" s="664"/>
      <c r="I278" s="664">
        <v>10000</v>
      </c>
      <c r="J278" s="664"/>
      <c r="K278" s="664"/>
      <c r="L278" s="664">
        <v>25000</v>
      </c>
      <c r="M278" s="664">
        <v>5343</v>
      </c>
      <c r="N278" s="664">
        <v>65000</v>
      </c>
      <c r="O278" s="664"/>
      <c r="P278" s="664"/>
    </row>
    <row r="279" spans="1:16" s="80" customFormat="1" ht="21" customHeight="1" thickBot="1">
      <c r="A279" s="665">
        <v>852</v>
      </c>
      <c r="B279" s="665"/>
      <c r="C279" s="675" t="s">
        <v>129</v>
      </c>
      <c r="D279" s="667">
        <f t="shared" si="79"/>
        <v>7217912</v>
      </c>
      <c r="E279" s="667">
        <f aca="true" t="shared" si="82" ref="E279:P279">E280+E281+E282+E283</f>
        <v>467889</v>
      </c>
      <c r="F279" s="667">
        <f t="shared" si="82"/>
        <v>817750</v>
      </c>
      <c r="G279" s="667">
        <f t="shared" si="82"/>
        <v>656787</v>
      </c>
      <c r="H279" s="667">
        <f t="shared" si="82"/>
        <v>556885</v>
      </c>
      <c r="I279" s="667">
        <f t="shared" si="82"/>
        <v>466750</v>
      </c>
      <c r="J279" s="667">
        <f t="shared" si="82"/>
        <v>532500</v>
      </c>
      <c r="K279" s="667">
        <f t="shared" si="82"/>
        <v>619996</v>
      </c>
      <c r="L279" s="667">
        <f t="shared" si="82"/>
        <v>619996</v>
      </c>
      <c r="M279" s="667">
        <f t="shared" si="82"/>
        <v>619996</v>
      </c>
      <c r="N279" s="667">
        <f t="shared" si="82"/>
        <v>619871</v>
      </c>
      <c r="O279" s="667">
        <f t="shared" si="82"/>
        <v>619746</v>
      </c>
      <c r="P279" s="667">
        <f t="shared" si="82"/>
        <v>619746</v>
      </c>
    </row>
    <row r="280" spans="1:16" s="706" customFormat="1" ht="21" customHeight="1">
      <c r="A280" s="722"/>
      <c r="B280" s="722">
        <v>85201</v>
      </c>
      <c r="C280" s="1011" t="s">
        <v>55</v>
      </c>
      <c r="D280" s="753">
        <f t="shared" si="79"/>
        <v>81037</v>
      </c>
      <c r="E280" s="753"/>
      <c r="F280" s="753"/>
      <c r="G280" s="753">
        <v>76787</v>
      </c>
      <c r="H280" s="753"/>
      <c r="I280" s="753">
        <v>4250</v>
      </c>
      <c r="J280" s="753"/>
      <c r="K280" s="753"/>
      <c r="L280" s="753"/>
      <c r="M280" s="753"/>
      <c r="N280" s="753"/>
      <c r="O280" s="753"/>
      <c r="P280" s="753"/>
    </row>
    <row r="281" spans="1:16" s="706" customFormat="1" ht="21" customHeight="1">
      <c r="A281" s="722"/>
      <c r="B281" s="1018">
        <v>85202</v>
      </c>
      <c r="C281" s="1019" t="s">
        <v>125</v>
      </c>
      <c r="D281" s="1012">
        <f t="shared" si="79"/>
        <v>7133000</v>
      </c>
      <c r="E281" s="753">
        <v>467889</v>
      </c>
      <c r="F281" s="753">
        <v>817750</v>
      </c>
      <c r="G281" s="753">
        <v>580000</v>
      </c>
      <c r="H281" s="753">
        <v>556885</v>
      </c>
      <c r="I281" s="753">
        <v>460000</v>
      </c>
      <c r="J281" s="753">
        <v>532000</v>
      </c>
      <c r="K281" s="753">
        <v>619746</v>
      </c>
      <c r="L281" s="753">
        <v>619746</v>
      </c>
      <c r="M281" s="753">
        <v>619746</v>
      </c>
      <c r="N281" s="753">
        <v>619746</v>
      </c>
      <c r="O281" s="753">
        <v>619746</v>
      </c>
      <c r="P281" s="753">
        <v>619746</v>
      </c>
    </row>
    <row r="282" spans="1:16" s="643" customFormat="1" ht="45">
      <c r="A282" s="639"/>
      <c r="B282" s="652">
        <v>85220</v>
      </c>
      <c r="C282" s="653" t="s">
        <v>222</v>
      </c>
      <c r="D282" s="1012">
        <f t="shared" si="79"/>
        <v>2375</v>
      </c>
      <c r="E282" s="664"/>
      <c r="F282" s="664"/>
      <c r="G282" s="664"/>
      <c r="H282" s="664"/>
      <c r="I282" s="664">
        <v>1250</v>
      </c>
      <c r="J282" s="664">
        <v>250</v>
      </c>
      <c r="K282" s="664">
        <v>250</v>
      </c>
      <c r="L282" s="664">
        <v>250</v>
      </c>
      <c r="M282" s="664">
        <v>250</v>
      </c>
      <c r="N282" s="664">
        <v>125</v>
      </c>
      <c r="O282" s="664"/>
      <c r="P282" s="664"/>
    </row>
    <row r="283" spans="1:16" s="643" customFormat="1" ht="21" customHeight="1">
      <c r="A283" s="652"/>
      <c r="B283" s="652">
        <v>85226</v>
      </c>
      <c r="C283" s="668" t="s">
        <v>576</v>
      </c>
      <c r="D283" s="1012">
        <f t="shared" si="79"/>
        <v>1500</v>
      </c>
      <c r="E283" s="664"/>
      <c r="F283" s="664"/>
      <c r="G283" s="664"/>
      <c r="H283" s="664"/>
      <c r="I283" s="664">
        <v>1250</v>
      </c>
      <c r="J283" s="664">
        <v>250</v>
      </c>
      <c r="K283" s="664"/>
      <c r="L283" s="664"/>
      <c r="M283" s="664"/>
      <c r="N283" s="664"/>
      <c r="O283" s="664"/>
      <c r="P283" s="664"/>
    </row>
    <row r="284" spans="1:16" s="80" customFormat="1" ht="36" customHeight="1" thickBot="1">
      <c r="A284" s="665">
        <v>853</v>
      </c>
      <c r="B284" s="665"/>
      <c r="C284" s="675" t="s">
        <v>277</v>
      </c>
      <c r="D284" s="667">
        <f t="shared" si="79"/>
        <v>708592</v>
      </c>
      <c r="E284" s="667">
        <f>SUM(E285:E286)</f>
        <v>126612</v>
      </c>
      <c r="F284" s="667">
        <f>SUM(F285:F286)</f>
        <v>86300</v>
      </c>
      <c r="G284" s="667">
        <f>G285+G286</f>
        <v>62416</v>
      </c>
      <c r="H284" s="667">
        <f aca="true" t="shared" si="83" ref="H284:P284">SUM(H285:H286)</f>
        <v>49100</v>
      </c>
      <c r="I284" s="667">
        <f t="shared" si="83"/>
        <v>43100</v>
      </c>
      <c r="J284" s="667"/>
      <c r="K284" s="667">
        <f t="shared" si="83"/>
        <v>124864</v>
      </c>
      <c r="L284" s="667">
        <f t="shared" si="83"/>
        <v>43100</v>
      </c>
      <c r="M284" s="667">
        <f t="shared" si="83"/>
        <v>43100</v>
      </c>
      <c r="N284" s="667">
        <f t="shared" si="83"/>
        <v>43100</v>
      </c>
      <c r="O284" s="667">
        <f t="shared" si="83"/>
        <v>43100</v>
      </c>
      <c r="P284" s="667">
        <f t="shared" si="83"/>
        <v>43800</v>
      </c>
    </row>
    <row r="285" spans="1:16" ht="21" customHeight="1">
      <c r="A285" s="740"/>
      <c r="B285" s="672">
        <v>85322</v>
      </c>
      <c r="C285" s="673" t="s">
        <v>893</v>
      </c>
      <c r="D285" s="674">
        <f t="shared" si="79"/>
        <v>518000</v>
      </c>
      <c r="E285" s="674"/>
      <c r="F285" s="674">
        <v>86300</v>
      </c>
      <c r="G285" s="674">
        <v>43100</v>
      </c>
      <c r="H285" s="674">
        <v>43100</v>
      </c>
      <c r="I285" s="674">
        <v>43100</v>
      </c>
      <c r="J285" s="674"/>
      <c r="K285" s="674">
        <v>86200</v>
      </c>
      <c r="L285" s="674">
        <v>43100</v>
      </c>
      <c r="M285" s="674">
        <v>43100</v>
      </c>
      <c r="N285" s="674">
        <v>43100</v>
      </c>
      <c r="O285" s="674">
        <v>43100</v>
      </c>
      <c r="P285" s="674">
        <v>43800</v>
      </c>
    </row>
    <row r="286" spans="1:23" ht="21" customHeight="1">
      <c r="A286" s="652"/>
      <c r="B286" s="652">
        <v>85333</v>
      </c>
      <c r="C286" s="668" t="s">
        <v>617</v>
      </c>
      <c r="D286" s="748">
        <f t="shared" si="79"/>
        <v>190592</v>
      </c>
      <c r="E286" s="748">
        <v>126612</v>
      </c>
      <c r="F286" s="748"/>
      <c r="G286" s="748">
        <v>19316</v>
      </c>
      <c r="H286" s="748">
        <v>6000</v>
      </c>
      <c r="I286" s="748"/>
      <c r="J286" s="748"/>
      <c r="K286" s="748">
        <v>38664</v>
      </c>
      <c r="L286" s="748"/>
      <c r="M286" s="748"/>
      <c r="N286" s="748"/>
      <c r="O286" s="748"/>
      <c r="P286" s="748"/>
      <c r="Q286" s="754"/>
      <c r="R286" s="754"/>
      <c r="S286" s="755"/>
      <c r="T286" s="755"/>
      <c r="U286" s="755"/>
      <c r="V286" s="755"/>
      <c r="W286" s="755"/>
    </row>
    <row r="287" spans="1:16" s="80" customFormat="1" ht="21" customHeight="1" thickBot="1">
      <c r="A287" s="665">
        <v>854</v>
      </c>
      <c r="B287" s="665"/>
      <c r="C287" s="675" t="s">
        <v>618</v>
      </c>
      <c r="D287" s="667">
        <f t="shared" si="79"/>
        <v>22800</v>
      </c>
      <c r="E287" s="667"/>
      <c r="F287" s="667"/>
      <c r="G287" s="667"/>
      <c r="H287" s="667">
        <f>H288+H289</f>
        <v>19200</v>
      </c>
      <c r="I287" s="667">
        <f>I288+I289</f>
        <v>800</v>
      </c>
      <c r="J287" s="667">
        <f>J288+J289</f>
        <v>800</v>
      </c>
      <c r="K287" s="667">
        <f>K288</f>
        <v>2000</v>
      </c>
      <c r="L287" s="667"/>
      <c r="M287" s="667"/>
      <c r="N287" s="667"/>
      <c r="O287" s="667"/>
      <c r="P287" s="667"/>
    </row>
    <row r="288" spans="1:16" ht="21" customHeight="1">
      <c r="A288" s="639"/>
      <c r="B288" s="652">
        <v>85403</v>
      </c>
      <c r="C288" s="653" t="s">
        <v>677</v>
      </c>
      <c r="D288" s="664">
        <f t="shared" si="79"/>
        <v>2000</v>
      </c>
      <c r="E288" s="664"/>
      <c r="F288" s="664"/>
      <c r="G288" s="756"/>
      <c r="H288" s="664"/>
      <c r="I288" s="664"/>
      <c r="J288" s="664"/>
      <c r="K288" s="664">
        <v>2000</v>
      </c>
      <c r="L288" s="664"/>
      <c r="M288" s="664"/>
      <c r="N288" s="664"/>
      <c r="O288" s="664"/>
      <c r="P288" s="664"/>
    </row>
    <row r="289" spans="1:16" s="706" customFormat="1" ht="21" customHeight="1">
      <c r="A289" s="722"/>
      <c r="B289" s="1018">
        <v>85415</v>
      </c>
      <c r="C289" s="1019" t="s">
        <v>396</v>
      </c>
      <c r="D289" s="1012">
        <f t="shared" si="79"/>
        <v>20800</v>
      </c>
      <c r="E289" s="1012"/>
      <c r="F289" s="1012"/>
      <c r="G289" s="1052"/>
      <c r="H289" s="1012">
        <v>19200</v>
      </c>
      <c r="I289" s="1012">
        <v>800</v>
      </c>
      <c r="J289" s="1012">
        <v>800</v>
      </c>
      <c r="K289" s="1012"/>
      <c r="L289" s="1012"/>
      <c r="M289" s="1012"/>
      <c r="N289" s="1012"/>
      <c r="O289" s="1012"/>
      <c r="P289" s="1012"/>
    </row>
    <row r="290" spans="1:16" ht="46.5" customHeight="1" thickBot="1">
      <c r="A290" s="652"/>
      <c r="B290" s="652"/>
      <c r="C290" s="739" t="s">
        <v>476</v>
      </c>
      <c r="D290" s="725">
        <f t="shared" si="79"/>
        <v>4843431</v>
      </c>
      <c r="E290" s="725">
        <f>E291+E293+E298</f>
        <v>225491</v>
      </c>
      <c r="F290" s="725">
        <f>F291+F293+F298</f>
        <v>271104</v>
      </c>
      <c r="G290" s="725">
        <f>G291+G293+G298</f>
        <v>252739</v>
      </c>
      <c r="H290" s="725">
        <f>H291+H293+H298</f>
        <v>230955</v>
      </c>
      <c r="I290" s="725">
        <f>I291+I293+I298</f>
        <v>1086445</v>
      </c>
      <c r="J290" s="725">
        <f>J291+J293+J298+J296</f>
        <v>1775516</v>
      </c>
      <c r="K290" s="725">
        <f aca="true" t="shared" si="84" ref="K290:P290">K291+K293+K298</f>
        <v>180000</v>
      </c>
      <c r="L290" s="725">
        <f t="shared" si="84"/>
        <v>180000</v>
      </c>
      <c r="M290" s="725">
        <f t="shared" si="84"/>
        <v>180000</v>
      </c>
      <c r="N290" s="725">
        <f t="shared" si="84"/>
        <v>180000</v>
      </c>
      <c r="O290" s="725">
        <f t="shared" si="84"/>
        <v>180000</v>
      </c>
      <c r="P290" s="725">
        <f t="shared" si="84"/>
        <v>101181</v>
      </c>
    </row>
    <row r="291" spans="1:16" s="80" customFormat="1" ht="21" customHeight="1" thickBot="1" thickTop="1">
      <c r="A291" s="669">
        <v>600</v>
      </c>
      <c r="B291" s="669"/>
      <c r="C291" s="670" t="s">
        <v>525</v>
      </c>
      <c r="D291" s="737">
        <f t="shared" si="79"/>
        <v>1544500</v>
      </c>
      <c r="E291" s="737"/>
      <c r="F291" s="737"/>
      <c r="G291" s="737"/>
      <c r="H291" s="737"/>
      <c r="I291" s="737"/>
      <c r="J291" s="737">
        <f>J292</f>
        <v>1544500</v>
      </c>
      <c r="K291" s="737"/>
      <c r="L291" s="737"/>
      <c r="M291" s="737"/>
      <c r="N291" s="737"/>
      <c r="O291" s="737"/>
      <c r="P291" s="737"/>
    </row>
    <row r="292" spans="1:16" ht="19.5" customHeight="1">
      <c r="A292" s="740"/>
      <c r="B292" s="672">
        <v>60015</v>
      </c>
      <c r="C292" s="673" t="s">
        <v>1113</v>
      </c>
      <c r="D292" s="674">
        <f t="shared" si="79"/>
        <v>1544500</v>
      </c>
      <c r="E292" s="674"/>
      <c r="F292" s="674"/>
      <c r="G292" s="674"/>
      <c r="H292" s="674"/>
      <c r="I292" s="674"/>
      <c r="J292" s="674">
        <v>1544500</v>
      </c>
      <c r="K292" s="674"/>
      <c r="L292" s="674"/>
      <c r="M292" s="674"/>
      <c r="N292" s="674"/>
      <c r="O292" s="674"/>
      <c r="P292" s="674"/>
    </row>
    <row r="293" spans="1:22" ht="21" customHeight="1" thickBot="1">
      <c r="A293" s="665">
        <v>852</v>
      </c>
      <c r="B293" s="757"/>
      <c r="C293" s="675" t="s">
        <v>129</v>
      </c>
      <c r="D293" s="667">
        <f t="shared" si="79"/>
        <v>2460000</v>
      </c>
      <c r="E293" s="667">
        <f aca="true" t="shared" si="85" ref="E293:P293">SUM(E294:E295)</f>
        <v>225491</v>
      </c>
      <c r="F293" s="667">
        <f t="shared" si="85"/>
        <v>271104</v>
      </c>
      <c r="G293" s="667">
        <f t="shared" si="85"/>
        <v>252739</v>
      </c>
      <c r="H293" s="667">
        <f t="shared" si="85"/>
        <v>230955</v>
      </c>
      <c r="I293" s="667">
        <f t="shared" si="85"/>
        <v>248530</v>
      </c>
      <c r="J293" s="667">
        <f t="shared" si="85"/>
        <v>230000</v>
      </c>
      <c r="K293" s="667">
        <f t="shared" si="85"/>
        <v>180000</v>
      </c>
      <c r="L293" s="667">
        <f t="shared" si="85"/>
        <v>180000</v>
      </c>
      <c r="M293" s="667">
        <f t="shared" si="85"/>
        <v>180000</v>
      </c>
      <c r="N293" s="667">
        <f t="shared" si="85"/>
        <v>180000</v>
      </c>
      <c r="O293" s="667">
        <f t="shared" si="85"/>
        <v>180000</v>
      </c>
      <c r="P293" s="667">
        <f t="shared" si="85"/>
        <v>101181</v>
      </c>
      <c r="Q293" s="751"/>
      <c r="R293" s="752"/>
      <c r="S293" s="752"/>
      <c r="T293" s="752"/>
      <c r="U293" s="752"/>
      <c r="V293" s="752"/>
    </row>
    <row r="294" spans="1:16" s="643" customFormat="1" ht="21" customHeight="1">
      <c r="A294" s="639"/>
      <c r="B294" s="652">
        <v>85201</v>
      </c>
      <c r="C294" s="653" t="s">
        <v>55</v>
      </c>
      <c r="D294" s="664">
        <f t="shared" si="79"/>
        <v>2160000</v>
      </c>
      <c r="E294" s="664">
        <v>206350</v>
      </c>
      <c r="F294" s="664">
        <v>256852</v>
      </c>
      <c r="G294" s="664">
        <v>238619</v>
      </c>
      <c r="H294" s="664">
        <v>218641</v>
      </c>
      <c r="I294" s="664">
        <v>213385</v>
      </c>
      <c r="J294" s="664">
        <v>200000</v>
      </c>
      <c r="K294" s="664">
        <v>150000</v>
      </c>
      <c r="L294" s="664">
        <v>150000</v>
      </c>
      <c r="M294" s="664">
        <v>150000</v>
      </c>
      <c r="N294" s="664">
        <v>150000</v>
      </c>
      <c r="O294" s="664">
        <v>150000</v>
      </c>
      <c r="P294" s="664">
        <v>76153</v>
      </c>
    </row>
    <row r="295" spans="1:16" s="643" customFormat="1" ht="21" customHeight="1">
      <c r="A295" s="639"/>
      <c r="B295" s="652">
        <v>85204</v>
      </c>
      <c r="C295" s="668" t="s">
        <v>289</v>
      </c>
      <c r="D295" s="664">
        <f t="shared" si="79"/>
        <v>300000</v>
      </c>
      <c r="E295" s="664">
        <v>19141</v>
      </c>
      <c r="F295" s="664">
        <v>14252</v>
      </c>
      <c r="G295" s="664">
        <v>14120</v>
      </c>
      <c r="H295" s="664">
        <v>12314</v>
      </c>
      <c r="I295" s="664">
        <v>35145</v>
      </c>
      <c r="J295" s="664">
        <v>30000</v>
      </c>
      <c r="K295" s="664">
        <v>30000</v>
      </c>
      <c r="L295" s="664">
        <v>30000</v>
      </c>
      <c r="M295" s="664">
        <v>30000</v>
      </c>
      <c r="N295" s="664">
        <v>30000</v>
      </c>
      <c r="O295" s="664">
        <v>30000</v>
      </c>
      <c r="P295" s="664">
        <v>25028</v>
      </c>
    </row>
    <row r="296" spans="1:22" ht="33" customHeight="1" thickBot="1">
      <c r="A296" s="665">
        <v>853</v>
      </c>
      <c r="B296" s="757"/>
      <c r="C296" s="675" t="s">
        <v>621</v>
      </c>
      <c r="D296" s="667">
        <f>SUM(E296:P296)</f>
        <v>11558</v>
      </c>
      <c r="E296" s="667"/>
      <c r="F296" s="667"/>
      <c r="G296" s="667"/>
      <c r="H296" s="667"/>
      <c r="I296" s="667"/>
      <c r="J296" s="667">
        <f>J297</f>
        <v>1016</v>
      </c>
      <c r="K296" s="667">
        <f>K297</f>
        <v>7642</v>
      </c>
      <c r="L296" s="667"/>
      <c r="M296" s="667"/>
      <c r="N296" s="667">
        <f>N297</f>
        <v>2900</v>
      </c>
      <c r="O296" s="667"/>
      <c r="P296" s="667"/>
      <c r="Q296" s="751"/>
      <c r="R296" s="752"/>
      <c r="S296" s="752"/>
      <c r="T296" s="752"/>
      <c r="U296" s="752"/>
      <c r="V296" s="752"/>
    </row>
    <row r="297" spans="1:16" s="643" customFormat="1" ht="31.5" customHeight="1">
      <c r="A297" s="639"/>
      <c r="B297" s="652">
        <v>85311</v>
      </c>
      <c r="C297" s="653" t="s">
        <v>785</v>
      </c>
      <c r="D297" s="664">
        <f>SUM(E297:P297)</f>
        <v>11558</v>
      </c>
      <c r="E297" s="664"/>
      <c r="F297" s="664"/>
      <c r="G297" s="664"/>
      <c r="H297" s="664"/>
      <c r="I297" s="664"/>
      <c r="J297" s="664">
        <v>1016</v>
      </c>
      <c r="K297" s="664">
        <v>7642</v>
      </c>
      <c r="L297" s="664"/>
      <c r="M297" s="664"/>
      <c r="N297" s="664">
        <v>2900</v>
      </c>
      <c r="O297" s="664"/>
      <c r="P297" s="664"/>
    </row>
    <row r="298" spans="1:22" ht="21" customHeight="1" thickBot="1">
      <c r="A298" s="665">
        <v>854</v>
      </c>
      <c r="B298" s="757"/>
      <c r="C298" s="675" t="s">
        <v>618</v>
      </c>
      <c r="D298" s="667">
        <f aca="true" t="shared" si="86" ref="D298:D322">SUM(E298:P298)</f>
        <v>837915</v>
      </c>
      <c r="E298" s="667"/>
      <c r="F298" s="667"/>
      <c r="G298" s="667"/>
      <c r="H298" s="667"/>
      <c r="I298" s="667">
        <f>I299</f>
        <v>837915</v>
      </c>
      <c r="J298" s="667"/>
      <c r="K298" s="667"/>
      <c r="L298" s="667"/>
      <c r="M298" s="667"/>
      <c r="N298" s="667"/>
      <c r="O298" s="667"/>
      <c r="P298" s="667"/>
      <c r="Q298" s="751"/>
      <c r="R298" s="752"/>
      <c r="S298" s="752"/>
      <c r="T298" s="752"/>
      <c r="U298" s="752"/>
      <c r="V298" s="752"/>
    </row>
    <row r="299" spans="1:16" s="706" customFormat="1" ht="23.25" customHeight="1">
      <c r="A299" s="722"/>
      <c r="B299" s="711">
        <v>85415</v>
      </c>
      <c r="C299" s="712" t="s">
        <v>396</v>
      </c>
      <c r="D299" s="1012">
        <f t="shared" si="86"/>
        <v>837915</v>
      </c>
      <c r="E299" s="753"/>
      <c r="F299" s="753"/>
      <c r="G299" s="753"/>
      <c r="H299" s="753"/>
      <c r="I299" s="753">
        <v>837915</v>
      </c>
      <c r="J299" s="753"/>
      <c r="K299" s="753"/>
      <c r="L299" s="753"/>
      <c r="M299" s="753"/>
      <c r="N299" s="753"/>
      <c r="O299" s="753"/>
      <c r="P299" s="753"/>
    </row>
    <row r="300" spans="1:16" s="648" customFormat="1" ht="32.25" customHeight="1" thickBot="1">
      <c r="A300" s="644"/>
      <c r="B300" s="644"/>
      <c r="C300" s="739" t="s">
        <v>938</v>
      </c>
      <c r="D300" s="725">
        <f t="shared" si="86"/>
        <v>25348978</v>
      </c>
      <c r="E300" s="725">
        <f aca="true" t="shared" si="87" ref="E300:P300">E301+E303+E306+E309+E311+E313+E317</f>
        <v>1607333</v>
      </c>
      <c r="F300" s="725">
        <f t="shared" si="87"/>
        <v>2845200</v>
      </c>
      <c r="G300" s="725">
        <f t="shared" si="87"/>
        <v>1882357</v>
      </c>
      <c r="H300" s="725">
        <f t="shared" si="87"/>
        <v>2349610</v>
      </c>
      <c r="I300" s="725">
        <f t="shared" si="87"/>
        <v>1968382</v>
      </c>
      <c r="J300" s="725">
        <f t="shared" si="87"/>
        <v>1706398</v>
      </c>
      <c r="K300" s="725">
        <f t="shared" si="87"/>
        <v>2228671</v>
      </c>
      <c r="L300" s="725">
        <f t="shared" si="87"/>
        <v>2114073</v>
      </c>
      <c r="M300" s="725">
        <f t="shared" si="87"/>
        <v>1992823</v>
      </c>
      <c r="N300" s="725">
        <f t="shared" si="87"/>
        <v>2117839</v>
      </c>
      <c r="O300" s="725">
        <f t="shared" si="87"/>
        <v>2217839</v>
      </c>
      <c r="P300" s="725">
        <f t="shared" si="87"/>
        <v>2318453</v>
      </c>
    </row>
    <row r="301" spans="1:16" s="80" customFormat="1" ht="21" customHeight="1" thickBot="1" thickTop="1">
      <c r="A301" s="649">
        <v>700</v>
      </c>
      <c r="B301" s="649"/>
      <c r="C301" s="650" t="s">
        <v>271</v>
      </c>
      <c r="D301" s="651">
        <f t="shared" si="86"/>
        <v>1001150</v>
      </c>
      <c r="E301" s="651"/>
      <c r="F301" s="651"/>
      <c r="G301" s="651">
        <f aca="true" t="shared" si="88" ref="G301:P301">G302</f>
        <v>99700</v>
      </c>
      <c r="H301" s="651">
        <f t="shared" si="88"/>
        <v>69556</v>
      </c>
      <c r="I301" s="651">
        <f t="shared" si="88"/>
        <v>53150</v>
      </c>
      <c r="J301" s="651"/>
      <c r="K301" s="651">
        <f t="shared" si="88"/>
        <v>223650</v>
      </c>
      <c r="L301" s="651">
        <f t="shared" si="88"/>
        <v>250000</v>
      </c>
      <c r="M301" s="651">
        <f t="shared" si="88"/>
        <v>76000</v>
      </c>
      <c r="N301" s="651">
        <f t="shared" si="88"/>
        <v>76000</v>
      </c>
      <c r="O301" s="651">
        <f t="shared" si="88"/>
        <v>76000</v>
      </c>
      <c r="P301" s="651">
        <f t="shared" si="88"/>
        <v>77094</v>
      </c>
    </row>
    <row r="302" spans="1:16" ht="25.5" customHeight="1">
      <c r="A302" s="639"/>
      <c r="B302" s="639">
        <v>70005</v>
      </c>
      <c r="C302" s="684" t="s">
        <v>435</v>
      </c>
      <c r="D302" s="654">
        <f t="shared" si="86"/>
        <v>1001150</v>
      </c>
      <c r="E302" s="685"/>
      <c r="F302" s="685"/>
      <c r="G302" s="685">
        <v>99700</v>
      </c>
      <c r="H302" s="685">
        <v>69556</v>
      </c>
      <c r="I302" s="685">
        <v>53150</v>
      </c>
      <c r="J302" s="685"/>
      <c r="K302" s="685">
        <v>223650</v>
      </c>
      <c r="L302" s="685">
        <v>250000</v>
      </c>
      <c r="M302" s="685">
        <v>76000</v>
      </c>
      <c r="N302" s="685">
        <v>76000</v>
      </c>
      <c r="O302" s="685">
        <v>76000</v>
      </c>
      <c r="P302" s="685">
        <v>77094</v>
      </c>
    </row>
    <row r="303" spans="1:16" s="80" customFormat="1" ht="20.25" customHeight="1" thickBot="1">
      <c r="A303" s="669">
        <v>710</v>
      </c>
      <c r="B303" s="669"/>
      <c r="C303" s="670" t="s">
        <v>436</v>
      </c>
      <c r="D303" s="729">
        <f t="shared" si="86"/>
        <v>615661</v>
      </c>
      <c r="E303" s="729">
        <f aca="true" t="shared" si="89" ref="E303:P303">E304+E305</f>
        <v>38400</v>
      </c>
      <c r="F303" s="729">
        <f t="shared" si="89"/>
        <v>73963</v>
      </c>
      <c r="G303" s="729">
        <f t="shared" si="89"/>
        <v>36500</v>
      </c>
      <c r="H303" s="729">
        <f t="shared" si="89"/>
        <v>36500</v>
      </c>
      <c r="I303" s="729">
        <f t="shared" si="89"/>
        <v>36500</v>
      </c>
      <c r="J303" s="729">
        <f t="shared" si="89"/>
        <v>36500</v>
      </c>
      <c r="K303" s="729">
        <f t="shared" si="89"/>
        <v>36500</v>
      </c>
      <c r="L303" s="729">
        <f t="shared" si="89"/>
        <v>36500</v>
      </c>
      <c r="M303" s="729">
        <f t="shared" si="89"/>
        <v>81500</v>
      </c>
      <c r="N303" s="729">
        <f t="shared" si="89"/>
        <v>34266</v>
      </c>
      <c r="O303" s="729">
        <f t="shared" si="89"/>
        <v>134266</v>
      </c>
      <c r="P303" s="729">
        <f t="shared" si="89"/>
        <v>34266</v>
      </c>
    </row>
    <row r="304" spans="1:16" ht="31.5" customHeight="1">
      <c r="A304" s="740"/>
      <c r="B304" s="672">
        <v>71013</v>
      </c>
      <c r="C304" s="673" t="s">
        <v>490</v>
      </c>
      <c r="D304" s="727">
        <f t="shared" si="86"/>
        <v>100000</v>
      </c>
      <c r="E304" s="727"/>
      <c r="F304" s="727"/>
      <c r="G304" s="727"/>
      <c r="H304" s="727"/>
      <c r="I304" s="727"/>
      <c r="J304" s="727"/>
      <c r="K304" s="727"/>
      <c r="L304" s="727"/>
      <c r="M304" s="727"/>
      <c r="N304" s="727"/>
      <c r="O304" s="727">
        <v>100000</v>
      </c>
      <c r="P304" s="727"/>
    </row>
    <row r="305" spans="1:16" ht="23.25" customHeight="1">
      <c r="A305" s="652"/>
      <c r="B305" s="719">
        <v>71015</v>
      </c>
      <c r="C305" s="668" t="s">
        <v>290</v>
      </c>
      <c r="D305" s="741">
        <f t="shared" si="86"/>
        <v>515661</v>
      </c>
      <c r="E305" s="741">
        <v>38400</v>
      </c>
      <c r="F305" s="741">
        <v>73963</v>
      </c>
      <c r="G305" s="741">
        <v>36500</v>
      </c>
      <c r="H305" s="741">
        <v>36500</v>
      </c>
      <c r="I305" s="741">
        <v>36500</v>
      </c>
      <c r="J305" s="741">
        <v>36500</v>
      </c>
      <c r="K305" s="741">
        <v>36500</v>
      </c>
      <c r="L305" s="741">
        <v>36500</v>
      </c>
      <c r="M305" s="741">
        <v>81500</v>
      </c>
      <c r="N305" s="741">
        <v>34266</v>
      </c>
      <c r="O305" s="741">
        <v>34266</v>
      </c>
      <c r="P305" s="741">
        <v>34266</v>
      </c>
    </row>
    <row r="306" spans="1:16" s="80" customFormat="1" ht="21" customHeight="1" thickBot="1">
      <c r="A306" s="649">
        <v>750</v>
      </c>
      <c r="B306" s="649"/>
      <c r="C306" s="650" t="s">
        <v>439</v>
      </c>
      <c r="D306" s="658">
        <f t="shared" si="86"/>
        <v>924596</v>
      </c>
      <c r="E306" s="658">
        <f aca="true" t="shared" si="90" ref="E306:P306">SUM(E307:E308)</f>
        <v>100900</v>
      </c>
      <c r="F306" s="658">
        <f t="shared" si="90"/>
        <v>164600</v>
      </c>
      <c r="G306" s="658">
        <f t="shared" si="90"/>
        <v>94400</v>
      </c>
      <c r="H306" s="658">
        <f t="shared" si="90"/>
        <v>62800</v>
      </c>
      <c r="I306" s="658">
        <f t="shared" si="90"/>
        <v>62800</v>
      </c>
      <c r="J306" s="658">
        <f t="shared" si="90"/>
        <v>62800</v>
      </c>
      <c r="K306" s="658">
        <f t="shared" si="90"/>
        <v>62800</v>
      </c>
      <c r="L306" s="658">
        <f t="shared" si="90"/>
        <v>62800</v>
      </c>
      <c r="M306" s="658">
        <f t="shared" si="90"/>
        <v>62800</v>
      </c>
      <c r="N306" s="658">
        <f t="shared" si="90"/>
        <v>62800</v>
      </c>
      <c r="O306" s="658">
        <f t="shared" si="90"/>
        <v>62800</v>
      </c>
      <c r="P306" s="658">
        <f t="shared" si="90"/>
        <v>62296</v>
      </c>
    </row>
    <row r="307" spans="1:16" ht="21" customHeight="1">
      <c r="A307" s="639"/>
      <c r="B307" s="652">
        <v>75011</v>
      </c>
      <c r="C307" s="759" t="s">
        <v>1049</v>
      </c>
      <c r="D307" s="682">
        <f t="shared" si="86"/>
        <v>829596</v>
      </c>
      <c r="E307" s="682">
        <v>69200</v>
      </c>
      <c r="F307" s="682">
        <v>132900</v>
      </c>
      <c r="G307" s="682">
        <v>62800</v>
      </c>
      <c r="H307" s="682">
        <v>62800</v>
      </c>
      <c r="I307" s="682">
        <v>62800</v>
      </c>
      <c r="J307" s="682">
        <v>62800</v>
      </c>
      <c r="K307" s="682">
        <v>62800</v>
      </c>
      <c r="L307" s="682">
        <v>62800</v>
      </c>
      <c r="M307" s="682">
        <v>62800</v>
      </c>
      <c r="N307" s="682">
        <v>62800</v>
      </c>
      <c r="O307" s="682">
        <v>62800</v>
      </c>
      <c r="P307" s="682">
        <v>62296</v>
      </c>
    </row>
    <row r="308" spans="1:16" ht="21" customHeight="1">
      <c r="A308" s="652"/>
      <c r="B308" s="652">
        <v>75045</v>
      </c>
      <c r="C308" s="759" t="s">
        <v>291</v>
      </c>
      <c r="D308" s="682">
        <f t="shared" si="86"/>
        <v>95000</v>
      </c>
      <c r="E308" s="682">
        <v>31700</v>
      </c>
      <c r="F308" s="682">
        <v>31700</v>
      </c>
      <c r="G308" s="682">
        <v>31600</v>
      </c>
      <c r="H308" s="682"/>
      <c r="I308" s="682"/>
      <c r="J308" s="682"/>
      <c r="K308" s="682"/>
      <c r="L308" s="682"/>
      <c r="M308" s="682"/>
      <c r="N308" s="682"/>
      <c r="O308" s="682"/>
      <c r="P308" s="682"/>
    </row>
    <row r="309" spans="1:16" s="80" customFormat="1" ht="31.5" customHeight="1" thickBot="1">
      <c r="A309" s="669">
        <v>754</v>
      </c>
      <c r="B309" s="669"/>
      <c r="C309" s="670" t="s">
        <v>441</v>
      </c>
      <c r="D309" s="671">
        <f t="shared" si="86"/>
        <v>14101100</v>
      </c>
      <c r="E309" s="671">
        <f aca="true" t="shared" si="91" ref="E309:P309">E310</f>
        <v>995055</v>
      </c>
      <c r="F309" s="671">
        <f t="shared" si="91"/>
        <v>1908000</v>
      </c>
      <c r="G309" s="671">
        <f t="shared" si="91"/>
        <v>975921</v>
      </c>
      <c r="H309" s="671">
        <f t="shared" si="91"/>
        <v>1588700</v>
      </c>
      <c r="I309" s="671">
        <f t="shared" si="91"/>
        <v>970809</v>
      </c>
      <c r="J309" s="671">
        <f t="shared" si="91"/>
        <v>975750</v>
      </c>
      <c r="K309" s="671">
        <f t="shared" si="91"/>
        <v>1230000</v>
      </c>
      <c r="L309" s="671">
        <f t="shared" si="91"/>
        <v>1091373</v>
      </c>
      <c r="M309" s="671">
        <f t="shared" si="91"/>
        <v>1091373</v>
      </c>
      <c r="N309" s="671">
        <f t="shared" si="91"/>
        <v>1091373</v>
      </c>
      <c r="O309" s="671">
        <f t="shared" si="91"/>
        <v>1091373</v>
      </c>
      <c r="P309" s="671">
        <f t="shared" si="91"/>
        <v>1091373</v>
      </c>
    </row>
    <row r="310" spans="1:16" ht="31.5" customHeight="1">
      <c r="A310" s="740"/>
      <c r="B310" s="672">
        <v>75411</v>
      </c>
      <c r="C310" s="673" t="s">
        <v>442</v>
      </c>
      <c r="D310" s="693">
        <f t="shared" si="86"/>
        <v>14101100</v>
      </c>
      <c r="E310" s="693">
        <v>995055</v>
      </c>
      <c r="F310" s="693">
        <v>1908000</v>
      </c>
      <c r="G310" s="693">
        <v>975921</v>
      </c>
      <c r="H310" s="693">
        <v>1588700</v>
      </c>
      <c r="I310" s="693">
        <v>970809</v>
      </c>
      <c r="J310" s="693">
        <v>975750</v>
      </c>
      <c r="K310" s="693">
        <v>1230000</v>
      </c>
      <c r="L310" s="693">
        <v>1091373</v>
      </c>
      <c r="M310" s="693">
        <v>1091373</v>
      </c>
      <c r="N310" s="693">
        <v>1091373</v>
      </c>
      <c r="O310" s="693">
        <v>1091373</v>
      </c>
      <c r="P310" s="693">
        <v>1091373</v>
      </c>
    </row>
    <row r="311" spans="1:16" s="80" customFormat="1" ht="18.75" customHeight="1" thickBot="1">
      <c r="A311" s="665">
        <v>851</v>
      </c>
      <c r="B311" s="665"/>
      <c r="C311" s="675" t="s">
        <v>106</v>
      </c>
      <c r="D311" s="676">
        <f t="shared" si="86"/>
        <v>4387800</v>
      </c>
      <c r="E311" s="676">
        <f aca="true" t="shared" si="92" ref="E311:P311">E312</f>
        <v>192672</v>
      </c>
      <c r="F311" s="676">
        <f t="shared" si="92"/>
        <v>320914</v>
      </c>
      <c r="G311" s="676">
        <f t="shared" si="92"/>
        <v>313225</v>
      </c>
      <c r="H311" s="676">
        <f t="shared" si="92"/>
        <v>308807</v>
      </c>
      <c r="I311" s="676">
        <f t="shared" si="92"/>
        <v>300313</v>
      </c>
      <c r="J311" s="676">
        <f t="shared" si="92"/>
        <v>291132</v>
      </c>
      <c r="K311" s="676">
        <f t="shared" si="92"/>
        <v>320000</v>
      </c>
      <c r="L311" s="676">
        <f t="shared" si="92"/>
        <v>320000</v>
      </c>
      <c r="M311" s="676">
        <f t="shared" si="92"/>
        <v>320000</v>
      </c>
      <c r="N311" s="676">
        <f t="shared" si="92"/>
        <v>500000</v>
      </c>
      <c r="O311" s="676">
        <f t="shared" si="92"/>
        <v>500000</v>
      </c>
      <c r="P311" s="676">
        <f t="shared" si="92"/>
        <v>700737</v>
      </c>
    </row>
    <row r="312" spans="1:16" ht="47.25" customHeight="1">
      <c r="A312" s="639"/>
      <c r="B312" s="639">
        <v>85156</v>
      </c>
      <c r="C312" s="684" t="s">
        <v>561</v>
      </c>
      <c r="D312" s="682">
        <f t="shared" si="86"/>
        <v>4387800</v>
      </c>
      <c r="E312" s="1007">
        <v>192672</v>
      </c>
      <c r="F312" s="1007">
        <v>320914</v>
      </c>
      <c r="G312" s="1007">
        <v>313225</v>
      </c>
      <c r="H312" s="1007">
        <v>308807</v>
      </c>
      <c r="I312" s="1007">
        <v>300313</v>
      </c>
      <c r="J312" s="1007">
        <v>291132</v>
      </c>
      <c r="K312" s="1007">
        <v>320000</v>
      </c>
      <c r="L312" s="1007">
        <v>320000</v>
      </c>
      <c r="M312" s="1007">
        <v>320000</v>
      </c>
      <c r="N312" s="1007">
        <v>500000</v>
      </c>
      <c r="O312" s="1007">
        <v>500000</v>
      </c>
      <c r="P312" s="1007">
        <v>700737</v>
      </c>
    </row>
    <row r="313" spans="1:16" s="80" customFormat="1" ht="19.5" customHeight="1" thickBot="1">
      <c r="A313" s="669">
        <v>852</v>
      </c>
      <c r="B313" s="669"/>
      <c r="C313" s="670" t="s">
        <v>129</v>
      </c>
      <c r="D313" s="671">
        <f t="shared" si="86"/>
        <v>3758000</v>
      </c>
      <c r="E313" s="671">
        <f aca="true" t="shared" si="93" ref="E313:P313">E314+E315+E316</f>
        <v>238187</v>
      </c>
      <c r="F313" s="671">
        <f t="shared" si="93"/>
        <v>310723</v>
      </c>
      <c r="G313" s="671">
        <f t="shared" si="93"/>
        <v>312121</v>
      </c>
      <c r="H313" s="671">
        <f t="shared" si="93"/>
        <v>234548</v>
      </c>
      <c r="I313" s="671">
        <f t="shared" si="93"/>
        <v>498791</v>
      </c>
      <c r="J313" s="671">
        <f t="shared" si="93"/>
        <v>295584</v>
      </c>
      <c r="K313" s="671">
        <f t="shared" si="93"/>
        <v>310000</v>
      </c>
      <c r="L313" s="671">
        <f t="shared" si="93"/>
        <v>310000</v>
      </c>
      <c r="M313" s="671">
        <f t="shared" si="93"/>
        <v>317750</v>
      </c>
      <c r="N313" s="671">
        <f t="shared" si="93"/>
        <v>310000</v>
      </c>
      <c r="O313" s="671">
        <f t="shared" si="93"/>
        <v>310000</v>
      </c>
      <c r="P313" s="671">
        <f t="shared" si="93"/>
        <v>310296</v>
      </c>
    </row>
    <row r="314" spans="1:16" ht="21" customHeight="1">
      <c r="A314" s="740"/>
      <c r="B314" s="740">
        <v>85203</v>
      </c>
      <c r="C314" s="1008" t="s">
        <v>126</v>
      </c>
      <c r="D314" s="693">
        <f t="shared" si="86"/>
        <v>3516250</v>
      </c>
      <c r="E314" s="693">
        <v>223000</v>
      </c>
      <c r="F314" s="693">
        <v>290000</v>
      </c>
      <c r="G314" s="693">
        <v>292000</v>
      </c>
      <c r="H314" s="693">
        <v>217000</v>
      </c>
      <c r="I314" s="693">
        <v>482773</v>
      </c>
      <c r="J314" s="693">
        <v>280200</v>
      </c>
      <c r="K314" s="693">
        <v>288500</v>
      </c>
      <c r="L314" s="693">
        <v>288500</v>
      </c>
      <c r="M314" s="693">
        <v>288500</v>
      </c>
      <c r="N314" s="693">
        <v>288500</v>
      </c>
      <c r="O314" s="693">
        <v>288500</v>
      </c>
      <c r="P314" s="693">
        <v>288777</v>
      </c>
    </row>
    <row r="315" spans="1:16" ht="21" customHeight="1">
      <c r="A315" s="639"/>
      <c r="B315" s="719">
        <v>85231</v>
      </c>
      <c r="C315" s="668" t="s">
        <v>388</v>
      </c>
      <c r="D315" s="682">
        <f t="shared" si="86"/>
        <v>234000</v>
      </c>
      <c r="E315" s="682">
        <v>15187</v>
      </c>
      <c r="F315" s="682">
        <v>20723</v>
      </c>
      <c r="G315" s="682">
        <v>20121</v>
      </c>
      <c r="H315" s="682">
        <v>17548</v>
      </c>
      <c r="I315" s="682">
        <v>16018</v>
      </c>
      <c r="J315" s="682">
        <v>15384</v>
      </c>
      <c r="K315" s="682">
        <v>21500</v>
      </c>
      <c r="L315" s="682">
        <v>21500</v>
      </c>
      <c r="M315" s="682">
        <v>21500</v>
      </c>
      <c r="N315" s="682">
        <v>21500</v>
      </c>
      <c r="O315" s="682">
        <v>21500</v>
      </c>
      <c r="P315" s="682">
        <v>21519</v>
      </c>
    </row>
    <row r="316" spans="1:16" ht="21" customHeight="1">
      <c r="A316" s="652"/>
      <c r="B316" s="639">
        <v>85295</v>
      </c>
      <c r="C316" s="684" t="s">
        <v>100</v>
      </c>
      <c r="D316" s="682">
        <f t="shared" si="86"/>
        <v>7750</v>
      </c>
      <c r="E316" s="1007"/>
      <c r="F316" s="1007"/>
      <c r="G316" s="1007"/>
      <c r="H316" s="1007"/>
      <c r="I316" s="1007"/>
      <c r="J316" s="1007"/>
      <c r="K316" s="1007"/>
      <c r="L316" s="1007"/>
      <c r="M316" s="1007">
        <v>7750</v>
      </c>
      <c r="N316" s="1007"/>
      <c r="O316" s="1007"/>
      <c r="P316" s="1007"/>
    </row>
    <row r="317" spans="1:16" s="80" customFormat="1" ht="33.75" customHeight="1" thickBot="1">
      <c r="A317" s="665">
        <v>853</v>
      </c>
      <c r="B317" s="665"/>
      <c r="C317" s="675" t="s">
        <v>277</v>
      </c>
      <c r="D317" s="676">
        <f t="shared" si="86"/>
        <v>560671</v>
      </c>
      <c r="E317" s="676">
        <f aca="true" t="shared" si="94" ref="E317:P317">E318+E319</f>
        <v>42119</v>
      </c>
      <c r="F317" s="676">
        <f t="shared" si="94"/>
        <v>67000</v>
      </c>
      <c r="G317" s="676">
        <f t="shared" si="94"/>
        <v>50490</v>
      </c>
      <c r="H317" s="676">
        <f t="shared" si="94"/>
        <v>48699</v>
      </c>
      <c r="I317" s="676">
        <f t="shared" si="94"/>
        <v>46019</v>
      </c>
      <c r="J317" s="676">
        <f t="shared" si="94"/>
        <v>44632</v>
      </c>
      <c r="K317" s="676">
        <f t="shared" si="94"/>
        <v>45721</v>
      </c>
      <c r="L317" s="676">
        <f t="shared" si="94"/>
        <v>43400</v>
      </c>
      <c r="M317" s="676">
        <f t="shared" si="94"/>
        <v>43400</v>
      </c>
      <c r="N317" s="676">
        <f t="shared" si="94"/>
        <v>43400</v>
      </c>
      <c r="O317" s="676">
        <f t="shared" si="94"/>
        <v>43400</v>
      </c>
      <c r="P317" s="676">
        <f t="shared" si="94"/>
        <v>42391</v>
      </c>
    </row>
    <row r="318" spans="1:16" ht="31.5" customHeight="1">
      <c r="A318" s="639"/>
      <c r="B318" s="652">
        <v>85321</v>
      </c>
      <c r="C318" s="653" t="s">
        <v>939</v>
      </c>
      <c r="D318" s="682">
        <f t="shared" si="86"/>
        <v>528000</v>
      </c>
      <c r="E318" s="682">
        <v>42119</v>
      </c>
      <c r="F318" s="682">
        <v>67000</v>
      </c>
      <c r="G318" s="682">
        <v>42000</v>
      </c>
      <c r="H318" s="682">
        <v>42000</v>
      </c>
      <c r="I318" s="682">
        <v>42000</v>
      </c>
      <c r="J318" s="682">
        <v>42000</v>
      </c>
      <c r="K318" s="682">
        <v>42000</v>
      </c>
      <c r="L318" s="682">
        <v>42000</v>
      </c>
      <c r="M318" s="682">
        <v>42000</v>
      </c>
      <c r="N318" s="682">
        <v>42000</v>
      </c>
      <c r="O318" s="682">
        <v>42000</v>
      </c>
      <c r="P318" s="682">
        <v>40881</v>
      </c>
    </row>
    <row r="319" spans="1:16" ht="23.25" customHeight="1">
      <c r="A319" s="652"/>
      <c r="B319" s="719">
        <v>85334</v>
      </c>
      <c r="C319" s="668" t="s">
        <v>885</v>
      </c>
      <c r="D319" s="858">
        <f t="shared" si="86"/>
        <v>32671</v>
      </c>
      <c r="E319" s="858"/>
      <c r="F319" s="858"/>
      <c r="G319" s="858">
        <v>8490</v>
      </c>
      <c r="H319" s="858">
        <v>6699</v>
      </c>
      <c r="I319" s="858">
        <v>4019</v>
      </c>
      <c r="J319" s="858">
        <v>2632</v>
      </c>
      <c r="K319" s="858">
        <v>3721</v>
      </c>
      <c r="L319" s="858">
        <v>1400</v>
      </c>
      <c r="M319" s="858">
        <v>1400</v>
      </c>
      <c r="N319" s="858">
        <v>1400</v>
      </c>
      <c r="O319" s="858">
        <v>1400</v>
      </c>
      <c r="P319" s="858">
        <v>1510</v>
      </c>
    </row>
    <row r="320" spans="1:16" ht="23.25" customHeight="1">
      <c r="A320" s="758"/>
      <c r="B320" s="758"/>
      <c r="C320" s="1181" t="s">
        <v>776</v>
      </c>
      <c r="D320" s="1183">
        <f t="shared" si="86"/>
        <v>134779700</v>
      </c>
      <c r="E320" s="1183">
        <f>E321</f>
        <v>11679147</v>
      </c>
      <c r="F320" s="1183">
        <f aca="true" t="shared" si="95" ref="F320:P320">F321</f>
        <v>17761525</v>
      </c>
      <c r="G320" s="1183">
        <f t="shared" si="95"/>
        <v>13320608</v>
      </c>
      <c r="H320" s="1183">
        <f t="shared" si="95"/>
        <v>10852695</v>
      </c>
      <c r="I320" s="1183">
        <f t="shared" si="95"/>
        <v>11797374</v>
      </c>
      <c r="J320" s="1183">
        <f t="shared" si="95"/>
        <v>9457935</v>
      </c>
      <c r="K320" s="1183">
        <f t="shared" si="95"/>
        <v>9984100</v>
      </c>
      <c r="L320" s="1183">
        <f t="shared" si="95"/>
        <v>9984100</v>
      </c>
      <c r="M320" s="1183">
        <f t="shared" si="95"/>
        <v>9984100</v>
      </c>
      <c r="N320" s="1183">
        <f t="shared" si="95"/>
        <v>9984100</v>
      </c>
      <c r="O320" s="1183">
        <f t="shared" si="95"/>
        <v>9984100</v>
      </c>
      <c r="P320" s="1183">
        <f t="shared" si="95"/>
        <v>9989916</v>
      </c>
    </row>
    <row r="321" spans="1:16" s="648" customFormat="1" ht="20.25" customHeight="1">
      <c r="A321" s="655"/>
      <c r="B321" s="655"/>
      <c r="C321" s="656" t="s">
        <v>1144</v>
      </c>
      <c r="D321" s="657">
        <f t="shared" si="86"/>
        <v>134779700</v>
      </c>
      <c r="E321" s="657">
        <f>E322</f>
        <v>11679147</v>
      </c>
      <c r="F321" s="657">
        <f aca="true" t="shared" si="96" ref="F321:P321">F322</f>
        <v>17761525</v>
      </c>
      <c r="G321" s="657">
        <f t="shared" si="96"/>
        <v>13320608</v>
      </c>
      <c r="H321" s="657">
        <f t="shared" si="96"/>
        <v>10852695</v>
      </c>
      <c r="I321" s="657">
        <f t="shared" si="96"/>
        <v>11797374</v>
      </c>
      <c r="J321" s="657">
        <f t="shared" si="96"/>
        <v>9457935</v>
      </c>
      <c r="K321" s="657">
        <f t="shared" si="96"/>
        <v>9984100</v>
      </c>
      <c r="L321" s="657">
        <f t="shared" si="96"/>
        <v>9984100</v>
      </c>
      <c r="M321" s="657">
        <f t="shared" si="96"/>
        <v>9984100</v>
      </c>
      <c r="N321" s="657">
        <f t="shared" si="96"/>
        <v>9984100</v>
      </c>
      <c r="O321" s="657">
        <f t="shared" si="96"/>
        <v>9984100</v>
      </c>
      <c r="P321" s="657">
        <f t="shared" si="96"/>
        <v>9989916</v>
      </c>
    </row>
    <row r="322" spans="1:16" s="648" customFormat="1" ht="22.5" customHeight="1" thickBot="1">
      <c r="A322" s="644"/>
      <c r="B322" s="644"/>
      <c r="C322" s="645" t="s">
        <v>967</v>
      </c>
      <c r="D322" s="647">
        <f t="shared" si="86"/>
        <v>134779700</v>
      </c>
      <c r="E322" s="647">
        <f>E323</f>
        <v>11679147</v>
      </c>
      <c r="F322" s="647">
        <f aca="true" t="shared" si="97" ref="F322:P322">F323</f>
        <v>17761525</v>
      </c>
      <c r="G322" s="647">
        <f t="shared" si="97"/>
        <v>13320608</v>
      </c>
      <c r="H322" s="647">
        <f t="shared" si="97"/>
        <v>10852695</v>
      </c>
      <c r="I322" s="647">
        <f t="shared" si="97"/>
        <v>11797374</v>
      </c>
      <c r="J322" s="647">
        <f t="shared" si="97"/>
        <v>9457935</v>
      </c>
      <c r="K322" s="647">
        <f t="shared" si="97"/>
        <v>9984100</v>
      </c>
      <c r="L322" s="647">
        <f t="shared" si="97"/>
        <v>9984100</v>
      </c>
      <c r="M322" s="647">
        <f t="shared" si="97"/>
        <v>9984100</v>
      </c>
      <c r="N322" s="647">
        <f t="shared" si="97"/>
        <v>9984100</v>
      </c>
      <c r="O322" s="647">
        <f t="shared" si="97"/>
        <v>9984100</v>
      </c>
      <c r="P322" s="647">
        <f t="shared" si="97"/>
        <v>9989916</v>
      </c>
    </row>
    <row r="323" spans="1:16" s="80" customFormat="1" ht="64.5" customHeight="1" thickBot="1" thickTop="1">
      <c r="A323" s="665">
        <v>756</v>
      </c>
      <c r="B323" s="665"/>
      <c r="C323" s="666" t="s">
        <v>380</v>
      </c>
      <c r="D323" s="667">
        <f aca="true" t="shared" si="98" ref="D323:D329">SUM(E323:P323)</f>
        <v>134779700</v>
      </c>
      <c r="E323" s="667">
        <f>E324+E325+E326</f>
        <v>11679147</v>
      </c>
      <c r="F323" s="667">
        <f aca="true" t="shared" si="99" ref="F323:P323">F324+F325+F326</f>
        <v>17761525</v>
      </c>
      <c r="G323" s="667">
        <f t="shared" si="99"/>
        <v>13320608</v>
      </c>
      <c r="H323" s="667">
        <f t="shared" si="99"/>
        <v>10852695</v>
      </c>
      <c r="I323" s="667">
        <f t="shared" si="99"/>
        <v>11797374</v>
      </c>
      <c r="J323" s="667">
        <f t="shared" si="99"/>
        <v>9457935</v>
      </c>
      <c r="K323" s="667">
        <f t="shared" si="99"/>
        <v>9984100</v>
      </c>
      <c r="L323" s="667">
        <f t="shared" si="99"/>
        <v>9984100</v>
      </c>
      <c r="M323" s="667">
        <f t="shared" si="99"/>
        <v>9984100</v>
      </c>
      <c r="N323" s="667">
        <f t="shared" si="99"/>
        <v>9984100</v>
      </c>
      <c r="O323" s="667">
        <f t="shared" si="99"/>
        <v>9984100</v>
      </c>
      <c r="P323" s="667">
        <f t="shared" si="99"/>
        <v>9989916</v>
      </c>
    </row>
    <row r="324" spans="1:16" s="643" customFormat="1" ht="60">
      <c r="A324" s="639"/>
      <c r="B324" s="652">
        <v>75615</v>
      </c>
      <c r="C324" s="653" t="s">
        <v>1102</v>
      </c>
      <c r="D324" s="654">
        <f t="shared" si="98"/>
        <v>102926200</v>
      </c>
      <c r="E324" s="654">
        <v>10155665</v>
      </c>
      <c r="F324" s="654">
        <v>15252269</v>
      </c>
      <c r="G324" s="654">
        <v>8347104</v>
      </c>
      <c r="H324" s="654">
        <v>8320958</v>
      </c>
      <c r="I324" s="654">
        <v>8202443</v>
      </c>
      <c r="J324" s="654">
        <v>7720646</v>
      </c>
      <c r="K324" s="654">
        <v>7487000</v>
      </c>
      <c r="L324" s="654">
        <v>7487000</v>
      </c>
      <c r="M324" s="654">
        <v>7487000</v>
      </c>
      <c r="N324" s="654">
        <v>7487000</v>
      </c>
      <c r="O324" s="654">
        <v>7487000</v>
      </c>
      <c r="P324" s="654">
        <v>7492115</v>
      </c>
    </row>
    <row r="325" spans="1:28" s="643" customFormat="1" ht="59.25" customHeight="1">
      <c r="A325" s="639"/>
      <c r="B325" s="652">
        <v>75616</v>
      </c>
      <c r="C325" s="668" t="s">
        <v>1145</v>
      </c>
      <c r="D325" s="654">
        <f t="shared" si="98"/>
        <v>23248500</v>
      </c>
      <c r="E325" s="654">
        <v>718013</v>
      </c>
      <c r="F325" s="654">
        <v>1866674</v>
      </c>
      <c r="G325" s="654">
        <v>4214160</v>
      </c>
      <c r="H325" s="654">
        <v>1903664</v>
      </c>
      <c r="I325" s="654">
        <v>2942546</v>
      </c>
      <c r="J325" s="654">
        <v>1099311</v>
      </c>
      <c r="K325" s="654">
        <v>1750600</v>
      </c>
      <c r="L325" s="654">
        <v>1750600</v>
      </c>
      <c r="M325" s="664">
        <v>1750600</v>
      </c>
      <c r="N325" s="664">
        <v>1750600</v>
      </c>
      <c r="O325" s="664">
        <v>1750600</v>
      </c>
      <c r="P325" s="664">
        <v>1751132</v>
      </c>
      <c r="Q325" s="654">
        <v>-2300000</v>
      </c>
      <c r="R325" s="654">
        <v>-2300000</v>
      </c>
      <c r="S325" s="654">
        <v>-4900000</v>
      </c>
      <c r="T325" s="654">
        <v>-4000000</v>
      </c>
      <c r="U325" s="654">
        <v>-4700000</v>
      </c>
      <c r="V325" s="654">
        <v>-2300000</v>
      </c>
      <c r="W325" s="654">
        <v>-2200000</v>
      </c>
      <c r="X325" s="654">
        <v>-2200000</v>
      </c>
      <c r="Y325" s="664">
        <v>-4000000</v>
      </c>
      <c r="Z325" s="664">
        <v>-2200000</v>
      </c>
      <c r="AA325" s="664">
        <v>-4000000</v>
      </c>
      <c r="AB325" s="664">
        <v>-2148500</v>
      </c>
    </row>
    <row r="326" spans="1:16" ht="45.75" customHeight="1">
      <c r="A326" s="639"/>
      <c r="B326" s="652">
        <v>75618</v>
      </c>
      <c r="C326" s="653" t="s">
        <v>989</v>
      </c>
      <c r="D326" s="664">
        <f t="shared" si="98"/>
        <v>8605000</v>
      </c>
      <c r="E326" s="664">
        <v>805469</v>
      </c>
      <c r="F326" s="664">
        <v>642582</v>
      </c>
      <c r="G326" s="664">
        <v>759344</v>
      </c>
      <c r="H326" s="664">
        <v>628073</v>
      </c>
      <c r="I326" s="664">
        <v>652385</v>
      </c>
      <c r="J326" s="664">
        <v>637978</v>
      </c>
      <c r="K326" s="664">
        <v>746500</v>
      </c>
      <c r="L326" s="664">
        <v>746500</v>
      </c>
      <c r="M326" s="664">
        <v>746500</v>
      </c>
      <c r="N326" s="664">
        <v>746500</v>
      </c>
      <c r="O326" s="664">
        <v>746500</v>
      </c>
      <c r="P326" s="664">
        <v>746669</v>
      </c>
    </row>
    <row r="327" spans="1:16" ht="38.25" customHeight="1">
      <c r="A327" s="639"/>
      <c r="B327" s="1084"/>
      <c r="C327" s="640" t="s">
        <v>777</v>
      </c>
      <c r="D327" s="641">
        <f t="shared" si="98"/>
        <v>-35276446</v>
      </c>
      <c r="E327" s="641">
        <f aca="true" t="shared" si="100" ref="E327:P327">E328+E335</f>
        <v>-2831290</v>
      </c>
      <c r="F327" s="641">
        <f t="shared" si="100"/>
        <v>-3288400</v>
      </c>
      <c r="G327" s="641">
        <f t="shared" si="100"/>
        <v>-5744900</v>
      </c>
      <c r="H327" s="641">
        <f t="shared" si="100"/>
        <v>-2352000</v>
      </c>
      <c r="I327" s="641">
        <f t="shared" si="100"/>
        <v>-3905000</v>
      </c>
      <c r="J327" s="641">
        <f t="shared" si="100"/>
        <v>-3285946</v>
      </c>
      <c r="K327" s="641">
        <f t="shared" si="100"/>
        <v>-1609900</v>
      </c>
      <c r="L327" s="641">
        <f t="shared" si="100"/>
        <v>-1809810</v>
      </c>
      <c r="M327" s="641">
        <f t="shared" si="100"/>
        <v>-2989700</v>
      </c>
      <c r="N327" s="641">
        <f t="shared" si="100"/>
        <v>-1544500</v>
      </c>
      <c r="O327" s="641">
        <f t="shared" si="100"/>
        <v>-3489500</v>
      </c>
      <c r="P327" s="641">
        <f t="shared" si="100"/>
        <v>-2425500</v>
      </c>
    </row>
    <row r="328" spans="1:16" s="648" customFormat="1" ht="21" customHeight="1" thickBot="1">
      <c r="A328" s="644"/>
      <c r="B328" s="1085"/>
      <c r="C328" s="645" t="s">
        <v>461</v>
      </c>
      <c r="D328" s="725">
        <f t="shared" si="98"/>
        <v>-35272946</v>
      </c>
      <c r="E328" s="725">
        <f aca="true" t="shared" si="101" ref="E328:P328">E329+E331+E333</f>
        <v>-2831000</v>
      </c>
      <c r="F328" s="725">
        <f t="shared" si="101"/>
        <v>-3288000</v>
      </c>
      <c r="G328" s="725">
        <f t="shared" si="101"/>
        <v>-5744500</v>
      </c>
      <c r="H328" s="725">
        <f t="shared" si="101"/>
        <v>-2351500</v>
      </c>
      <c r="I328" s="725">
        <f t="shared" si="101"/>
        <v>-3904500</v>
      </c>
      <c r="J328" s="725">
        <f t="shared" si="101"/>
        <v>-3285446</v>
      </c>
      <c r="K328" s="725">
        <f t="shared" si="101"/>
        <v>-1609500</v>
      </c>
      <c r="L328" s="725">
        <f t="shared" si="101"/>
        <v>-1809500</v>
      </c>
      <c r="M328" s="647">
        <f t="shared" si="101"/>
        <v>-2989500</v>
      </c>
      <c r="N328" s="647">
        <f t="shared" si="101"/>
        <v>-1544500</v>
      </c>
      <c r="O328" s="647">
        <f t="shared" si="101"/>
        <v>-3489500</v>
      </c>
      <c r="P328" s="647">
        <f t="shared" si="101"/>
        <v>-2425500</v>
      </c>
    </row>
    <row r="329" spans="1:16" s="80" customFormat="1" ht="21" customHeight="1" thickBot="1" thickTop="1">
      <c r="A329" s="760" t="s">
        <v>1022</v>
      </c>
      <c r="B329" s="688"/>
      <c r="C329" s="734" t="s">
        <v>1023</v>
      </c>
      <c r="D329" s="735">
        <f t="shared" si="98"/>
        <v>-170</v>
      </c>
      <c r="E329" s="735"/>
      <c r="F329" s="735"/>
      <c r="G329" s="735"/>
      <c r="H329" s="735"/>
      <c r="I329" s="735"/>
      <c r="J329" s="735">
        <f>J330</f>
        <v>-170</v>
      </c>
      <c r="K329" s="735"/>
      <c r="L329" s="735"/>
      <c r="M329" s="735"/>
      <c r="N329" s="735"/>
      <c r="O329" s="735"/>
      <c r="P329" s="735"/>
    </row>
    <row r="330" spans="1:16" s="643" customFormat="1" ht="21" customHeight="1">
      <c r="A330" s="672"/>
      <c r="B330" s="761" t="s">
        <v>743</v>
      </c>
      <c r="C330" s="673" t="s">
        <v>100</v>
      </c>
      <c r="D330" s="674">
        <f aca="true" t="shared" si="102" ref="D330:D444">SUM(E330:P330)</f>
        <v>-170</v>
      </c>
      <c r="E330" s="674"/>
      <c r="F330" s="674"/>
      <c r="G330" s="674"/>
      <c r="H330" s="674"/>
      <c r="I330" s="674"/>
      <c r="J330" s="674">
        <v>-170</v>
      </c>
      <c r="K330" s="674"/>
      <c r="L330" s="674"/>
      <c r="M330" s="674"/>
      <c r="N330" s="674"/>
      <c r="O330" s="674"/>
      <c r="P330" s="674"/>
    </row>
    <row r="331" spans="1:16" s="80" customFormat="1" ht="21" customHeight="1" thickBot="1">
      <c r="A331" s="675">
        <v>700</v>
      </c>
      <c r="B331" s="675"/>
      <c r="C331" s="666" t="s">
        <v>271</v>
      </c>
      <c r="D331" s="667">
        <f t="shared" si="102"/>
        <v>-34472776</v>
      </c>
      <c r="E331" s="667">
        <f aca="true" t="shared" si="103" ref="E331:P331">E332</f>
        <v>-2831000</v>
      </c>
      <c r="F331" s="667">
        <f t="shared" si="103"/>
        <v>-3288000</v>
      </c>
      <c r="G331" s="667">
        <f t="shared" si="103"/>
        <v>-5744500</v>
      </c>
      <c r="H331" s="667">
        <f t="shared" si="103"/>
        <v>-2351500</v>
      </c>
      <c r="I331" s="667">
        <f t="shared" si="103"/>
        <v>-3904500</v>
      </c>
      <c r="J331" s="667">
        <f t="shared" si="103"/>
        <v>-2885276</v>
      </c>
      <c r="K331" s="667">
        <f>K332</f>
        <v>-1209500</v>
      </c>
      <c r="L331" s="667">
        <f t="shared" si="103"/>
        <v>-1809500</v>
      </c>
      <c r="M331" s="667">
        <f t="shared" si="103"/>
        <v>-2989500</v>
      </c>
      <c r="N331" s="667">
        <f t="shared" si="103"/>
        <v>-1544500</v>
      </c>
      <c r="O331" s="667">
        <f t="shared" si="103"/>
        <v>-3489500</v>
      </c>
      <c r="P331" s="667">
        <f t="shared" si="103"/>
        <v>-2425500</v>
      </c>
    </row>
    <row r="332" spans="1:16" ht="21" customHeight="1">
      <c r="A332" s="652"/>
      <c r="B332" s="652">
        <v>70005</v>
      </c>
      <c r="C332" s="653" t="s">
        <v>435</v>
      </c>
      <c r="D332" s="664">
        <f t="shared" si="102"/>
        <v>-34472776</v>
      </c>
      <c r="E332" s="664">
        <v>-2831000</v>
      </c>
      <c r="F332" s="664">
        <v>-3288000</v>
      </c>
      <c r="G332" s="664">
        <v>-5744500</v>
      </c>
      <c r="H332" s="664">
        <v>-2351500</v>
      </c>
      <c r="I332" s="664">
        <v>-3904500</v>
      </c>
      <c r="J332" s="664">
        <f>-1759500-1125776</f>
        <v>-2885276</v>
      </c>
      <c r="K332" s="664">
        <v>-1209500</v>
      </c>
      <c r="L332" s="664">
        <v>-1809500</v>
      </c>
      <c r="M332" s="664">
        <v>-2989500</v>
      </c>
      <c r="N332" s="664">
        <v>-1544500</v>
      </c>
      <c r="O332" s="664">
        <v>-3489500</v>
      </c>
      <c r="P332" s="664">
        <v>-2425500</v>
      </c>
    </row>
    <row r="333" spans="1:16" s="80" customFormat="1" ht="64.5" customHeight="1" thickBot="1">
      <c r="A333" s="669">
        <v>756</v>
      </c>
      <c r="B333" s="669"/>
      <c r="C333" s="736" t="s">
        <v>380</v>
      </c>
      <c r="D333" s="737">
        <f t="shared" si="102"/>
        <v>-800000</v>
      </c>
      <c r="E333" s="737"/>
      <c r="F333" s="737"/>
      <c r="G333" s="737"/>
      <c r="H333" s="737"/>
      <c r="I333" s="737"/>
      <c r="J333" s="737">
        <f>J334</f>
        <v>-400000</v>
      </c>
      <c r="K333" s="737">
        <f>K334</f>
        <v>-400000</v>
      </c>
      <c r="L333" s="737"/>
      <c r="M333" s="737"/>
      <c r="N333" s="737"/>
      <c r="O333" s="737"/>
      <c r="P333" s="737"/>
    </row>
    <row r="334" spans="1:16" ht="32.25" customHeight="1">
      <c r="A334" s="740"/>
      <c r="B334" s="672">
        <v>75605</v>
      </c>
      <c r="C334" s="673" t="s">
        <v>940</v>
      </c>
      <c r="D334" s="674">
        <f t="shared" si="102"/>
        <v>-800000</v>
      </c>
      <c r="E334" s="674"/>
      <c r="F334" s="674"/>
      <c r="G334" s="674"/>
      <c r="H334" s="674"/>
      <c r="I334" s="674"/>
      <c r="J334" s="674">
        <v>-400000</v>
      </c>
      <c r="K334" s="674">
        <v>-400000</v>
      </c>
      <c r="L334" s="674"/>
      <c r="M334" s="674"/>
      <c r="N334" s="674"/>
      <c r="O334" s="674"/>
      <c r="P334" s="674"/>
    </row>
    <row r="335" spans="1:16" s="648" customFormat="1" ht="22.5" customHeight="1" thickBot="1">
      <c r="A335" s="644"/>
      <c r="B335" s="644"/>
      <c r="C335" s="762" t="s">
        <v>101</v>
      </c>
      <c r="D335" s="763">
        <f t="shared" si="102"/>
        <v>-3500</v>
      </c>
      <c r="E335" s="763">
        <f aca="true" t="shared" si="104" ref="E335:M336">E336</f>
        <v>-290</v>
      </c>
      <c r="F335" s="763">
        <f t="shared" si="104"/>
        <v>-400</v>
      </c>
      <c r="G335" s="763">
        <f t="shared" si="104"/>
        <v>-400</v>
      </c>
      <c r="H335" s="763">
        <f t="shared" si="104"/>
        <v>-500</v>
      </c>
      <c r="I335" s="763">
        <f t="shared" si="104"/>
        <v>-500</v>
      </c>
      <c r="J335" s="763">
        <f t="shared" si="104"/>
        <v>-500</v>
      </c>
      <c r="K335" s="763">
        <f t="shared" si="104"/>
        <v>-400</v>
      </c>
      <c r="L335" s="763">
        <f t="shared" si="104"/>
        <v>-310</v>
      </c>
      <c r="M335" s="678">
        <f t="shared" si="104"/>
        <v>-200</v>
      </c>
      <c r="N335" s="678"/>
      <c r="O335" s="678"/>
      <c r="P335" s="678"/>
    </row>
    <row r="336" spans="1:16" s="80" customFormat="1" ht="18.75" customHeight="1" thickBot="1" thickTop="1">
      <c r="A336" s="650">
        <v>750</v>
      </c>
      <c r="B336" s="650"/>
      <c r="C336" s="764" t="s">
        <v>439</v>
      </c>
      <c r="D336" s="743">
        <f t="shared" si="102"/>
        <v>-3500</v>
      </c>
      <c r="E336" s="743">
        <f t="shared" si="104"/>
        <v>-290</v>
      </c>
      <c r="F336" s="743">
        <f t="shared" si="104"/>
        <v>-400</v>
      </c>
      <c r="G336" s="743">
        <f t="shared" si="104"/>
        <v>-400</v>
      </c>
      <c r="H336" s="743">
        <f t="shared" si="104"/>
        <v>-500</v>
      </c>
      <c r="I336" s="743">
        <f t="shared" si="104"/>
        <v>-500</v>
      </c>
      <c r="J336" s="743">
        <f t="shared" si="104"/>
        <v>-500</v>
      </c>
      <c r="K336" s="743">
        <f t="shared" si="104"/>
        <v>-400</v>
      </c>
      <c r="L336" s="743">
        <f t="shared" si="104"/>
        <v>-310</v>
      </c>
      <c r="M336" s="743">
        <f t="shared" si="104"/>
        <v>-200</v>
      </c>
      <c r="N336" s="743"/>
      <c r="O336" s="743"/>
      <c r="P336" s="743"/>
    </row>
    <row r="337" spans="1:16" ht="18.75" customHeight="1">
      <c r="A337" s="639"/>
      <c r="B337" s="652">
        <v>75095</v>
      </c>
      <c r="C337" s="653" t="s">
        <v>100</v>
      </c>
      <c r="D337" s="664">
        <f t="shared" si="102"/>
        <v>-3500</v>
      </c>
      <c r="E337" s="664">
        <v>-290</v>
      </c>
      <c r="F337" s="664">
        <v>-400</v>
      </c>
      <c r="G337" s="664">
        <v>-400</v>
      </c>
      <c r="H337" s="664">
        <v>-500</v>
      </c>
      <c r="I337" s="664">
        <v>-500</v>
      </c>
      <c r="J337" s="664">
        <v>-500</v>
      </c>
      <c r="K337" s="664">
        <v>-400</v>
      </c>
      <c r="L337" s="664">
        <v>-310</v>
      </c>
      <c r="M337" s="664">
        <v>-200</v>
      </c>
      <c r="N337" s="664"/>
      <c r="O337" s="664"/>
      <c r="P337" s="664"/>
    </row>
    <row r="338" spans="1:16" ht="28.5" customHeight="1">
      <c r="A338" s="639"/>
      <c r="B338" s="1084"/>
      <c r="C338" s="640" t="s">
        <v>778</v>
      </c>
      <c r="D338" s="641">
        <f t="shared" si="102"/>
        <v>3670</v>
      </c>
      <c r="E338" s="641">
        <f aca="true" t="shared" si="105" ref="E338:M338">E339+E342</f>
        <v>290</v>
      </c>
      <c r="F338" s="641">
        <f t="shared" si="105"/>
        <v>210</v>
      </c>
      <c r="G338" s="641">
        <f t="shared" si="105"/>
        <v>680</v>
      </c>
      <c r="H338" s="641">
        <f t="shared" si="105"/>
        <v>830</v>
      </c>
      <c r="I338" s="641">
        <f t="shared" si="105"/>
        <v>540</v>
      </c>
      <c r="J338" s="641">
        <f t="shared" si="105"/>
        <v>407</v>
      </c>
      <c r="K338" s="641">
        <f t="shared" si="105"/>
        <v>237</v>
      </c>
      <c r="L338" s="641">
        <f t="shared" si="105"/>
        <v>237</v>
      </c>
      <c r="M338" s="641">
        <f t="shared" si="105"/>
        <v>239</v>
      </c>
      <c r="N338" s="641"/>
      <c r="O338" s="641"/>
      <c r="P338" s="641"/>
    </row>
    <row r="339" spans="1:16" s="648" customFormat="1" ht="21" customHeight="1" thickBot="1">
      <c r="A339" s="644"/>
      <c r="B339" s="644"/>
      <c r="C339" s="645" t="s">
        <v>461</v>
      </c>
      <c r="D339" s="725">
        <f t="shared" si="102"/>
        <v>170</v>
      </c>
      <c r="E339" s="725"/>
      <c r="F339" s="725"/>
      <c r="G339" s="725"/>
      <c r="H339" s="725"/>
      <c r="I339" s="725"/>
      <c r="J339" s="725">
        <f>J340</f>
        <v>170</v>
      </c>
      <c r="K339" s="725"/>
      <c r="L339" s="725"/>
      <c r="M339" s="725"/>
      <c r="N339" s="725"/>
      <c r="O339" s="725"/>
      <c r="P339" s="725"/>
    </row>
    <row r="340" spans="1:16" s="80" customFormat="1" ht="21" customHeight="1" thickBot="1" thickTop="1">
      <c r="A340" s="760" t="s">
        <v>1022</v>
      </c>
      <c r="B340" s="688"/>
      <c r="C340" s="734" t="s">
        <v>1023</v>
      </c>
      <c r="D340" s="735">
        <f t="shared" si="102"/>
        <v>170</v>
      </c>
      <c r="E340" s="735"/>
      <c r="F340" s="735"/>
      <c r="G340" s="735"/>
      <c r="H340" s="735"/>
      <c r="I340" s="735"/>
      <c r="J340" s="735">
        <f>J341</f>
        <v>170</v>
      </c>
      <c r="K340" s="735"/>
      <c r="L340" s="735"/>
      <c r="M340" s="735"/>
      <c r="N340" s="735"/>
      <c r="O340" s="735"/>
      <c r="P340" s="735"/>
    </row>
    <row r="341" spans="1:16" s="643" customFormat="1" ht="21" customHeight="1">
      <c r="A341" s="740"/>
      <c r="B341" s="761" t="s">
        <v>743</v>
      </c>
      <c r="C341" s="673" t="s">
        <v>100</v>
      </c>
      <c r="D341" s="674">
        <f aca="true" t="shared" si="106" ref="D341:D346">SUM(E341:P341)</f>
        <v>170</v>
      </c>
      <c r="E341" s="674"/>
      <c r="F341" s="674"/>
      <c r="G341" s="674"/>
      <c r="H341" s="674"/>
      <c r="I341" s="674"/>
      <c r="J341" s="674">
        <v>170</v>
      </c>
      <c r="K341" s="674"/>
      <c r="L341" s="674"/>
      <c r="M341" s="674"/>
      <c r="N341" s="674"/>
      <c r="O341" s="674"/>
      <c r="P341" s="674"/>
    </row>
    <row r="342" spans="1:16" s="648" customFormat="1" ht="22.5" customHeight="1" thickBot="1">
      <c r="A342" s="644"/>
      <c r="B342" s="644"/>
      <c r="C342" s="762" t="s">
        <v>101</v>
      </c>
      <c r="D342" s="763">
        <f t="shared" si="106"/>
        <v>3500</v>
      </c>
      <c r="E342" s="763">
        <f aca="true" t="shared" si="107" ref="E342:M343">E343</f>
        <v>290</v>
      </c>
      <c r="F342" s="763">
        <f t="shared" si="107"/>
        <v>210</v>
      </c>
      <c r="G342" s="763">
        <f t="shared" si="107"/>
        <v>680</v>
      </c>
      <c r="H342" s="763">
        <f t="shared" si="107"/>
        <v>830</v>
      </c>
      <c r="I342" s="763">
        <f t="shared" si="107"/>
        <v>540</v>
      </c>
      <c r="J342" s="763">
        <f t="shared" si="107"/>
        <v>237</v>
      </c>
      <c r="K342" s="763">
        <f t="shared" si="107"/>
        <v>237</v>
      </c>
      <c r="L342" s="763">
        <f t="shared" si="107"/>
        <v>237</v>
      </c>
      <c r="M342" s="678">
        <f t="shared" si="107"/>
        <v>239</v>
      </c>
      <c r="N342" s="678"/>
      <c r="O342" s="678"/>
      <c r="P342" s="678"/>
    </row>
    <row r="343" spans="1:16" s="80" customFormat="1" ht="18.75" customHeight="1" thickBot="1" thickTop="1">
      <c r="A343" s="650">
        <v>750</v>
      </c>
      <c r="B343" s="650"/>
      <c r="C343" s="764" t="s">
        <v>439</v>
      </c>
      <c r="D343" s="743">
        <f t="shared" si="106"/>
        <v>3500</v>
      </c>
      <c r="E343" s="743">
        <f t="shared" si="107"/>
        <v>290</v>
      </c>
      <c r="F343" s="743">
        <f t="shared" si="107"/>
        <v>210</v>
      </c>
      <c r="G343" s="743">
        <f t="shared" si="107"/>
        <v>680</v>
      </c>
      <c r="H343" s="743">
        <f t="shared" si="107"/>
        <v>830</v>
      </c>
      <c r="I343" s="743">
        <f t="shared" si="107"/>
        <v>540</v>
      </c>
      <c r="J343" s="743">
        <f t="shared" si="107"/>
        <v>237</v>
      </c>
      <c r="K343" s="743">
        <f t="shared" si="107"/>
        <v>237</v>
      </c>
      <c r="L343" s="743">
        <f t="shared" si="107"/>
        <v>237</v>
      </c>
      <c r="M343" s="743">
        <f t="shared" si="107"/>
        <v>239</v>
      </c>
      <c r="N343" s="743"/>
      <c r="O343" s="743"/>
      <c r="P343" s="743"/>
    </row>
    <row r="344" spans="1:16" ht="18.75" customHeight="1">
      <c r="A344" s="639"/>
      <c r="B344" s="652">
        <v>75095</v>
      </c>
      <c r="C344" s="653" t="s">
        <v>100</v>
      </c>
      <c r="D344" s="664">
        <f t="shared" si="106"/>
        <v>3500</v>
      </c>
      <c r="E344" s="664">
        <v>290</v>
      </c>
      <c r="F344" s="664">
        <v>210</v>
      </c>
      <c r="G344" s="664">
        <v>680</v>
      </c>
      <c r="H344" s="664">
        <v>830</v>
      </c>
      <c r="I344" s="664">
        <v>540</v>
      </c>
      <c r="J344" s="664">
        <v>237</v>
      </c>
      <c r="K344" s="664">
        <v>237</v>
      </c>
      <c r="L344" s="664">
        <v>237</v>
      </c>
      <c r="M344" s="664">
        <v>239</v>
      </c>
      <c r="N344" s="664"/>
      <c r="O344" s="664"/>
      <c r="P344" s="664"/>
    </row>
    <row r="345" spans="1:16" ht="27.75" customHeight="1">
      <c r="A345" s="639"/>
      <c r="B345" s="639"/>
      <c r="C345" s="640" t="s">
        <v>779</v>
      </c>
      <c r="D345" s="641">
        <f t="shared" si="106"/>
        <v>35274876</v>
      </c>
      <c r="E345" s="641">
        <f>E346</f>
        <v>2831295</v>
      </c>
      <c r="F345" s="641">
        <f aca="true" t="shared" si="108" ref="F345:P345">F346</f>
        <v>3288030</v>
      </c>
      <c r="G345" s="641">
        <f t="shared" si="108"/>
        <v>5744500</v>
      </c>
      <c r="H345" s="641">
        <f t="shared" si="108"/>
        <v>2351652</v>
      </c>
      <c r="I345" s="641">
        <f t="shared" si="108"/>
        <v>3904602</v>
      </c>
      <c r="J345" s="641">
        <f t="shared" si="108"/>
        <v>3285493</v>
      </c>
      <c r="K345" s="641">
        <f t="shared" si="108"/>
        <v>1609717</v>
      </c>
      <c r="L345" s="641">
        <f t="shared" si="108"/>
        <v>1809717</v>
      </c>
      <c r="M345" s="641">
        <f t="shared" si="108"/>
        <v>2989717</v>
      </c>
      <c r="N345" s="641">
        <f t="shared" si="108"/>
        <v>1544717</v>
      </c>
      <c r="O345" s="641">
        <f t="shared" si="108"/>
        <v>3489717</v>
      </c>
      <c r="P345" s="641">
        <f t="shared" si="108"/>
        <v>2425719</v>
      </c>
    </row>
    <row r="346" spans="1:16" s="648" customFormat="1" ht="21" customHeight="1" thickBot="1">
      <c r="A346" s="644"/>
      <c r="B346" s="644"/>
      <c r="C346" s="645" t="s">
        <v>461</v>
      </c>
      <c r="D346" s="725">
        <f t="shared" si="106"/>
        <v>35274876</v>
      </c>
      <c r="E346" s="725">
        <f aca="true" t="shared" si="109" ref="E346:P346">E347+E350</f>
        <v>2831295</v>
      </c>
      <c r="F346" s="725">
        <f t="shared" si="109"/>
        <v>3288030</v>
      </c>
      <c r="G346" s="725">
        <f t="shared" si="109"/>
        <v>5744500</v>
      </c>
      <c r="H346" s="725">
        <f t="shared" si="109"/>
        <v>2351652</v>
      </c>
      <c r="I346" s="725">
        <f t="shared" si="109"/>
        <v>3904602</v>
      </c>
      <c r="J346" s="725">
        <f t="shared" si="109"/>
        <v>3285493</v>
      </c>
      <c r="K346" s="725">
        <f t="shared" si="109"/>
        <v>1609717</v>
      </c>
      <c r="L346" s="725">
        <f t="shared" si="109"/>
        <v>1809717</v>
      </c>
      <c r="M346" s="725">
        <f t="shared" si="109"/>
        <v>2989717</v>
      </c>
      <c r="N346" s="725">
        <f t="shared" si="109"/>
        <v>1544717</v>
      </c>
      <c r="O346" s="725">
        <f t="shared" si="109"/>
        <v>3489717</v>
      </c>
      <c r="P346" s="725">
        <f t="shared" si="109"/>
        <v>2425719</v>
      </c>
    </row>
    <row r="347" spans="1:16" s="80" customFormat="1" ht="21" customHeight="1" thickBot="1" thickTop="1">
      <c r="A347" s="675">
        <v>700</v>
      </c>
      <c r="B347" s="675"/>
      <c r="C347" s="666" t="s">
        <v>271</v>
      </c>
      <c r="D347" s="667">
        <f>SUM(E347:P347)</f>
        <v>34474876</v>
      </c>
      <c r="E347" s="667">
        <f>E349+E348</f>
        <v>2831295</v>
      </c>
      <c r="F347" s="667">
        <f aca="true" t="shared" si="110" ref="F347:P347">F349+F348</f>
        <v>3288030</v>
      </c>
      <c r="G347" s="667">
        <f t="shared" si="110"/>
        <v>5744500</v>
      </c>
      <c r="H347" s="667">
        <f t="shared" si="110"/>
        <v>2351652</v>
      </c>
      <c r="I347" s="667">
        <f t="shared" si="110"/>
        <v>3904602</v>
      </c>
      <c r="J347" s="667">
        <f t="shared" si="110"/>
        <v>2885493</v>
      </c>
      <c r="K347" s="667">
        <f t="shared" si="110"/>
        <v>1209717</v>
      </c>
      <c r="L347" s="667">
        <f t="shared" si="110"/>
        <v>1809717</v>
      </c>
      <c r="M347" s="667">
        <f t="shared" si="110"/>
        <v>2989717</v>
      </c>
      <c r="N347" s="667">
        <f t="shared" si="110"/>
        <v>1544717</v>
      </c>
      <c r="O347" s="667">
        <f t="shared" si="110"/>
        <v>3489717</v>
      </c>
      <c r="P347" s="667">
        <f t="shared" si="110"/>
        <v>2425719</v>
      </c>
    </row>
    <row r="348" spans="1:16" s="80" customFormat="1" ht="21" customHeight="1">
      <c r="A348" s="775"/>
      <c r="B348" s="776">
        <v>70001</v>
      </c>
      <c r="C348" s="673" t="s">
        <v>434</v>
      </c>
      <c r="D348" s="727">
        <f>SUM(E348:P348)</f>
        <v>2100</v>
      </c>
      <c r="E348" s="727">
        <v>295</v>
      </c>
      <c r="F348" s="727">
        <v>30</v>
      </c>
      <c r="G348" s="727"/>
      <c r="H348" s="727">
        <v>152</v>
      </c>
      <c r="I348" s="727">
        <v>102</v>
      </c>
      <c r="J348" s="727">
        <v>217</v>
      </c>
      <c r="K348" s="727">
        <v>217</v>
      </c>
      <c r="L348" s="727">
        <v>217</v>
      </c>
      <c r="M348" s="727">
        <v>217</v>
      </c>
      <c r="N348" s="727">
        <v>217</v>
      </c>
      <c r="O348" s="727">
        <v>217</v>
      </c>
      <c r="P348" s="727">
        <v>219</v>
      </c>
    </row>
    <row r="349" spans="1:16" ht="21" customHeight="1">
      <c r="A349" s="652"/>
      <c r="B349" s="652">
        <v>70005</v>
      </c>
      <c r="C349" s="653" t="s">
        <v>435</v>
      </c>
      <c r="D349" s="664">
        <f>SUM(E349:P349)</f>
        <v>34472776</v>
      </c>
      <c r="E349" s="664">
        <v>2831000</v>
      </c>
      <c r="F349" s="664">
        <v>3288000</v>
      </c>
      <c r="G349" s="664">
        <v>5744500</v>
      </c>
      <c r="H349" s="664">
        <v>2351500</v>
      </c>
      <c r="I349" s="664">
        <v>3904500</v>
      </c>
      <c r="J349" s="664">
        <f>1759500+1125776</f>
        <v>2885276</v>
      </c>
      <c r="K349" s="664">
        <v>1209500</v>
      </c>
      <c r="L349" s="664">
        <v>1809500</v>
      </c>
      <c r="M349" s="664">
        <v>2989500</v>
      </c>
      <c r="N349" s="664">
        <v>1544500</v>
      </c>
      <c r="O349" s="664">
        <v>3489500</v>
      </c>
      <c r="P349" s="664">
        <v>2425500</v>
      </c>
    </row>
    <row r="350" spans="1:16" s="80" customFormat="1" ht="64.5" customHeight="1" thickBot="1">
      <c r="A350" s="669">
        <v>756</v>
      </c>
      <c r="B350" s="669"/>
      <c r="C350" s="736" t="s">
        <v>380</v>
      </c>
      <c r="D350" s="737">
        <f>SUM(E350:P350)</f>
        <v>800000</v>
      </c>
      <c r="E350" s="737"/>
      <c r="F350" s="737"/>
      <c r="G350" s="737"/>
      <c r="H350" s="737"/>
      <c r="I350" s="737"/>
      <c r="J350" s="737">
        <f>J351</f>
        <v>400000</v>
      </c>
      <c r="K350" s="737">
        <f>K351</f>
        <v>400000</v>
      </c>
      <c r="L350" s="737"/>
      <c r="M350" s="737"/>
      <c r="N350" s="737"/>
      <c r="O350" s="737"/>
      <c r="P350" s="737"/>
    </row>
    <row r="351" spans="1:16" ht="32.25" customHeight="1">
      <c r="A351" s="740"/>
      <c r="B351" s="672">
        <v>75605</v>
      </c>
      <c r="C351" s="673" t="s">
        <v>940</v>
      </c>
      <c r="D351" s="674">
        <f>SUM(E351:P351)</f>
        <v>800000</v>
      </c>
      <c r="E351" s="674"/>
      <c r="F351" s="674"/>
      <c r="G351" s="674"/>
      <c r="H351" s="674"/>
      <c r="I351" s="674"/>
      <c r="J351" s="674">
        <v>400000</v>
      </c>
      <c r="K351" s="674">
        <v>400000</v>
      </c>
      <c r="L351" s="674"/>
      <c r="M351" s="674"/>
      <c r="N351" s="674"/>
      <c r="O351" s="674"/>
      <c r="P351" s="674"/>
    </row>
    <row r="352" spans="1:16" ht="23.25" customHeight="1">
      <c r="A352" s="639"/>
      <c r="B352" s="639"/>
      <c r="C352" s="640" t="s">
        <v>1085</v>
      </c>
      <c r="D352" s="641">
        <f t="shared" si="102"/>
        <v>-4173045</v>
      </c>
      <c r="E352" s="641">
        <f aca="true" t="shared" si="111" ref="E352:P352">E353+E361</f>
        <v>-363600</v>
      </c>
      <c r="F352" s="641">
        <f t="shared" si="111"/>
        <v>-256500</v>
      </c>
      <c r="G352" s="641">
        <f t="shared" si="111"/>
        <v>-194300</v>
      </c>
      <c r="H352" s="641">
        <f t="shared" si="111"/>
        <v>-299400</v>
      </c>
      <c r="I352" s="641">
        <f t="shared" si="111"/>
        <v>-484500</v>
      </c>
      <c r="J352" s="641">
        <f t="shared" si="111"/>
        <v>-344500</v>
      </c>
      <c r="K352" s="641">
        <f t="shared" si="111"/>
        <v>-804100</v>
      </c>
      <c r="L352" s="641">
        <f t="shared" si="111"/>
        <v>-345345</v>
      </c>
      <c r="M352" s="641">
        <f t="shared" si="111"/>
        <v>-214500</v>
      </c>
      <c r="N352" s="641">
        <f t="shared" si="111"/>
        <v>-374500</v>
      </c>
      <c r="O352" s="641">
        <f t="shared" si="111"/>
        <v>-217500</v>
      </c>
      <c r="P352" s="641">
        <f t="shared" si="111"/>
        <v>-274300</v>
      </c>
    </row>
    <row r="353" spans="1:16" s="648" customFormat="1" ht="20.25" customHeight="1" thickBot="1">
      <c r="A353" s="644"/>
      <c r="B353" s="644"/>
      <c r="C353" s="645" t="s">
        <v>461</v>
      </c>
      <c r="D353" s="725">
        <f t="shared" si="102"/>
        <v>-1153045</v>
      </c>
      <c r="E353" s="725">
        <f>E354+E356+E358</f>
        <v>-102400</v>
      </c>
      <c r="F353" s="725">
        <f aca="true" t="shared" si="112" ref="F353:P353">F354+F356+F358</f>
        <v>-14700</v>
      </c>
      <c r="G353" s="725">
        <f t="shared" si="112"/>
        <v>-22700</v>
      </c>
      <c r="H353" s="725">
        <f t="shared" si="112"/>
        <v>-47700</v>
      </c>
      <c r="I353" s="725">
        <f t="shared" si="112"/>
        <v>-92700</v>
      </c>
      <c r="J353" s="725">
        <f t="shared" si="112"/>
        <v>-62700</v>
      </c>
      <c r="K353" s="725">
        <f t="shared" si="112"/>
        <v>-582700</v>
      </c>
      <c r="L353" s="725">
        <f t="shared" si="112"/>
        <v>-83745</v>
      </c>
      <c r="M353" s="725">
        <f t="shared" si="112"/>
        <v>-52700</v>
      </c>
      <c r="N353" s="725">
        <f t="shared" si="112"/>
        <v>-62700</v>
      </c>
      <c r="O353" s="725">
        <f t="shared" si="112"/>
        <v>-15700</v>
      </c>
      <c r="P353" s="725">
        <f t="shared" si="112"/>
        <v>-12600</v>
      </c>
    </row>
    <row r="354" spans="1:16" s="648" customFormat="1" ht="21" customHeight="1" thickBot="1" thickTop="1">
      <c r="A354" s="726">
        <v>600</v>
      </c>
      <c r="B354" s="655"/>
      <c r="C354" s="765" t="s">
        <v>525</v>
      </c>
      <c r="D354" s="735">
        <f t="shared" si="102"/>
        <v>-600000</v>
      </c>
      <c r="E354" s="735">
        <f aca="true" t="shared" si="113" ref="E354:P354">E355</f>
        <v>-100000</v>
      </c>
      <c r="F354" s="735">
        <f t="shared" si="113"/>
        <v>-12000</v>
      </c>
      <c r="G354" s="735">
        <f t="shared" si="113"/>
        <v>-20000</v>
      </c>
      <c r="H354" s="735">
        <f t="shared" si="113"/>
        <v>-45000</v>
      </c>
      <c r="I354" s="735">
        <f t="shared" si="113"/>
        <v>-90000</v>
      </c>
      <c r="J354" s="735">
        <f t="shared" si="113"/>
        <v>-60000</v>
      </c>
      <c r="K354" s="735">
        <f t="shared" si="113"/>
        <v>-80000</v>
      </c>
      <c r="L354" s="735">
        <f t="shared" si="113"/>
        <v>-60000</v>
      </c>
      <c r="M354" s="690">
        <f t="shared" si="113"/>
        <v>-50000</v>
      </c>
      <c r="N354" s="690">
        <f t="shared" si="113"/>
        <v>-60000</v>
      </c>
      <c r="O354" s="690">
        <f t="shared" si="113"/>
        <v>-13000</v>
      </c>
      <c r="P354" s="690">
        <f t="shared" si="113"/>
        <v>-10000</v>
      </c>
    </row>
    <row r="355" spans="1:16" s="648" customFormat="1" ht="21" customHeight="1">
      <c r="A355" s="691"/>
      <c r="B355" s="672">
        <v>60016</v>
      </c>
      <c r="C355" s="730" t="s">
        <v>1114</v>
      </c>
      <c r="D355" s="674">
        <f t="shared" si="102"/>
        <v>-600000</v>
      </c>
      <c r="E355" s="674">
        <v>-100000</v>
      </c>
      <c r="F355" s="674">
        <v>-12000</v>
      </c>
      <c r="G355" s="674">
        <v>-20000</v>
      </c>
      <c r="H355" s="674">
        <v>-45000</v>
      </c>
      <c r="I355" s="674">
        <v>-90000</v>
      </c>
      <c r="J355" s="674">
        <v>-60000</v>
      </c>
      <c r="K355" s="674">
        <v>-80000</v>
      </c>
      <c r="L355" s="674">
        <v>-60000</v>
      </c>
      <c r="M355" s="693">
        <v>-50000</v>
      </c>
      <c r="N355" s="693">
        <v>-60000</v>
      </c>
      <c r="O355" s="693">
        <v>-13000</v>
      </c>
      <c r="P355" s="693">
        <v>-10000</v>
      </c>
    </row>
    <row r="356" spans="1:16" s="80" customFormat="1" ht="63" customHeight="1" thickBot="1">
      <c r="A356" s="669">
        <v>756</v>
      </c>
      <c r="B356" s="669"/>
      <c r="C356" s="736" t="s">
        <v>380</v>
      </c>
      <c r="D356" s="729">
        <f t="shared" si="102"/>
        <v>-20000</v>
      </c>
      <c r="E356" s="729">
        <f aca="true" t="shared" si="114" ref="E356:P356">E357</f>
        <v>-1400</v>
      </c>
      <c r="F356" s="729">
        <f t="shared" si="114"/>
        <v>-1700</v>
      </c>
      <c r="G356" s="729">
        <f t="shared" si="114"/>
        <v>-1700</v>
      </c>
      <c r="H356" s="729">
        <f t="shared" si="114"/>
        <v>-1700</v>
      </c>
      <c r="I356" s="729">
        <f t="shared" si="114"/>
        <v>-1700</v>
      </c>
      <c r="J356" s="729">
        <f t="shared" si="114"/>
        <v>-1700</v>
      </c>
      <c r="K356" s="729">
        <f t="shared" si="114"/>
        <v>-1700</v>
      </c>
      <c r="L356" s="729">
        <f t="shared" si="114"/>
        <v>-1700</v>
      </c>
      <c r="M356" s="737">
        <f t="shared" si="114"/>
        <v>-1700</v>
      </c>
      <c r="N356" s="737">
        <f t="shared" si="114"/>
        <v>-1700</v>
      </c>
      <c r="O356" s="737">
        <f t="shared" si="114"/>
        <v>-1700</v>
      </c>
      <c r="P356" s="737">
        <f t="shared" si="114"/>
        <v>-1600</v>
      </c>
    </row>
    <row r="357" spans="1:16" ht="48" customHeight="1">
      <c r="A357" s="740"/>
      <c r="B357" s="672">
        <v>75618</v>
      </c>
      <c r="C357" s="766" t="s">
        <v>989</v>
      </c>
      <c r="D357" s="674">
        <f t="shared" si="102"/>
        <v>-20000</v>
      </c>
      <c r="E357" s="674">
        <v>-1400</v>
      </c>
      <c r="F357" s="674">
        <v>-1700</v>
      </c>
      <c r="G357" s="674">
        <v>-1700</v>
      </c>
      <c r="H357" s="674">
        <v>-1700</v>
      </c>
      <c r="I357" s="674">
        <v>-1700</v>
      </c>
      <c r="J357" s="674">
        <v>-1700</v>
      </c>
      <c r="K357" s="674">
        <v>-1700</v>
      </c>
      <c r="L357" s="674">
        <v>-1700</v>
      </c>
      <c r="M357" s="674">
        <v>-1700</v>
      </c>
      <c r="N357" s="674">
        <v>-1700</v>
      </c>
      <c r="O357" s="674">
        <v>-1700</v>
      </c>
      <c r="P357" s="674">
        <v>-1600</v>
      </c>
    </row>
    <row r="358" spans="1:16" s="80" customFormat="1" ht="31.5" customHeight="1" thickBot="1">
      <c r="A358" s="665">
        <v>900</v>
      </c>
      <c r="B358" s="665"/>
      <c r="C358" s="675" t="s">
        <v>1048</v>
      </c>
      <c r="D358" s="683">
        <f t="shared" si="102"/>
        <v>-533045</v>
      </c>
      <c r="E358" s="683">
        <f aca="true" t="shared" si="115" ref="E358:P358">SUM(E359:E360)</f>
        <v>-1000</v>
      </c>
      <c r="F358" s="683">
        <f t="shared" si="115"/>
        <v>-1000</v>
      </c>
      <c r="G358" s="683">
        <f t="shared" si="115"/>
        <v>-1000</v>
      </c>
      <c r="H358" s="683">
        <f t="shared" si="115"/>
        <v>-1000</v>
      </c>
      <c r="I358" s="683">
        <f t="shared" si="115"/>
        <v>-1000</v>
      </c>
      <c r="J358" s="683">
        <f t="shared" si="115"/>
        <v>-1000</v>
      </c>
      <c r="K358" s="683">
        <f t="shared" si="115"/>
        <v>-501000</v>
      </c>
      <c r="L358" s="683">
        <f t="shared" si="115"/>
        <v>-22045</v>
      </c>
      <c r="M358" s="667">
        <f t="shared" si="115"/>
        <v>-1000</v>
      </c>
      <c r="N358" s="667">
        <f t="shared" si="115"/>
        <v>-1000</v>
      </c>
      <c r="O358" s="667">
        <f t="shared" si="115"/>
        <v>-1000</v>
      </c>
      <c r="P358" s="667">
        <f t="shared" si="115"/>
        <v>-1000</v>
      </c>
    </row>
    <row r="359" spans="1:25" ht="21" customHeight="1">
      <c r="A359" s="639"/>
      <c r="B359" s="652">
        <v>90013</v>
      </c>
      <c r="C359" s="653" t="s">
        <v>1001</v>
      </c>
      <c r="D359" s="664">
        <f t="shared" si="102"/>
        <v>-12000</v>
      </c>
      <c r="E359" s="664">
        <v>-1000</v>
      </c>
      <c r="F359" s="664">
        <v>-1000</v>
      </c>
      <c r="G359" s="664">
        <v>-1000</v>
      </c>
      <c r="H359" s="664">
        <v>-1000</v>
      </c>
      <c r="I359" s="664">
        <v>-1000</v>
      </c>
      <c r="J359" s="664">
        <v>-1000</v>
      </c>
      <c r="K359" s="664">
        <v>-1000</v>
      </c>
      <c r="L359" s="664">
        <v>-1000</v>
      </c>
      <c r="M359" s="664">
        <v>-1000</v>
      </c>
      <c r="N359" s="664">
        <v>-1000</v>
      </c>
      <c r="O359" s="664">
        <v>-1000</v>
      </c>
      <c r="P359" s="664">
        <v>-1000</v>
      </c>
      <c r="W359" s="643"/>
      <c r="X359" s="643"/>
      <c r="Y359" s="643"/>
    </row>
    <row r="360" spans="1:17" s="643" customFormat="1" ht="21" customHeight="1">
      <c r="A360" s="639"/>
      <c r="B360" s="719">
        <v>90095</v>
      </c>
      <c r="C360" s="767" t="s">
        <v>100</v>
      </c>
      <c r="D360" s="748">
        <f t="shared" si="102"/>
        <v>-521045</v>
      </c>
      <c r="E360" s="748"/>
      <c r="F360" s="748"/>
      <c r="G360" s="748"/>
      <c r="H360" s="748"/>
      <c r="I360" s="748"/>
      <c r="J360" s="748"/>
      <c r="K360" s="748">
        <v>-500000</v>
      </c>
      <c r="L360" s="748">
        <v>-21045</v>
      </c>
      <c r="M360" s="748"/>
      <c r="N360" s="748"/>
      <c r="O360" s="748"/>
      <c r="P360" s="748"/>
      <c r="Q360" s="642"/>
    </row>
    <row r="361" spans="1:16" s="648" customFormat="1" ht="20.25" customHeight="1" thickBot="1">
      <c r="A361" s="644"/>
      <c r="B361" s="644"/>
      <c r="C361" s="645" t="s">
        <v>101</v>
      </c>
      <c r="D361" s="725">
        <f t="shared" si="102"/>
        <v>-3020000</v>
      </c>
      <c r="E361" s="725">
        <f aca="true" t="shared" si="116" ref="E361:P362">E362</f>
        <v>-261200</v>
      </c>
      <c r="F361" s="725">
        <f t="shared" si="116"/>
        <v>-241800</v>
      </c>
      <c r="G361" s="725">
        <f t="shared" si="116"/>
        <v>-171600</v>
      </c>
      <c r="H361" s="725">
        <f t="shared" si="116"/>
        <v>-251700</v>
      </c>
      <c r="I361" s="725">
        <f t="shared" si="116"/>
        <v>-391800</v>
      </c>
      <c r="J361" s="725">
        <f t="shared" si="116"/>
        <v>-281800</v>
      </c>
      <c r="K361" s="725">
        <f t="shared" si="116"/>
        <v>-221400</v>
      </c>
      <c r="L361" s="725">
        <f t="shared" si="116"/>
        <v>-261600</v>
      </c>
      <c r="M361" s="647">
        <f t="shared" si="116"/>
        <v>-161800</v>
      </c>
      <c r="N361" s="647">
        <f t="shared" si="116"/>
        <v>-311800</v>
      </c>
      <c r="O361" s="647">
        <f t="shared" si="116"/>
        <v>-201800</v>
      </c>
      <c r="P361" s="647">
        <f t="shared" si="116"/>
        <v>-261700</v>
      </c>
    </row>
    <row r="362" spans="1:16" s="648" customFormat="1" ht="21" customHeight="1" thickBot="1" thickTop="1">
      <c r="A362" s="726">
        <v>600</v>
      </c>
      <c r="B362" s="655"/>
      <c r="C362" s="765" t="s">
        <v>525</v>
      </c>
      <c r="D362" s="735">
        <f t="shared" si="102"/>
        <v>-3020000</v>
      </c>
      <c r="E362" s="735">
        <f t="shared" si="116"/>
        <v>-261200</v>
      </c>
      <c r="F362" s="735">
        <f t="shared" si="116"/>
        <v>-241800</v>
      </c>
      <c r="G362" s="735">
        <f t="shared" si="116"/>
        <v>-171600</v>
      </c>
      <c r="H362" s="735">
        <f t="shared" si="116"/>
        <v>-251700</v>
      </c>
      <c r="I362" s="735">
        <f t="shared" si="116"/>
        <v>-391800</v>
      </c>
      <c r="J362" s="735">
        <f t="shared" si="116"/>
        <v>-281800</v>
      </c>
      <c r="K362" s="735">
        <f t="shared" si="116"/>
        <v>-221400</v>
      </c>
      <c r="L362" s="735">
        <f t="shared" si="116"/>
        <v>-261600</v>
      </c>
      <c r="M362" s="690">
        <f t="shared" si="116"/>
        <v>-161800</v>
      </c>
      <c r="N362" s="690">
        <f t="shared" si="116"/>
        <v>-311800</v>
      </c>
      <c r="O362" s="690">
        <f t="shared" si="116"/>
        <v>-201800</v>
      </c>
      <c r="P362" s="690">
        <f t="shared" si="116"/>
        <v>-261700</v>
      </c>
    </row>
    <row r="363" spans="1:16" s="648" customFormat="1" ht="30" customHeight="1">
      <c r="A363" s="718"/>
      <c r="B363" s="672">
        <v>60015</v>
      </c>
      <c r="C363" s="730" t="s">
        <v>1113</v>
      </c>
      <c r="D363" s="674">
        <f t="shared" si="102"/>
        <v>-3020000</v>
      </c>
      <c r="E363" s="674">
        <v>-261200</v>
      </c>
      <c r="F363" s="674">
        <v>-241800</v>
      </c>
      <c r="G363" s="674">
        <v>-171600</v>
      </c>
      <c r="H363" s="674">
        <v>-251700</v>
      </c>
      <c r="I363" s="674">
        <v>-391800</v>
      </c>
      <c r="J363" s="674">
        <v>-281800</v>
      </c>
      <c r="K363" s="674">
        <v>-221400</v>
      </c>
      <c r="L363" s="674">
        <v>-261600</v>
      </c>
      <c r="M363" s="693">
        <v>-161800</v>
      </c>
      <c r="N363" s="693">
        <v>-311800</v>
      </c>
      <c r="O363" s="693">
        <v>-201800</v>
      </c>
      <c r="P363" s="693">
        <v>-261700</v>
      </c>
    </row>
    <row r="364" spans="1:16" ht="23.25" customHeight="1">
      <c r="A364" s="639"/>
      <c r="B364" s="639"/>
      <c r="C364" s="640" t="s">
        <v>1086</v>
      </c>
      <c r="D364" s="641">
        <f aca="true" t="shared" si="117" ref="D364:D369">SUM(E364:P364)</f>
        <v>41045</v>
      </c>
      <c r="E364" s="641">
        <f>E365</f>
        <v>1388</v>
      </c>
      <c r="F364" s="641">
        <f aca="true" t="shared" si="118" ref="F364:P364">F365</f>
        <v>10717</v>
      </c>
      <c r="G364" s="641">
        <f t="shared" si="118"/>
        <v>5552</v>
      </c>
      <c r="H364" s="641">
        <f t="shared" si="118"/>
        <v>357</v>
      </c>
      <c r="I364" s="641">
        <f t="shared" si="118"/>
        <v>1521</v>
      </c>
      <c r="J364" s="641">
        <f t="shared" si="118"/>
        <v>465</v>
      </c>
      <c r="K364" s="641">
        <f t="shared" si="118"/>
        <v>0</v>
      </c>
      <c r="L364" s="641">
        <f t="shared" si="118"/>
        <v>21045</v>
      </c>
      <c r="M364" s="641">
        <f t="shared" si="118"/>
        <v>0</v>
      </c>
      <c r="N364" s="641">
        <f t="shared" si="118"/>
        <v>0</v>
      </c>
      <c r="O364" s="641">
        <f t="shared" si="118"/>
        <v>0</v>
      </c>
      <c r="P364" s="641">
        <f t="shared" si="118"/>
        <v>0</v>
      </c>
    </row>
    <row r="365" spans="1:16" s="648" customFormat="1" ht="20.25" customHeight="1" thickBot="1">
      <c r="A365" s="644"/>
      <c r="B365" s="644"/>
      <c r="C365" s="645" t="s">
        <v>461</v>
      </c>
      <c r="D365" s="725">
        <f t="shared" si="117"/>
        <v>41045</v>
      </c>
      <c r="E365" s="725">
        <f>E366+E368</f>
        <v>1388</v>
      </c>
      <c r="F365" s="725">
        <f aca="true" t="shared" si="119" ref="F365:P365">F366+F368</f>
        <v>10717</v>
      </c>
      <c r="G365" s="725">
        <f t="shared" si="119"/>
        <v>5552</v>
      </c>
      <c r="H365" s="725">
        <f t="shared" si="119"/>
        <v>357</v>
      </c>
      <c r="I365" s="725">
        <f t="shared" si="119"/>
        <v>1521</v>
      </c>
      <c r="J365" s="725">
        <f t="shared" si="119"/>
        <v>465</v>
      </c>
      <c r="K365" s="725">
        <f t="shared" si="119"/>
        <v>0</v>
      </c>
      <c r="L365" s="725">
        <f t="shared" si="119"/>
        <v>21045</v>
      </c>
      <c r="M365" s="725">
        <f t="shared" si="119"/>
        <v>0</v>
      </c>
      <c r="N365" s="725">
        <f t="shared" si="119"/>
        <v>0</v>
      </c>
      <c r="O365" s="725">
        <f t="shared" si="119"/>
        <v>0</v>
      </c>
      <c r="P365" s="725">
        <f t="shared" si="119"/>
        <v>0</v>
      </c>
    </row>
    <row r="366" spans="1:16" s="80" customFormat="1" ht="63" customHeight="1" thickBot="1" thickTop="1">
      <c r="A366" s="669">
        <v>756</v>
      </c>
      <c r="B366" s="669"/>
      <c r="C366" s="736" t="s">
        <v>380</v>
      </c>
      <c r="D366" s="729">
        <f t="shared" si="117"/>
        <v>20000</v>
      </c>
      <c r="E366" s="729">
        <f aca="true" t="shared" si="120" ref="E366:J366">E367</f>
        <v>1388</v>
      </c>
      <c r="F366" s="729">
        <f t="shared" si="120"/>
        <v>10717</v>
      </c>
      <c r="G366" s="729">
        <f t="shared" si="120"/>
        <v>5552</v>
      </c>
      <c r="H366" s="729">
        <f t="shared" si="120"/>
        <v>357</v>
      </c>
      <c r="I366" s="729">
        <f t="shared" si="120"/>
        <v>1521</v>
      </c>
      <c r="J366" s="729">
        <f t="shared" si="120"/>
        <v>465</v>
      </c>
      <c r="K366" s="729"/>
      <c r="L366" s="729"/>
      <c r="M366" s="737"/>
      <c r="N366" s="737"/>
      <c r="O366" s="737"/>
      <c r="P366" s="737"/>
    </row>
    <row r="367" spans="1:16" ht="48" customHeight="1">
      <c r="A367" s="740"/>
      <c r="B367" s="672">
        <v>75618</v>
      </c>
      <c r="C367" s="766" t="s">
        <v>989</v>
      </c>
      <c r="D367" s="674">
        <f t="shared" si="117"/>
        <v>20000</v>
      </c>
      <c r="E367" s="674">
        <v>1388</v>
      </c>
      <c r="F367" s="674">
        <v>10717</v>
      </c>
      <c r="G367" s="674">
        <v>5552</v>
      </c>
      <c r="H367" s="674">
        <v>357</v>
      </c>
      <c r="I367" s="674">
        <v>1521</v>
      </c>
      <c r="J367" s="674">
        <v>465</v>
      </c>
      <c r="K367" s="674"/>
      <c r="L367" s="674"/>
      <c r="M367" s="674"/>
      <c r="N367" s="674"/>
      <c r="O367" s="674"/>
      <c r="P367" s="674"/>
    </row>
    <row r="368" spans="1:16" s="80" customFormat="1" ht="31.5" customHeight="1" thickBot="1">
      <c r="A368" s="665">
        <v>900</v>
      </c>
      <c r="B368" s="665"/>
      <c r="C368" s="675" t="s">
        <v>1048</v>
      </c>
      <c r="D368" s="683">
        <f t="shared" si="117"/>
        <v>21045</v>
      </c>
      <c r="E368" s="683"/>
      <c r="F368" s="683"/>
      <c r="G368" s="683"/>
      <c r="H368" s="683"/>
      <c r="I368" s="683"/>
      <c r="J368" s="683"/>
      <c r="K368" s="683"/>
      <c r="L368" s="683">
        <f>SUM(L369:L369)</f>
        <v>21045</v>
      </c>
      <c r="M368" s="667"/>
      <c r="N368" s="667"/>
      <c r="O368" s="667"/>
      <c r="P368" s="667"/>
    </row>
    <row r="369" spans="1:17" s="643" customFormat="1" ht="21" customHeight="1">
      <c r="A369" s="639"/>
      <c r="B369" s="719">
        <v>90095</v>
      </c>
      <c r="C369" s="767" t="s">
        <v>100</v>
      </c>
      <c r="D369" s="748">
        <f t="shared" si="117"/>
        <v>21045</v>
      </c>
      <c r="E369" s="748"/>
      <c r="F369" s="748"/>
      <c r="G369" s="748"/>
      <c r="H369" s="748"/>
      <c r="I369" s="748"/>
      <c r="J369" s="748"/>
      <c r="K369" s="748"/>
      <c r="L369" s="748">
        <v>21045</v>
      </c>
      <c r="M369" s="748"/>
      <c r="N369" s="748"/>
      <c r="O369" s="748"/>
      <c r="P369" s="748"/>
      <c r="Q369" s="642"/>
    </row>
    <row r="370" spans="1:16" ht="23.25" customHeight="1">
      <c r="A370" s="639"/>
      <c r="B370" s="639"/>
      <c r="C370" s="640" t="s">
        <v>1087</v>
      </c>
      <c r="D370" s="641">
        <f aca="true" t="shared" si="121" ref="D370:D376">SUM(E370:P370)</f>
        <v>3620000</v>
      </c>
      <c r="E370" s="641">
        <f aca="true" t="shared" si="122" ref="E370:P370">E371+E374</f>
        <v>689392</v>
      </c>
      <c r="F370" s="641">
        <f t="shared" si="122"/>
        <v>197523</v>
      </c>
      <c r="G370" s="641">
        <f t="shared" si="122"/>
        <v>171665</v>
      </c>
      <c r="H370" s="641">
        <f t="shared" si="122"/>
        <v>240127</v>
      </c>
      <c r="I370" s="641">
        <f t="shared" si="122"/>
        <v>485375</v>
      </c>
      <c r="J370" s="641">
        <f t="shared" si="122"/>
        <v>370000</v>
      </c>
      <c r="K370" s="641">
        <f t="shared" si="122"/>
        <v>370000</v>
      </c>
      <c r="L370" s="641">
        <f t="shared" si="122"/>
        <v>360000</v>
      </c>
      <c r="M370" s="641">
        <f t="shared" si="122"/>
        <v>240000</v>
      </c>
      <c r="N370" s="641">
        <f t="shared" si="122"/>
        <v>240000</v>
      </c>
      <c r="O370" s="641">
        <f t="shared" si="122"/>
        <v>153819</v>
      </c>
      <c r="P370" s="641">
        <f t="shared" si="122"/>
        <v>102099</v>
      </c>
    </row>
    <row r="371" spans="1:16" s="648" customFormat="1" ht="20.25" customHeight="1" thickBot="1">
      <c r="A371" s="644"/>
      <c r="B371" s="644"/>
      <c r="C371" s="645" t="s">
        <v>461</v>
      </c>
      <c r="D371" s="725">
        <f t="shared" si="121"/>
        <v>600000</v>
      </c>
      <c r="E371" s="725">
        <f>E372</f>
        <v>145926</v>
      </c>
      <c r="F371" s="725">
        <f aca="true" t="shared" si="123" ref="F371:O371">F372</f>
        <v>27217</v>
      </c>
      <c r="G371" s="725">
        <f t="shared" si="123"/>
        <v>22010</v>
      </c>
      <c r="H371" s="725">
        <f t="shared" si="123"/>
        <v>44853</v>
      </c>
      <c r="I371" s="725">
        <f t="shared" si="123"/>
        <v>76175</v>
      </c>
      <c r="J371" s="725">
        <f t="shared" si="123"/>
        <v>70000</v>
      </c>
      <c r="K371" s="725">
        <f t="shared" si="123"/>
        <v>70000</v>
      </c>
      <c r="L371" s="725">
        <f t="shared" si="123"/>
        <v>60000</v>
      </c>
      <c r="M371" s="725">
        <f t="shared" si="123"/>
        <v>40000</v>
      </c>
      <c r="N371" s="725">
        <f t="shared" si="123"/>
        <v>40000</v>
      </c>
      <c r="O371" s="725">
        <f t="shared" si="123"/>
        <v>3819</v>
      </c>
      <c r="P371" s="725"/>
    </row>
    <row r="372" spans="1:16" s="648" customFormat="1" ht="21" customHeight="1" thickBot="1" thickTop="1">
      <c r="A372" s="726">
        <v>600</v>
      </c>
      <c r="B372" s="655"/>
      <c r="C372" s="765" t="s">
        <v>525</v>
      </c>
      <c r="D372" s="735">
        <f t="shared" si="121"/>
        <v>600000</v>
      </c>
      <c r="E372" s="735">
        <f aca="true" t="shared" si="124" ref="E372:O372">E373</f>
        <v>145926</v>
      </c>
      <c r="F372" s="735">
        <f t="shared" si="124"/>
        <v>27217</v>
      </c>
      <c r="G372" s="735">
        <f t="shared" si="124"/>
        <v>22010</v>
      </c>
      <c r="H372" s="735">
        <f t="shared" si="124"/>
        <v>44853</v>
      </c>
      <c r="I372" s="735">
        <f t="shared" si="124"/>
        <v>76175</v>
      </c>
      <c r="J372" s="735">
        <f t="shared" si="124"/>
        <v>70000</v>
      </c>
      <c r="K372" s="735">
        <f t="shared" si="124"/>
        <v>70000</v>
      </c>
      <c r="L372" s="735">
        <f t="shared" si="124"/>
        <v>60000</v>
      </c>
      <c r="M372" s="690">
        <f t="shared" si="124"/>
        <v>40000</v>
      </c>
      <c r="N372" s="690">
        <f t="shared" si="124"/>
        <v>40000</v>
      </c>
      <c r="O372" s="690">
        <f t="shared" si="124"/>
        <v>3819</v>
      </c>
      <c r="P372" s="690"/>
    </row>
    <row r="373" spans="1:16" s="648" customFormat="1" ht="21" customHeight="1">
      <c r="A373" s="718"/>
      <c r="B373" s="672">
        <v>60016</v>
      </c>
      <c r="C373" s="730" t="s">
        <v>1114</v>
      </c>
      <c r="D373" s="674">
        <f t="shared" si="121"/>
        <v>600000</v>
      </c>
      <c r="E373" s="674">
        <v>145926</v>
      </c>
      <c r="F373" s="674">
        <v>27217</v>
      </c>
      <c r="G373" s="674">
        <v>22010</v>
      </c>
      <c r="H373" s="674">
        <v>44853</v>
      </c>
      <c r="I373" s="674">
        <v>76175</v>
      </c>
      <c r="J373" s="674">
        <v>70000</v>
      </c>
      <c r="K373" s="674">
        <v>70000</v>
      </c>
      <c r="L373" s="674">
        <v>60000</v>
      </c>
      <c r="M373" s="693">
        <v>40000</v>
      </c>
      <c r="N373" s="693">
        <v>40000</v>
      </c>
      <c r="O373" s="693">
        <v>3819</v>
      </c>
      <c r="P373" s="693"/>
    </row>
    <row r="374" spans="1:16" s="648" customFormat="1" ht="20.25" customHeight="1" thickBot="1">
      <c r="A374" s="644"/>
      <c r="B374" s="644"/>
      <c r="C374" s="645" t="s">
        <v>101</v>
      </c>
      <c r="D374" s="725">
        <f t="shared" si="121"/>
        <v>3020000</v>
      </c>
      <c r="E374" s="725">
        <f aca="true" t="shared" si="125" ref="E374:P375">E375</f>
        <v>543466</v>
      </c>
      <c r="F374" s="725">
        <f t="shared" si="125"/>
        <v>170306</v>
      </c>
      <c r="G374" s="725">
        <f t="shared" si="125"/>
        <v>149655</v>
      </c>
      <c r="H374" s="725">
        <f t="shared" si="125"/>
        <v>195274</v>
      </c>
      <c r="I374" s="725">
        <f t="shared" si="125"/>
        <v>409200</v>
      </c>
      <c r="J374" s="725">
        <f t="shared" si="125"/>
        <v>300000</v>
      </c>
      <c r="K374" s="725">
        <f t="shared" si="125"/>
        <v>300000</v>
      </c>
      <c r="L374" s="725">
        <f t="shared" si="125"/>
        <v>300000</v>
      </c>
      <c r="M374" s="647">
        <f t="shared" si="125"/>
        <v>200000</v>
      </c>
      <c r="N374" s="647">
        <f t="shared" si="125"/>
        <v>200000</v>
      </c>
      <c r="O374" s="647">
        <f t="shared" si="125"/>
        <v>150000</v>
      </c>
      <c r="P374" s="647">
        <f t="shared" si="125"/>
        <v>102099</v>
      </c>
    </row>
    <row r="375" spans="1:16" s="648" customFormat="1" ht="21" customHeight="1" thickBot="1" thickTop="1">
      <c r="A375" s="726">
        <v>600</v>
      </c>
      <c r="B375" s="655"/>
      <c r="C375" s="765" t="s">
        <v>525</v>
      </c>
      <c r="D375" s="735">
        <f t="shared" si="121"/>
        <v>3020000</v>
      </c>
      <c r="E375" s="735">
        <f t="shared" si="125"/>
        <v>543466</v>
      </c>
      <c r="F375" s="735">
        <f t="shared" si="125"/>
        <v>170306</v>
      </c>
      <c r="G375" s="735">
        <f t="shared" si="125"/>
        <v>149655</v>
      </c>
      <c r="H375" s="735">
        <f t="shared" si="125"/>
        <v>195274</v>
      </c>
      <c r="I375" s="735">
        <f t="shared" si="125"/>
        <v>409200</v>
      </c>
      <c r="J375" s="735">
        <f t="shared" si="125"/>
        <v>300000</v>
      </c>
      <c r="K375" s="735">
        <f t="shared" si="125"/>
        <v>300000</v>
      </c>
      <c r="L375" s="735">
        <f t="shared" si="125"/>
        <v>300000</v>
      </c>
      <c r="M375" s="690">
        <f t="shared" si="125"/>
        <v>200000</v>
      </c>
      <c r="N375" s="690">
        <f t="shared" si="125"/>
        <v>200000</v>
      </c>
      <c r="O375" s="690">
        <f t="shared" si="125"/>
        <v>150000</v>
      </c>
      <c r="P375" s="690">
        <f t="shared" si="125"/>
        <v>102099</v>
      </c>
    </row>
    <row r="376" spans="1:16" s="648" customFormat="1" ht="21" customHeight="1">
      <c r="A376" s="718"/>
      <c r="B376" s="672">
        <v>60015</v>
      </c>
      <c r="C376" s="730" t="s">
        <v>1113</v>
      </c>
      <c r="D376" s="674">
        <f t="shared" si="121"/>
        <v>3020000</v>
      </c>
      <c r="E376" s="674">
        <v>543466</v>
      </c>
      <c r="F376" s="674">
        <v>170306</v>
      </c>
      <c r="G376" s="674">
        <v>149655</v>
      </c>
      <c r="H376" s="674">
        <v>195274</v>
      </c>
      <c r="I376" s="674">
        <v>409200</v>
      </c>
      <c r="J376" s="674">
        <v>300000</v>
      </c>
      <c r="K376" s="674">
        <v>300000</v>
      </c>
      <c r="L376" s="674">
        <v>300000</v>
      </c>
      <c r="M376" s="693">
        <v>200000</v>
      </c>
      <c r="N376" s="693">
        <v>200000</v>
      </c>
      <c r="O376" s="693">
        <v>150000</v>
      </c>
      <c r="P376" s="693">
        <v>102099</v>
      </c>
    </row>
    <row r="377" spans="1:25" ht="22.5" customHeight="1">
      <c r="A377" s="639"/>
      <c r="B377" s="639"/>
      <c r="C377" s="640" t="s">
        <v>1088</v>
      </c>
      <c r="D377" s="641">
        <f t="shared" si="102"/>
        <v>12000</v>
      </c>
      <c r="E377" s="641">
        <f aca="true" t="shared" si="126" ref="E377:P378">E378</f>
        <v>1066</v>
      </c>
      <c r="F377" s="641">
        <f t="shared" si="126"/>
        <v>904</v>
      </c>
      <c r="G377" s="641">
        <f t="shared" si="126"/>
        <v>913</v>
      </c>
      <c r="H377" s="641">
        <f t="shared" si="126"/>
        <v>1033</v>
      </c>
      <c r="I377" s="641">
        <f t="shared" si="126"/>
        <v>631</v>
      </c>
      <c r="J377" s="641">
        <f t="shared" si="126"/>
        <v>1060</v>
      </c>
      <c r="K377" s="641">
        <f t="shared" si="126"/>
        <v>1060</v>
      </c>
      <c r="L377" s="641">
        <f t="shared" si="126"/>
        <v>1060</v>
      </c>
      <c r="M377" s="641">
        <f t="shared" si="126"/>
        <v>1060</v>
      </c>
      <c r="N377" s="641">
        <f t="shared" si="126"/>
        <v>1060</v>
      </c>
      <c r="O377" s="641">
        <f t="shared" si="126"/>
        <v>1060</v>
      </c>
      <c r="P377" s="641">
        <f t="shared" si="126"/>
        <v>1093</v>
      </c>
      <c r="W377" s="643"/>
      <c r="X377" s="643"/>
      <c r="Y377" s="643"/>
    </row>
    <row r="378" spans="1:25" s="648" customFormat="1" ht="19.5" customHeight="1" thickBot="1">
      <c r="A378" s="644"/>
      <c r="B378" s="644"/>
      <c r="C378" s="645" t="s">
        <v>461</v>
      </c>
      <c r="D378" s="646">
        <f t="shared" si="102"/>
        <v>12000</v>
      </c>
      <c r="E378" s="646">
        <f t="shared" si="126"/>
        <v>1066</v>
      </c>
      <c r="F378" s="646">
        <f t="shared" si="126"/>
        <v>904</v>
      </c>
      <c r="G378" s="646">
        <f t="shared" si="126"/>
        <v>913</v>
      </c>
      <c r="H378" s="646">
        <f t="shared" si="126"/>
        <v>1033</v>
      </c>
      <c r="I378" s="646">
        <f t="shared" si="126"/>
        <v>631</v>
      </c>
      <c r="J378" s="646">
        <f t="shared" si="126"/>
        <v>1060</v>
      </c>
      <c r="K378" s="646">
        <f t="shared" si="126"/>
        <v>1060</v>
      </c>
      <c r="L378" s="646">
        <f t="shared" si="126"/>
        <v>1060</v>
      </c>
      <c r="M378" s="647">
        <f t="shared" si="126"/>
        <v>1060</v>
      </c>
      <c r="N378" s="647">
        <f t="shared" si="126"/>
        <v>1060</v>
      </c>
      <c r="O378" s="647">
        <f t="shared" si="126"/>
        <v>1060</v>
      </c>
      <c r="P378" s="647">
        <f t="shared" si="126"/>
        <v>1093</v>
      </c>
      <c r="W378" s="768"/>
      <c r="X378" s="768"/>
      <c r="Y378" s="768"/>
    </row>
    <row r="379" spans="1:25" s="80" customFormat="1" ht="35.25" customHeight="1" thickBot="1" thickTop="1">
      <c r="A379" s="649">
        <v>900</v>
      </c>
      <c r="B379" s="649"/>
      <c r="C379" s="650" t="s">
        <v>1048</v>
      </c>
      <c r="D379" s="651">
        <f t="shared" si="102"/>
        <v>12000</v>
      </c>
      <c r="E379" s="651">
        <f aca="true" t="shared" si="127" ref="E379:P379">SUM(E380:E380)</f>
        <v>1066</v>
      </c>
      <c r="F379" s="651">
        <f t="shared" si="127"/>
        <v>904</v>
      </c>
      <c r="G379" s="651">
        <f t="shared" si="127"/>
        <v>913</v>
      </c>
      <c r="H379" s="651">
        <f t="shared" si="127"/>
        <v>1033</v>
      </c>
      <c r="I379" s="651">
        <f t="shared" si="127"/>
        <v>631</v>
      </c>
      <c r="J379" s="651">
        <f t="shared" si="127"/>
        <v>1060</v>
      </c>
      <c r="K379" s="651">
        <f t="shared" si="127"/>
        <v>1060</v>
      </c>
      <c r="L379" s="651">
        <f t="shared" si="127"/>
        <v>1060</v>
      </c>
      <c r="M379" s="651">
        <f t="shared" si="127"/>
        <v>1060</v>
      </c>
      <c r="N379" s="651">
        <f t="shared" si="127"/>
        <v>1060</v>
      </c>
      <c r="O379" s="651">
        <f t="shared" si="127"/>
        <v>1060</v>
      </c>
      <c r="P379" s="651">
        <f t="shared" si="127"/>
        <v>1093</v>
      </c>
      <c r="W379" s="769"/>
      <c r="X379" s="769"/>
      <c r="Y379" s="769"/>
    </row>
    <row r="380" spans="1:25" ht="21" customHeight="1">
      <c r="A380" s="672"/>
      <c r="B380" s="652">
        <v>90013</v>
      </c>
      <c r="C380" s="653" t="s">
        <v>1001</v>
      </c>
      <c r="D380" s="664">
        <f t="shared" si="102"/>
        <v>12000</v>
      </c>
      <c r="E380" s="664">
        <v>1066</v>
      </c>
      <c r="F380" s="664">
        <v>904</v>
      </c>
      <c r="G380" s="664">
        <v>913</v>
      </c>
      <c r="H380" s="664">
        <v>1033</v>
      </c>
      <c r="I380" s="664">
        <v>631</v>
      </c>
      <c r="J380" s="664">
        <v>1060</v>
      </c>
      <c r="K380" s="664">
        <v>1060</v>
      </c>
      <c r="L380" s="664">
        <v>1060</v>
      </c>
      <c r="M380" s="664">
        <v>1060</v>
      </c>
      <c r="N380" s="664">
        <v>1060</v>
      </c>
      <c r="O380" s="664">
        <v>1060</v>
      </c>
      <c r="P380" s="664">
        <v>1093</v>
      </c>
      <c r="W380" s="643"/>
      <c r="X380" s="643"/>
      <c r="Y380" s="643"/>
    </row>
    <row r="381" ht="21" customHeight="1"/>
    <row r="382" spans="1:25" ht="22.5" customHeight="1">
      <c r="A382" s="639"/>
      <c r="B382" s="639"/>
      <c r="C382" s="640" t="s">
        <v>1089</v>
      </c>
      <c r="D382" s="641">
        <f t="shared" si="102"/>
        <v>-253168</v>
      </c>
      <c r="E382" s="641">
        <f aca="true" t="shared" si="128" ref="E382:P382">E383</f>
        <v>-5000</v>
      </c>
      <c r="F382" s="641">
        <f t="shared" si="128"/>
        <v>-6000</v>
      </c>
      <c r="G382" s="641">
        <f t="shared" si="128"/>
        <v>-6000</v>
      </c>
      <c r="H382" s="641">
        <f t="shared" si="128"/>
        <v>-6000</v>
      </c>
      <c r="I382" s="641">
        <f t="shared" si="128"/>
        <v>-6000</v>
      </c>
      <c r="J382" s="641">
        <f t="shared" si="128"/>
        <v>-186168</v>
      </c>
      <c r="K382" s="641">
        <f t="shared" si="128"/>
        <v>-6000</v>
      </c>
      <c r="L382" s="641">
        <f t="shared" si="128"/>
        <v>-6000</v>
      </c>
      <c r="M382" s="641">
        <f t="shared" si="128"/>
        <v>-6000</v>
      </c>
      <c r="N382" s="641">
        <f t="shared" si="128"/>
        <v>-6000</v>
      </c>
      <c r="O382" s="641">
        <f t="shared" si="128"/>
        <v>-7000</v>
      </c>
      <c r="P382" s="641">
        <f t="shared" si="128"/>
        <v>-7000</v>
      </c>
      <c r="W382" s="643"/>
      <c r="X382" s="643"/>
      <c r="Y382" s="643"/>
    </row>
    <row r="383" spans="1:25" s="648" customFormat="1" ht="24.75" customHeight="1" thickBot="1">
      <c r="A383" s="644"/>
      <c r="B383" s="644"/>
      <c r="C383" s="645" t="s">
        <v>461</v>
      </c>
      <c r="D383" s="646">
        <f t="shared" si="102"/>
        <v>-253168</v>
      </c>
      <c r="E383" s="647">
        <f aca="true" t="shared" si="129" ref="E383:P383">E384+E386</f>
        <v>-5000</v>
      </c>
      <c r="F383" s="647">
        <f t="shared" si="129"/>
        <v>-6000</v>
      </c>
      <c r="G383" s="647">
        <f t="shared" si="129"/>
        <v>-6000</v>
      </c>
      <c r="H383" s="647">
        <f t="shared" si="129"/>
        <v>-6000</v>
      </c>
      <c r="I383" s="647">
        <f t="shared" si="129"/>
        <v>-6000</v>
      </c>
      <c r="J383" s="647">
        <f t="shared" si="129"/>
        <v>-186168</v>
      </c>
      <c r="K383" s="647">
        <f t="shared" si="129"/>
        <v>-6000</v>
      </c>
      <c r="L383" s="647">
        <f t="shared" si="129"/>
        <v>-6000</v>
      </c>
      <c r="M383" s="647">
        <f t="shared" si="129"/>
        <v>-6000</v>
      </c>
      <c r="N383" s="647">
        <f t="shared" si="129"/>
        <v>-6000</v>
      </c>
      <c r="O383" s="647">
        <f t="shared" si="129"/>
        <v>-7000</v>
      </c>
      <c r="P383" s="647">
        <f t="shared" si="129"/>
        <v>-7000</v>
      </c>
      <c r="W383" s="768"/>
      <c r="X383" s="768"/>
      <c r="Y383" s="768"/>
    </row>
    <row r="384" spans="1:25" s="80" customFormat="1" ht="24" customHeight="1" thickBot="1" thickTop="1">
      <c r="A384" s="726">
        <v>700</v>
      </c>
      <c r="B384" s="726"/>
      <c r="C384" s="688" t="s">
        <v>433</v>
      </c>
      <c r="D384" s="630">
        <f t="shared" si="102"/>
        <v>-23000</v>
      </c>
      <c r="E384" s="630">
        <f aca="true" t="shared" si="130" ref="E384:P384">E385</f>
        <v>-1000</v>
      </c>
      <c r="F384" s="630">
        <f t="shared" si="130"/>
        <v>-2000</v>
      </c>
      <c r="G384" s="630">
        <f t="shared" si="130"/>
        <v>-2000</v>
      </c>
      <c r="H384" s="630">
        <f t="shared" si="130"/>
        <v>-2000</v>
      </c>
      <c r="I384" s="630">
        <f t="shared" si="130"/>
        <v>-2000</v>
      </c>
      <c r="J384" s="630">
        <f t="shared" si="130"/>
        <v>-2000</v>
      </c>
      <c r="K384" s="630">
        <f t="shared" si="130"/>
        <v>-2000</v>
      </c>
      <c r="L384" s="630">
        <f t="shared" si="130"/>
        <v>-2000</v>
      </c>
      <c r="M384" s="630">
        <f t="shared" si="130"/>
        <v>-2000</v>
      </c>
      <c r="N384" s="630">
        <f t="shared" si="130"/>
        <v>-2000</v>
      </c>
      <c r="O384" s="630">
        <f t="shared" si="130"/>
        <v>-2000</v>
      </c>
      <c r="P384" s="630">
        <f t="shared" si="130"/>
        <v>-2000</v>
      </c>
      <c r="W384" s="769"/>
      <c r="X384" s="769"/>
      <c r="Y384" s="769"/>
    </row>
    <row r="385" spans="1:17" s="643" customFormat="1" ht="24" customHeight="1">
      <c r="A385" s="672"/>
      <c r="B385" s="672">
        <v>70005</v>
      </c>
      <c r="C385" s="673" t="s">
        <v>435</v>
      </c>
      <c r="D385" s="727">
        <f t="shared" si="102"/>
        <v>-23000</v>
      </c>
      <c r="E385" s="727">
        <v>-1000</v>
      </c>
      <c r="F385" s="727">
        <v>-2000</v>
      </c>
      <c r="G385" s="727">
        <v>-2000</v>
      </c>
      <c r="H385" s="727">
        <v>-2000</v>
      </c>
      <c r="I385" s="727">
        <v>-2000</v>
      </c>
      <c r="J385" s="727">
        <v>-2000</v>
      </c>
      <c r="K385" s="727">
        <v>-2000</v>
      </c>
      <c r="L385" s="727">
        <v>-2000</v>
      </c>
      <c r="M385" s="727">
        <v>-2000</v>
      </c>
      <c r="N385" s="727">
        <v>-2000</v>
      </c>
      <c r="O385" s="727">
        <v>-2000</v>
      </c>
      <c r="P385" s="727">
        <v>-2000</v>
      </c>
      <c r="Q385" s="642"/>
    </row>
    <row r="386" spans="1:16" s="769" customFormat="1" ht="23.25" customHeight="1" thickBot="1">
      <c r="A386" s="669">
        <v>750</v>
      </c>
      <c r="B386" s="669"/>
      <c r="C386" s="670" t="s">
        <v>439</v>
      </c>
      <c r="D386" s="729">
        <f t="shared" si="102"/>
        <v>-230168</v>
      </c>
      <c r="E386" s="729">
        <f aca="true" t="shared" si="131" ref="E386:P386">E387</f>
        <v>-4000</v>
      </c>
      <c r="F386" s="729">
        <f t="shared" si="131"/>
        <v>-4000</v>
      </c>
      <c r="G386" s="729">
        <f t="shared" si="131"/>
        <v>-4000</v>
      </c>
      <c r="H386" s="729">
        <f t="shared" si="131"/>
        <v>-4000</v>
      </c>
      <c r="I386" s="729">
        <f t="shared" si="131"/>
        <v>-4000</v>
      </c>
      <c r="J386" s="729">
        <f t="shared" si="131"/>
        <v>-184168</v>
      </c>
      <c r="K386" s="729">
        <f t="shared" si="131"/>
        <v>-4000</v>
      </c>
      <c r="L386" s="729">
        <f t="shared" si="131"/>
        <v>-4000</v>
      </c>
      <c r="M386" s="729">
        <f t="shared" si="131"/>
        <v>-4000</v>
      </c>
      <c r="N386" s="729">
        <f t="shared" si="131"/>
        <v>-4000</v>
      </c>
      <c r="O386" s="729">
        <f t="shared" si="131"/>
        <v>-5000</v>
      </c>
      <c r="P386" s="729">
        <f t="shared" si="131"/>
        <v>-5000</v>
      </c>
    </row>
    <row r="387" spans="1:17" s="643" customFormat="1" ht="23.25" customHeight="1">
      <c r="A387" s="740"/>
      <c r="B387" s="672">
        <v>75023</v>
      </c>
      <c r="C387" s="673" t="s">
        <v>1061</v>
      </c>
      <c r="D387" s="727">
        <f t="shared" si="102"/>
        <v>-230168</v>
      </c>
      <c r="E387" s="727">
        <v>-4000</v>
      </c>
      <c r="F387" s="727">
        <v>-4000</v>
      </c>
      <c r="G387" s="727">
        <v>-4000</v>
      </c>
      <c r="H387" s="727">
        <v>-4000</v>
      </c>
      <c r="I387" s="727">
        <v>-4000</v>
      </c>
      <c r="J387" s="727">
        <f>-4000-180168</f>
        <v>-184168</v>
      </c>
      <c r="K387" s="727">
        <v>-4000</v>
      </c>
      <c r="L387" s="727">
        <v>-4000</v>
      </c>
      <c r="M387" s="727">
        <v>-4000</v>
      </c>
      <c r="N387" s="727">
        <v>-4000</v>
      </c>
      <c r="O387" s="727">
        <v>-5000</v>
      </c>
      <c r="P387" s="727">
        <v>-5000</v>
      </c>
      <c r="Q387" s="642"/>
    </row>
    <row r="388" spans="1:25" ht="22.5" customHeight="1">
      <c r="A388" s="639"/>
      <c r="B388" s="639"/>
      <c r="C388" s="640" t="s">
        <v>1090</v>
      </c>
      <c r="D388" s="641">
        <f>SUM(E388:P388)</f>
        <v>50000</v>
      </c>
      <c r="E388" s="641">
        <f aca="true" t="shared" si="132" ref="E388:P389">E389</f>
        <v>4000</v>
      </c>
      <c r="F388" s="641">
        <f t="shared" si="132"/>
        <v>4000</v>
      </c>
      <c r="G388" s="641">
        <f t="shared" si="132"/>
        <v>4000</v>
      </c>
      <c r="H388" s="641">
        <f t="shared" si="132"/>
        <v>4000</v>
      </c>
      <c r="I388" s="641">
        <f t="shared" si="132"/>
        <v>4000</v>
      </c>
      <c r="J388" s="641">
        <f t="shared" si="132"/>
        <v>4000</v>
      </c>
      <c r="K388" s="641">
        <f t="shared" si="132"/>
        <v>4000</v>
      </c>
      <c r="L388" s="641">
        <f t="shared" si="132"/>
        <v>4000</v>
      </c>
      <c r="M388" s="641">
        <f t="shared" si="132"/>
        <v>4000</v>
      </c>
      <c r="N388" s="641">
        <f t="shared" si="132"/>
        <v>4000</v>
      </c>
      <c r="O388" s="641">
        <f t="shared" si="132"/>
        <v>5000</v>
      </c>
      <c r="P388" s="641">
        <f t="shared" si="132"/>
        <v>5000</v>
      </c>
      <c r="W388" s="643"/>
      <c r="X388" s="643"/>
      <c r="Y388" s="643"/>
    </row>
    <row r="389" spans="1:25" s="648" customFormat="1" ht="24" customHeight="1" thickBot="1">
      <c r="A389" s="644"/>
      <c r="B389" s="644"/>
      <c r="C389" s="645" t="s">
        <v>461</v>
      </c>
      <c r="D389" s="646">
        <f>SUM(E389:P389)</f>
        <v>50000</v>
      </c>
      <c r="E389" s="647">
        <f>E390</f>
        <v>4000</v>
      </c>
      <c r="F389" s="647">
        <f t="shared" si="132"/>
        <v>4000</v>
      </c>
      <c r="G389" s="647">
        <f t="shared" si="132"/>
        <v>4000</v>
      </c>
      <c r="H389" s="647">
        <f t="shared" si="132"/>
        <v>4000</v>
      </c>
      <c r="I389" s="647">
        <f t="shared" si="132"/>
        <v>4000</v>
      </c>
      <c r="J389" s="647">
        <f t="shared" si="132"/>
        <v>4000</v>
      </c>
      <c r="K389" s="647">
        <f t="shared" si="132"/>
        <v>4000</v>
      </c>
      <c r="L389" s="647">
        <f t="shared" si="132"/>
        <v>4000</v>
      </c>
      <c r="M389" s="647">
        <f t="shared" si="132"/>
        <v>4000</v>
      </c>
      <c r="N389" s="647">
        <f t="shared" si="132"/>
        <v>4000</v>
      </c>
      <c r="O389" s="647">
        <f t="shared" si="132"/>
        <v>5000</v>
      </c>
      <c r="P389" s="647">
        <f t="shared" si="132"/>
        <v>5000</v>
      </c>
      <c r="W389" s="768"/>
      <c r="X389" s="768"/>
      <c r="Y389" s="768"/>
    </row>
    <row r="390" spans="1:16" s="769" customFormat="1" ht="23.25" customHeight="1" thickBot="1" thickTop="1">
      <c r="A390" s="669">
        <v>750</v>
      </c>
      <c r="B390" s="669"/>
      <c r="C390" s="670" t="s">
        <v>439</v>
      </c>
      <c r="D390" s="729">
        <f>SUM(E390:P390)</f>
        <v>50000</v>
      </c>
      <c r="E390" s="729">
        <f aca="true" t="shared" si="133" ref="E390:P390">E391</f>
        <v>4000</v>
      </c>
      <c r="F390" s="729">
        <f t="shared" si="133"/>
        <v>4000</v>
      </c>
      <c r="G390" s="729">
        <f t="shared" si="133"/>
        <v>4000</v>
      </c>
      <c r="H390" s="729">
        <f t="shared" si="133"/>
        <v>4000</v>
      </c>
      <c r="I390" s="729">
        <f t="shared" si="133"/>
        <v>4000</v>
      </c>
      <c r="J390" s="729">
        <f t="shared" si="133"/>
        <v>4000</v>
      </c>
      <c r="K390" s="729">
        <f t="shared" si="133"/>
        <v>4000</v>
      </c>
      <c r="L390" s="729">
        <f t="shared" si="133"/>
        <v>4000</v>
      </c>
      <c r="M390" s="729">
        <f t="shared" si="133"/>
        <v>4000</v>
      </c>
      <c r="N390" s="729">
        <f t="shared" si="133"/>
        <v>4000</v>
      </c>
      <c r="O390" s="729">
        <f t="shared" si="133"/>
        <v>5000</v>
      </c>
      <c r="P390" s="729">
        <f t="shared" si="133"/>
        <v>5000</v>
      </c>
    </row>
    <row r="391" spans="1:17" s="643" customFormat="1" ht="23.25" customHeight="1">
      <c r="A391" s="740"/>
      <c r="B391" s="672">
        <v>75023</v>
      </c>
      <c r="C391" s="673" t="s">
        <v>1061</v>
      </c>
      <c r="D391" s="727">
        <f>SUM(E391:P391)</f>
        <v>50000</v>
      </c>
      <c r="E391" s="727">
        <v>4000</v>
      </c>
      <c r="F391" s="727">
        <v>4000</v>
      </c>
      <c r="G391" s="727">
        <v>4000</v>
      </c>
      <c r="H391" s="727">
        <v>4000</v>
      </c>
      <c r="I391" s="727">
        <v>4000</v>
      </c>
      <c r="J391" s="727">
        <v>4000</v>
      </c>
      <c r="K391" s="727">
        <v>4000</v>
      </c>
      <c r="L391" s="727">
        <v>4000</v>
      </c>
      <c r="M391" s="727">
        <v>4000</v>
      </c>
      <c r="N391" s="727">
        <v>4000</v>
      </c>
      <c r="O391" s="727">
        <v>5000</v>
      </c>
      <c r="P391" s="727">
        <v>5000</v>
      </c>
      <c r="Q391" s="642"/>
    </row>
    <row r="392" spans="1:25" ht="27" customHeight="1">
      <c r="A392" s="639"/>
      <c r="B392" s="639"/>
      <c r="C392" s="640" t="s">
        <v>1091</v>
      </c>
      <c r="D392" s="641">
        <f aca="true" t="shared" si="134" ref="D392:D397">SUM(E392:P392)</f>
        <v>203168</v>
      </c>
      <c r="E392" s="641">
        <f aca="true" t="shared" si="135" ref="E392:P392">E393</f>
        <v>1000</v>
      </c>
      <c r="F392" s="641">
        <f t="shared" si="135"/>
        <v>2000</v>
      </c>
      <c r="G392" s="641">
        <f t="shared" si="135"/>
        <v>2000</v>
      </c>
      <c r="H392" s="641">
        <f t="shared" si="135"/>
        <v>2000</v>
      </c>
      <c r="I392" s="641">
        <f t="shared" si="135"/>
        <v>2000</v>
      </c>
      <c r="J392" s="641">
        <f t="shared" si="135"/>
        <v>182168</v>
      </c>
      <c r="K392" s="641">
        <f t="shared" si="135"/>
        <v>2000</v>
      </c>
      <c r="L392" s="641">
        <f t="shared" si="135"/>
        <v>2000</v>
      </c>
      <c r="M392" s="641">
        <f t="shared" si="135"/>
        <v>2000</v>
      </c>
      <c r="N392" s="641">
        <f t="shared" si="135"/>
        <v>2000</v>
      </c>
      <c r="O392" s="641">
        <f t="shared" si="135"/>
        <v>2000</v>
      </c>
      <c r="P392" s="641">
        <f t="shared" si="135"/>
        <v>2000</v>
      </c>
      <c r="W392" s="643"/>
      <c r="X392" s="643"/>
      <c r="Y392" s="643"/>
    </row>
    <row r="393" spans="1:25" s="648" customFormat="1" ht="24" customHeight="1" thickBot="1">
      <c r="A393" s="644"/>
      <c r="B393" s="644"/>
      <c r="C393" s="645" t="s">
        <v>461</v>
      </c>
      <c r="D393" s="646">
        <f t="shared" si="134"/>
        <v>203168</v>
      </c>
      <c r="E393" s="647">
        <f aca="true" t="shared" si="136" ref="E393:P393">E394+E396</f>
        <v>1000</v>
      </c>
      <c r="F393" s="647">
        <f t="shared" si="136"/>
        <v>2000</v>
      </c>
      <c r="G393" s="647">
        <f t="shared" si="136"/>
        <v>2000</v>
      </c>
      <c r="H393" s="647">
        <f t="shared" si="136"/>
        <v>2000</v>
      </c>
      <c r="I393" s="647">
        <f t="shared" si="136"/>
        <v>2000</v>
      </c>
      <c r="J393" s="647">
        <f t="shared" si="136"/>
        <v>182168</v>
      </c>
      <c r="K393" s="647">
        <f t="shared" si="136"/>
        <v>2000</v>
      </c>
      <c r="L393" s="647">
        <f t="shared" si="136"/>
        <v>2000</v>
      </c>
      <c r="M393" s="647">
        <f t="shared" si="136"/>
        <v>2000</v>
      </c>
      <c r="N393" s="647">
        <f t="shared" si="136"/>
        <v>2000</v>
      </c>
      <c r="O393" s="647">
        <f t="shared" si="136"/>
        <v>2000</v>
      </c>
      <c r="P393" s="647">
        <f t="shared" si="136"/>
        <v>2000</v>
      </c>
      <c r="W393" s="768"/>
      <c r="X393" s="768"/>
      <c r="Y393" s="768"/>
    </row>
    <row r="394" spans="1:25" s="80" customFormat="1" ht="21" customHeight="1" thickBot="1" thickTop="1">
      <c r="A394" s="726">
        <v>700</v>
      </c>
      <c r="B394" s="726"/>
      <c r="C394" s="688" t="s">
        <v>433</v>
      </c>
      <c r="D394" s="630">
        <f t="shared" si="134"/>
        <v>23000</v>
      </c>
      <c r="E394" s="630">
        <f aca="true" t="shared" si="137" ref="E394:P394">E395</f>
        <v>1000</v>
      </c>
      <c r="F394" s="630">
        <f t="shared" si="137"/>
        <v>2000</v>
      </c>
      <c r="G394" s="630">
        <f t="shared" si="137"/>
        <v>2000</v>
      </c>
      <c r="H394" s="630">
        <f t="shared" si="137"/>
        <v>2000</v>
      </c>
      <c r="I394" s="630">
        <f t="shared" si="137"/>
        <v>2000</v>
      </c>
      <c r="J394" s="630">
        <f t="shared" si="137"/>
        <v>2000</v>
      </c>
      <c r="K394" s="630">
        <f t="shared" si="137"/>
        <v>2000</v>
      </c>
      <c r="L394" s="630">
        <f t="shared" si="137"/>
        <v>2000</v>
      </c>
      <c r="M394" s="630">
        <f t="shared" si="137"/>
        <v>2000</v>
      </c>
      <c r="N394" s="630">
        <f t="shared" si="137"/>
        <v>2000</v>
      </c>
      <c r="O394" s="630">
        <f t="shared" si="137"/>
        <v>2000</v>
      </c>
      <c r="P394" s="630">
        <f t="shared" si="137"/>
        <v>2000</v>
      </c>
      <c r="W394" s="769"/>
      <c r="X394" s="769"/>
      <c r="Y394" s="769"/>
    </row>
    <row r="395" spans="1:17" s="643" customFormat="1" ht="24" customHeight="1">
      <c r="A395" s="672"/>
      <c r="B395" s="672">
        <v>70005</v>
      </c>
      <c r="C395" s="673" t="s">
        <v>435</v>
      </c>
      <c r="D395" s="727">
        <f t="shared" si="134"/>
        <v>23000</v>
      </c>
      <c r="E395" s="727">
        <v>1000</v>
      </c>
      <c r="F395" s="727">
        <v>2000</v>
      </c>
      <c r="G395" s="727">
        <v>2000</v>
      </c>
      <c r="H395" s="727">
        <v>2000</v>
      </c>
      <c r="I395" s="727">
        <v>2000</v>
      </c>
      <c r="J395" s="727">
        <v>2000</v>
      </c>
      <c r="K395" s="727">
        <v>2000</v>
      </c>
      <c r="L395" s="727">
        <v>2000</v>
      </c>
      <c r="M395" s="727">
        <v>2000</v>
      </c>
      <c r="N395" s="727">
        <v>2000</v>
      </c>
      <c r="O395" s="727">
        <v>2000</v>
      </c>
      <c r="P395" s="727">
        <v>2000</v>
      </c>
      <c r="Q395" s="642"/>
    </row>
    <row r="396" spans="1:16" s="769" customFormat="1" ht="24" customHeight="1" thickBot="1">
      <c r="A396" s="669">
        <v>750</v>
      </c>
      <c r="B396" s="669"/>
      <c r="C396" s="670" t="s">
        <v>439</v>
      </c>
      <c r="D396" s="729">
        <f t="shared" si="134"/>
        <v>180168</v>
      </c>
      <c r="E396" s="729"/>
      <c r="F396" s="729"/>
      <c r="G396" s="729"/>
      <c r="H396" s="729"/>
      <c r="I396" s="729"/>
      <c r="J396" s="729">
        <f>J397</f>
        <v>180168</v>
      </c>
      <c r="K396" s="729"/>
      <c r="L396" s="729"/>
      <c r="M396" s="729"/>
      <c r="N396" s="729"/>
      <c r="O396" s="729"/>
      <c r="P396" s="729"/>
    </row>
    <row r="397" spans="1:17" s="643" customFormat="1" ht="25.5" customHeight="1">
      <c r="A397" s="740"/>
      <c r="B397" s="672">
        <v>75023</v>
      </c>
      <c r="C397" s="673" t="s">
        <v>1061</v>
      </c>
      <c r="D397" s="727">
        <f t="shared" si="134"/>
        <v>180168</v>
      </c>
      <c r="E397" s="727"/>
      <c r="F397" s="727"/>
      <c r="G397" s="727"/>
      <c r="H397" s="727"/>
      <c r="I397" s="727"/>
      <c r="J397" s="727">
        <v>180168</v>
      </c>
      <c r="K397" s="727"/>
      <c r="L397" s="727"/>
      <c r="M397" s="727"/>
      <c r="N397" s="727"/>
      <c r="O397" s="727"/>
      <c r="P397" s="727"/>
      <c r="Q397" s="642"/>
    </row>
    <row r="398" spans="1:25" ht="26.25" customHeight="1">
      <c r="A398" s="639"/>
      <c r="B398" s="639"/>
      <c r="C398" s="640" t="s">
        <v>1092</v>
      </c>
      <c r="D398" s="641">
        <f t="shared" si="102"/>
        <v>-9624500</v>
      </c>
      <c r="E398" s="641">
        <f aca="true" t="shared" si="138" ref="E398:P398">E399+E403</f>
        <v>-564995</v>
      </c>
      <c r="F398" s="641">
        <f t="shared" si="138"/>
        <v>-655760</v>
      </c>
      <c r="G398" s="641">
        <f t="shared" si="138"/>
        <v>-772970</v>
      </c>
      <c r="H398" s="641">
        <f t="shared" si="138"/>
        <v>-851420</v>
      </c>
      <c r="I398" s="641">
        <f t="shared" si="138"/>
        <v>-893265</v>
      </c>
      <c r="J398" s="641">
        <f t="shared" si="138"/>
        <v>-1088858</v>
      </c>
      <c r="K398" s="641">
        <f t="shared" si="138"/>
        <v>-1066232</v>
      </c>
      <c r="L398" s="641">
        <f t="shared" si="138"/>
        <v>-908000</v>
      </c>
      <c r="M398" s="641">
        <f t="shared" si="138"/>
        <v>-778000</v>
      </c>
      <c r="N398" s="641">
        <f t="shared" si="138"/>
        <v>-732000</v>
      </c>
      <c r="O398" s="641">
        <f t="shared" si="138"/>
        <v>-687000</v>
      </c>
      <c r="P398" s="641">
        <f t="shared" si="138"/>
        <v>-626000</v>
      </c>
      <c r="W398" s="643"/>
      <c r="X398" s="643"/>
      <c r="Y398" s="643"/>
    </row>
    <row r="399" spans="1:17" s="768" customFormat="1" ht="26.25" customHeight="1" thickBot="1">
      <c r="A399" s="644"/>
      <c r="B399" s="644"/>
      <c r="C399" s="645" t="s">
        <v>461</v>
      </c>
      <c r="D399" s="646">
        <f t="shared" si="102"/>
        <v>-1522500</v>
      </c>
      <c r="E399" s="646">
        <f>E400</f>
        <v>-78995</v>
      </c>
      <c r="F399" s="646">
        <f aca="true" t="shared" si="139" ref="F399:P399">F400</f>
        <v>-88760</v>
      </c>
      <c r="G399" s="646">
        <f t="shared" si="139"/>
        <v>-124970</v>
      </c>
      <c r="H399" s="646">
        <f t="shared" si="139"/>
        <v>-122420</v>
      </c>
      <c r="I399" s="646">
        <f t="shared" si="139"/>
        <v>-164265</v>
      </c>
      <c r="J399" s="646">
        <f t="shared" si="139"/>
        <v>-142858</v>
      </c>
      <c r="K399" s="646">
        <f t="shared" si="139"/>
        <v>-120232</v>
      </c>
      <c r="L399" s="646">
        <f t="shared" si="139"/>
        <v>-125000</v>
      </c>
      <c r="M399" s="646">
        <f t="shared" si="139"/>
        <v>-130000</v>
      </c>
      <c r="N399" s="646">
        <f t="shared" si="139"/>
        <v>-165000</v>
      </c>
      <c r="O399" s="646">
        <f t="shared" si="139"/>
        <v>-120000</v>
      </c>
      <c r="P399" s="646">
        <f t="shared" si="139"/>
        <v>-140000</v>
      </c>
      <c r="Q399" s="770"/>
    </row>
    <row r="400" spans="1:16" s="80" customFormat="1" ht="67.5" customHeight="1" thickBot="1" thickTop="1">
      <c r="A400" s="665">
        <v>756</v>
      </c>
      <c r="B400" s="665"/>
      <c r="C400" s="666" t="s">
        <v>380</v>
      </c>
      <c r="D400" s="683">
        <f t="shared" si="102"/>
        <v>-1522500</v>
      </c>
      <c r="E400" s="683">
        <f aca="true" t="shared" si="140" ref="E400:P400">SUM(E401:E402)</f>
        <v>-78995</v>
      </c>
      <c r="F400" s="683">
        <f t="shared" si="140"/>
        <v>-88760</v>
      </c>
      <c r="G400" s="683">
        <f t="shared" si="140"/>
        <v>-124970</v>
      </c>
      <c r="H400" s="683">
        <f t="shared" si="140"/>
        <v>-122420</v>
      </c>
      <c r="I400" s="683">
        <f t="shared" si="140"/>
        <v>-164265</v>
      </c>
      <c r="J400" s="683">
        <f t="shared" si="140"/>
        <v>-142858</v>
      </c>
      <c r="K400" s="683">
        <f t="shared" si="140"/>
        <v>-120232</v>
      </c>
      <c r="L400" s="683">
        <f t="shared" si="140"/>
        <v>-125000</v>
      </c>
      <c r="M400" s="683">
        <f t="shared" si="140"/>
        <v>-130000</v>
      </c>
      <c r="N400" s="683">
        <f t="shared" si="140"/>
        <v>-165000</v>
      </c>
      <c r="O400" s="683">
        <f t="shared" si="140"/>
        <v>-120000</v>
      </c>
      <c r="P400" s="683">
        <f t="shared" si="140"/>
        <v>-140000</v>
      </c>
    </row>
    <row r="401" spans="1:16" ht="61.5" customHeight="1">
      <c r="A401" s="639"/>
      <c r="B401" s="652">
        <v>75616</v>
      </c>
      <c r="C401" s="653" t="s">
        <v>1145</v>
      </c>
      <c r="D401" s="654">
        <f t="shared" si="102"/>
        <v>-1500000</v>
      </c>
      <c r="E401" s="654">
        <v>-75000</v>
      </c>
      <c r="F401" s="654">
        <v>-85000</v>
      </c>
      <c r="G401" s="654">
        <v>-120000</v>
      </c>
      <c r="H401" s="654">
        <v>-120000</v>
      </c>
      <c r="I401" s="654">
        <v>-160000</v>
      </c>
      <c r="J401" s="654">
        <v>-140000</v>
      </c>
      <c r="K401" s="654">
        <v>-120000</v>
      </c>
      <c r="L401" s="654">
        <v>-125000</v>
      </c>
      <c r="M401" s="654">
        <v>-130000</v>
      </c>
      <c r="N401" s="654">
        <v>-165000</v>
      </c>
      <c r="O401" s="654">
        <v>-120000</v>
      </c>
      <c r="P401" s="654">
        <v>-140000</v>
      </c>
    </row>
    <row r="402" spans="1:16" ht="46.5" customHeight="1">
      <c r="A402" s="639"/>
      <c r="B402" s="652">
        <v>75618</v>
      </c>
      <c r="C402" s="731" t="s">
        <v>989</v>
      </c>
      <c r="D402" s="654">
        <f t="shared" si="102"/>
        <v>-22500</v>
      </c>
      <c r="E402" s="654">
        <v>-3995</v>
      </c>
      <c r="F402" s="654">
        <v>-3760</v>
      </c>
      <c r="G402" s="654">
        <v>-4970</v>
      </c>
      <c r="H402" s="654">
        <v>-2420</v>
      </c>
      <c r="I402" s="654">
        <v>-4265</v>
      </c>
      <c r="J402" s="654">
        <v>-2858</v>
      </c>
      <c r="K402" s="654">
        <v>-232</v>
      </c>
      <c r="L402" s="654"/>
      <c r="M402" s="654"/>
      <c r="N402" s="654"/>
      <c r="O402" s="654"/>
      <c r="P402" s="654"/>
    </row>
    <row r="403" spans="1:16" s="648" customFormat="1" ht="23.25" customHeight="1" thickBot="1">
      <c r="A403" s="644"/>
      <c r="B403" s="644"/>
      <c r="C403" s="645" t="s">
        <v>101</v>
      </c>
      <c r="D403" s="646">
        <f t="shared" si="102"/>
        <v>-8102000</v>
      </c>
      <c r="E403" s="646">
        <f aca="true" t="shared" si="141" ref="E403:P404">E404</f>
        <v>-486000</v>
      </c>
      <c r="F403" s="646">
        <f t="shared" si="141"/>
        <v>-567000</v>
      </c>
      <c r="G403" s="646">
        <f t="shared" si="141"/>
        <v>-648000</v>
      </c>
      <c r="H403" s="646">
        <f t="shared" si="141"/>
        <v>-729000</v>
      </c>
      <c r="I403" s="646">
        <f t="shared" si="141"/>
        <v>-729000</v>
      </c>
      <c r="J403" s="646">
        <f t="shared" si="141"/>
        <v>-946000</v>
      </c>
      <c r="K403" s="646">
        <f t="shared" si="141"/>
        <v>-946000</v>
      </c>
      <c r="L403" s="646">
        <f t="shared" si="141"/>
        <v>-783000</v>
      </c>
      <c r="M403" s="647">
        <f t="shared" si="141"/>
        <v>-648000</v>
      </c>
      <c r="N403" s="647">
        <f t="shared" si="141"/>
        <v>-567000</v>
      </c>
      <c r="O403" s="647">
        <f t="shared" si="141"/>
        <v>-567000</v>
      </c>
      <c r="P403" s="647">
        <f t="shared" si="141"/>
        <v>-486000</v>
      </c>
    </row>
    <row r="404" spans="1:16" s="80" customFormat="1" ht="68.25" customHeight="1" thickBot="1" thickTop="1">
      <c r="A404" s="649">
        <v>756</v>
      </c>
      <c r="B404" s="649"/>
      <c r="C404" s="764" t="s">
        <v>380</v>
      </c>
      <c r="D404" s="651">
        <f t="shared" si="102"/>
        <v>-8102000</v>
      </c>
      <c r="E404" s="651">
        <f t="shared" si="141"/>
        <v>-486000</v>
      </c>
      <c r="F404" s="651">
        <f t="shared" si="141"/>
        <v>-567000</v>
      </c>
      <c r="G404" s="651">
        <f t="shared" si="141"/>
        <v>-648000</v>
      </c>
      <c r="H404" s="651">
        <f t="shared" si="141"/>
        <v>-729000</v>
      </c>
      <c r="I404" s="651">
        <f t="shared" si="141"/>
        <v>-729000</v>
      </c>
      <c r="J404" s="651">
        <f t="shared" si="141"/>
        <v>-946000</v>
      </c>
      <c r="K404" s="651">
        <f t="shared" si="141"/>
        <v>-946000</v>
      </c>
      <c r="L404" s="651">
        <f t="shared" si="141"/>
        <v>-783000</v>
      </c>
      <c r="M404" s="651">
        <f t="shared" si="141"/>
        <v>-648000</v>
      </c>
      <c r="N404" s="651">
        <f t="shared" si="141"/>
        <v>-567000</v>
      </c>
      <c r="O404" s="651">
        <f t="shared" si="141"/>
        <v>-567000</v>
      </c>
      <c r="P404" s="651">
        <f t="shared" si="141"/>
        <v>-486000</v>
      </c>
    </row>
    <row r="405" spans="1:16" ht="47.25" customHeight="1">
      <c r="A405" s="639"/>
      <c r="B405" s="652">
        <v>75618</v>
      </c>
      <c r="C405" s="731" t="s">
        <v>989</v>
      </c>
      <c r="D405" s="774">
        <f t="shared" si="102"/>
        <v>-8102000</v>
      </c>
      <c r="E405" s="774">
        <v>-486000</v>
      </c>
      <c r="F405" s="774">
        <v>-567000</v>
      </c>
      <c r="G405" s="774">
        <v>-648000</v>
      </c>
      <c r="H405" s="774">
        <v>-729000</v>
      </c>
      <c r="I405" s="774">
        <v>-729000</v>
      </c>
      <c r="J405" s="774">
        <v>-946000</v>
      </c>
      <c r="K405" s="774">
        <v>-946000</v>
      </c>
      <c r="L405" s="774">
        <v>-783000</v>
      </c>
      <c r="M405" s="654">
        <v>-648000</v>
      </c>
      <c r="N405" s="654">
        <v>-567000</v>
      </c>
      <c r="O405" s="654">
        <v>-567000</v>
      </c>
      <c r="P405" s="654">
        <v>-486000</v>
      </c>
    </row>
    <row r="406" spans="1:25" ht="21.75" customHeight="1">
      <c r="A406" s="639"/>
      <c r="B406" s="639"/>
      <c r="C406" s="640" t="s">
        <v>1093</v>
      </c>
      <c r="D406" s="641">
        <f aca="true" t="shared" si="142" ref="D406:D412">SUM(E406:P406)</f>
        <v>8124500</v>
      </c>
      <c r="E406" s="641">
        <f aca="true" t="shared" si="143" ref="E406:P406">E407+E410</f>
        <v>473297</v>
      </c>
      <c r="F406" s="641">
        <f t="shared" si="143"/>
        <v>449349</v>
      </c>
      <c r="G406" s="641">
        <f t="shared" si="143"/>
        <v>572427</v>
      </c>
      <c r="H406" s="641">
        <f t="shared" si="143"/>
        <v>600456</v>
      </c>
      <c r="I406" s="641">
        <f t="shared" si="143"/>
        <v>591014</v>
      </c>
      <c r="J406" s="641">
        <f t="shared" si="143"/>
        <v>948858</v>
      </c>
      <c r="K406" s="641">
        <f t="shared" si="143"/>
        <v>946232</v>
      </c>
      <c r="L406" s="641">
        <f t="shared" si="143"/>
        <v>983000</v>
      </c>
      <c r="M406" s="641">
        <f t="shared" si="143"/>
        <v>848000</v>
      </c>
      <c r="N406" s="641">
        <f t="shared" si="143"/>
        <v>567000</v>
      </c>
      <c r="O406" s="641">
        <f t="shared" si="143"/>
        <v>567000</v>
      </c>
      <c r="P406" s="641">
        <f t="shared" si="143"/>
        <v>577867</v>
      </c>
      <c r="W406" s="643"/>
      <c r="X406" s="643"/>
      <c r="Y406" s="643"/>
    </row>
    <row r="407" spans="1:17" s="768" customFormat="1" ht="21.75" customHeight="1" thickBot="1">
      <c r="A407" s="644"/>
      <c r="B407" s="644"/>
      <c r="C407" s="645" t="s">
        <v>461</v>
      </c>
      <c r="D407" s="646">
        <f t="shared" si="142"/>
        <v>22500</v>
      </c>
      <c r="E407" s="646">
        <f>E408</f>
        <v>3995</v>
      </c>
      <c r="F407" s="646">
        <f aca="true" t="shared" si="144" ref="F407:K407">F408</f>
        <v>3760</v>
      </c>
      <c r="G407" s="646">
        <f t="shared" si="144"/>
        <v>4970</v>
      </c>
      <c r="H407" s="646">
        <f t="shared" si="144"/>
        <v>2420</v>
      </c>
      <c r="I407" s="646">
        <f t="shared" si="144"/>
        <v>4265</v>
      </c>
      <c r="J407" s="646">
        <f t="shared" si="144"/>
        <v>2858</v>
      </c>
      <c r="K407" s="646">
        <f t="shared" si="144"/>
        <v>232</v>
      </c>
      <c r="L407" s="646"/>
      <c r="M407" s="646"/>
      <c r="N407" s="646"/>
      <c r="O407" s="646"/>
      <c r="P407" s="646"/>
      <c r="Q407" s="770"/>
    </row>
    <row r="408" spans="1:16" s="80" customFormat="1" ht="66" customHeight="1" thickBot="1" thickTop="1">
      <c r="A408" s="665">
        <v>756</v>
      </c>
      <c r="B408" s="665"/>
      <c r="C408" s="666" t="s">
        <v>380</v>
      </c>
      <c r="D408" s="683">
        <f t="shared" si="142"/>
        <v>22500</v>
      </c>
      <c r="E408" s="683">
        <f aca="true" t="shared" si="145" ref="E408:K408">SUM(E409:E409)</f>
        <v>3995</v>
      </c>
      <c r="F408" s="683">
        <f t="shared" si="145"/>
        <v>3760</v>
      </c>
      <c r="G408" s="683">
        <f t="shared" si="145"/>
        <v>4970</v>
      </c>
      <c r="H408" s="683">
        <f t="shared" si="145"/>
        <v>2420</v>
      </c>
      <c r="I408" s="683">
        <f t="shared" si="145"/>
        <v>4265</v>
      </c>
      <c r="J408" s="683">
        <f t="shared" si="145"/>
        <v>2858</v>
      </c>
      <c r="K408" s="683">
        <f t="shared" si="145"/>
        <v>232</v>
      </c>
      <c r="L408" s="683"/>
      <c r="M408" s="683"/>
      <c r="N408" s="683"/>
      <c r="O408" s="683"/>
      <c r="P408" s="683"/>
    </row>
    <row r="409" spans="1:16" ht="45.75" customHeight="1">
      <c r="A409" s="672"/>
      <c r="B409" s="672">
        <v>75618</v>
      </c>
      <c r="C409" s="766" t="s">
        <v>989</v>
      </c>
      <c r="D409" s="727">
        <f t="shared" si="142"/>
        <v>22500</v>
      </c>
      <c r="E409" s="727">
        <v>3995</v>
      </c>
      <c r="F409" s="727">
        <v>3760</v>
      </c>
      <c r="G409" s="727">
        <v>4970</v>
      </c>
      <c r="H409" s="727">
        <v>2420</v>
      </c>
      <c r="I409" s="727">
        <v>4265</v>
      </c>
      <c r="J409" s="727">
        <v>2858</v>
      </c>
      <c r="K409" s="727">
        <v>232</v>
      </c>
      <c r="L409" s="727"/>
      <c r="M409" s="727"/>
      <c r="N409" s="727"/>
      <c r="O409" s="727"/>
      <c r="P409" s="727"/>
    </row>
    <row r="410" spans="1:16" s="648" customFormat="1" ht="26.25" customHeight="1" thickBot="1">
      <c r="A410" s="686"/>
      <c r="B410" s="686"/>
      <c r="C410" s="762" t="s">
        <v>101</v>
      </c>
      <c r="D410" s="1013">
        <f t="shared" si="142"/>
        <v>8102000</v>
      </c>
      <c r="E410" s="1013">
        <f aca="true" t="shared" si="146" ref="E410:P411">E411</f>
        <v>469302</v>
      </c>
      <c r="F410" s="1013">
        <f t="shared" si="146"/>
        <v>445589</v>
      </c>
      <c r="G410" s="1013">
        <f t="shared" si="146"/>
        <v>567457</v>
      </c>
      <c r="H410" s="1013">
        <f t="shared" si="146"/>
        <v>598036</v>
      </c>
      <c r="I410" s="1013">
        <f t="shared" si="146"/>
        <v>586749</v>
      </c>
      <c r="J410" s="1013">
        <f t="shared" si="146"/>
        <v>946000</v>
      </c>
      <c r="K410" s="1013">
        <f t="shared" si="146"/>
        <v>946000</v>
      </c>
      <c r="L410" s="1013">
        <f t="shared" si="146"/>
        <v>983000</v>
      </c>
      <c r="M410" s="678">
        <f t="shared" si="146"/>
        <v>848000</v>
      </c>
      <c r="N410" s="678">
        <f t="shared" si="146"/>
        <v>567000</v>
      </c>
      <c r="O410" s="678">
        <f t="shared" si="146"/>
        <v>567000</v>
      </c>
      <c r="P410" s="678">
        <f t="shared" si="146"/>
        <v>577867</v>
      </c>
    </row>
    <row r="411" spans="1:16" s="80" customFormat="1" ht="68.25" customHeight="1" thickBot="1" thickTop="1">
      <c r="A411" s="771">
        <v>756</v>
      </c>
      <c r="B411" s="771"/>
      <c r="C411" s="772" t="s">
        <v>380</v>
      </c>
      <c r="D411" s="773">
        <f t="shared" si="142"/>
        <v>8102000</v>
      </c>
      <c r="E411" s="773">
        <f t="shared" si="146"/>
        <v>469302</v>
      </c>
      <c r="F411" s="773">
        <f t="shared" si="146"/>
        <v>445589</v>
      </c>
      <c r="G411" s="773">
        <f t="shared" si="146"/>
        <v>567457</v>
      </c>
      <c r="H411" s="773">
        <f t="shared" si="146"/>
        <v>598036</v>
      </c>
      <c r="I411" s="773">
        <f t="shared" si="146"/>
        <v>586749</v>
      </c>
      <c r="J411" s="773">
        <f t="shared" si="146"/>
        <v>946000</v>
      </c>
      <c r="K411" s="773">
        <f t="shared" si="146"/>
        <v>946000</v>
      </c>
      <c r="L411" s="773">
        <f t="shared" si="146"/>
        <v>983000</v>
      </c>
      <c r="M411" s="773">
        <f t="shared" si="146"/>
        <v>848000</v>
      </c>
      <c r="N411" s="773">
        <f t="shared" si="146"/>
        <v>567000</v>
      </c>
      <c r="O411" s="773">
        <f t="shared" si="146"/>
        <v>567000</v>
      </c>
      <c r="P411" s="773">
        <f t="shared" si="146"/>
        <v>577867</v>
      </c>
    </row>
    <row r="412" spans="1:16" ht="49.5" customHeight="1" thickTop="1">
      <c r="A412" s="639"/>
      <c r="B412" s="652">
        <v>75618</v>
      </c>
      <c r="C412" s="731" t="s">
        <v>989</v>
      </c>
      <c r="D412" s="774">
        <f t="shared" si="142"/>
        <v>8102000</v>
      </c>
      <c r="E412" s="774">
        <v>469302</v>
      </c>
      <c r="F412" s="774">
        <v>445589</v>
      </c>
      <c r="G412" s="774">
        <v>567457</v>
      </c>
      <c r="H412" s="774">
        <v>598036</v>
      </c>
      <c r="I412" s="774">
        <v>586749</v>
      </c>
      <c r="J412" s="774">
        <v>946000</v>
      </c>
      <c r="K412" s="774">
        <v>946000</v>
      </c>
      <c r="L412" s="774">
        <v>983000</v>
      </c>
      <c r="M412" s="654">
        <v>848000</v>
      </c>
      <c r="N412" s="654">
        <v>567000</v>
      </c>
      <c r="O412" s="654">
        <v>567000</v>
      </c>
      <c r="P412" s="654">
        <v>577867</v>
      </c>
    </row>
    <row r="413" spans="1:16" ht="24.75" customHeight="1">
      <c r="A413" s="639"/>
      <c r="B413" s="758"/>
      <c r="C413" s="640" t="s">
        <v>1094</v>
      </c>
      <c r="D413" s="641">
        <f t="shared" si="102"/>
        <v>-29800</v>
      </c>
      <c r="E413" s="641">
        <f aca="true" t="shared" si="147" ref="E413:P413">E414+E420</f>
        <v>-2523</v>
      </c>
      <c r="F413" s="641">
        <f t="shared" si="147"/>
        <v>-2539</v>
      </c>
      <c r="G413" s="641">
        <f t="shared" si="147"/>
        <v>-2485</v>
      </c>
      <c r="H413" s="641">
        <f t="shared" si="147"/>
        <v>-2513</v>
      </c>
      <c r="I413" s="641">
        <f t="shared" si="147"/>
        <v>-2488</v>
      </c>
      <c r="J413" s="641">
        <f t="shared" si="147"/>
        <v>-2485</v>
      </c>
      <c r="K413" s="641">
        <f t="shared" si="147"/>
        <v>-2494</v>
      </c>
      <c r="L413" s="641">
        <f t="shared" si="147"/>
        <v>-2485</v>
      </c>
      <c r="M413" s="641">
        <f t="shared" si="147"/>
        <v>-2551</v>
      </c>
      <c r="N413" s="641">
        <f t="shared" si="147"/>
        <v>-2485</v>
      </c>
      <c r="O413" s="641">
        <f t="shared" si="147"/>
        <v>-2377</v>
      </c>
      <c r="P413" s="641">
        <f t="shared" si="147"/>
        <v>-2375</v>
      </c>
    </row>
    <row r="414" spans="1:16" s="648" customFormat="1" ht="26.25" customHeight="1" thickBot="1">
      <c r="A414" s="644"/>
      <c r="B414" s="644"/>
      <c r="C414" s="645" t="s">
        <v>461</v>
      </c>
      <c r="D414" s="646">
        <f t="shared" si="102"/>
        <v>-4600</v>
      </c>
      <c r="E414" s="646">
        <f aca="true" t="shared" si="148" ref="E414:P414">E415+E418</f>
        <v>-385</v>
      </c>
      <c r="F414" s="646">
        <f t="shared" si="148"/>
        <v>-385</v>
      </c>
      <c r="G414" s="646">
        <f t="shared" si="148"/>
        <v>-385</v>
      </c>
      <c r="H414" s="646">
        <f t="shared" si="148"/>
        <v>-385</v>
      </c>
      <c r="I414" s="646">
        <f t="shared" si="148"/>
        <v>-385</v>
      </c>
      <c r="J414" s="646">
        <f t="shared" si="148"/>
        <v>-385</v>
      </c>
      <c r="K414" s="646">
        <f t="shared" si="148"/>
        <v>-385</v>
      </c>
      <c r="L414" s="646">
        <f t="shared" si="148"/>
        <v>-385</v>
      </c>
      <c r="M414" s="647">
        <f t="shared" si="148"/>
        <v>-385</v>
      </c>
      <c r="N414" s="647">
        <f t="shared" si="148"/>
        <v>-385</v>
      </c>
      <c r="O414" s="647">
        <f t="shared" si="148"/>
        <v>-375</v>
      </c>
      <c r="P414" s="647">
        <f t="shared" si="148"/>
        <v>-375</v>
      </c>
    </row>
    <row r="415" spans="1:16" s="80" customFormat="1" ht="25.5" customHeight="1" thickBot="1" thickTop="1">
      <c r="A415" s="669">
        <v>700</v>
      </c>
      <c r="B415" s="669"/>
      <c r="C415" s="688" t="s">
        <v>433</v>
      </c>
      <c r="D415" s="630">
        <f t="shared" si="102"/>
        <v>-3600</v>
      </c>
      <c r="E415" s="630">
        <f aca="true" t="shared" si="149" ref="E415:P415">SUM(E416:E417)</f>
        <v>-300</v>
      </c>
      <c r="F415" s="630">
        <f t="shared" si="149"/>
        <v>-300</v>
      </c>
      <c r="G415" s="630">
        <f t="shared" si="149"/>
        <v>-300</v>
      </c>
      <c r="H415" s="630">
        <f t="shared" si="149"/>
        <v>-300</v>
      </c>
      <c r="I415" s="630">
        <f t="shared" si="149"/>
        <v>-300</v>
      </c>
      <c r="J415" s="630">
        <f t="shared" si="149"/>
        <v>-300</v>
      </c>
      <c r="K415" s="630">
        <f t="shared" si="149"/>
        <v>-300</v>
      </c>
      <c r="L415" s="630">
        <f t="shared" si="149"/>
        <v>-300</v>
      </c>
      <c r="M415" s="630">
        <f t="shared" si="149"/>
        <v>-300</v>
      </c>
      <c r="N415" s="630">
        <f t="shared" si="149"/>
        <v>-300</v>
      </c>
      <c r="O415" s="630">
        <f t="shared" si="149"/>
        <v>-300</v>
      </c>
      <c r="P415" s="630">
        <f t="shared" si="149"/>
        <v>-300</v>
      </c>
    </row>
    <row r="416" spans="1:16" s="80" customFormat="1" ht="24" customHeight="1">
      <c r="A416" s="775"/>
      <c r="B416" s="776">
        <v>70001</v>
      </c>
      <c r="C416" s="673" t="s">
        <v>434</v>
      </c>
      <c r="D416" s="727">
        <f t="shared" si="102"/>
        <v>-2100</v>
      </c>
      <c r="E416" s="727">
        <v>-175</v>
      </c>
      <c r="F416" s="727">
        <v>-175</v>
      </c>
      <c r="G416" s="727">
        <v>-175</v>
      </c>
      <c r="H416" s="727">
        <v>-175</v>
      </c>
      <c r="I416" s="727">
        <v>-175</v>
      </c>
      <c r="J416" s="727">
        <v>-175</v>
      </c>
      <c r="K416" s="727">
        <v>-175</v>
      </c>
      <c r="L416" s="727">
        <v>-175</v>
      </c>
      <c r="M416" s="727">
        <v>-175</v>
      </c>
      <c r="N416" s="727">
        <v>-175</v>
      </c>
      <c r="O416" s="727">
        <v>-175</v>
      </c>
      <c r="P416" s="727">
        <v>-175</v>
      </c>
    </row>
    <row r="417" spans="1:16" ht="25.5" customHeight="1">
      <c r="A417" s="652"/>
      <c r="B417" s="652">
        <v>70005</v>
      </c>
      <c r="C417" s="668" t="s">
        <v>435</v>
      </c>
      <c r="D417" s="654">
        <f t="shared" si="102"/>
        <v>-1500</v>
      </c>
      <c r="E417" s="654">
        <v>-125</v>
      </c>
      <c r="F417" s="654">
        <v>-125</v>
      </c>
      <c r="G417" s="654">
        <v>-125</v>
      </c>
      <c r="H417" s="654">
        <v>-125</v>
      </c>
      <c r="I417" s="654">
        <v>-125</v>
      </c>
      <c r="J417" s="654">
        <v>-125</v>
      </c>
      <c r="K417" s="654">
        <v>-125</v>
      </c>
      <c r="L417" s="654">
        <v>-125</v>
      </c>
      <c r="M417" s="654">
        <v>-125</v>
      </c>
      <c r="N417" s="654">
        <v>-125</v>
      </c>
      <c r="O417" s="654">
        <v>-125</v>
      </c>
      <c r="P417" s="654">
        <v>-125</v>
      </c>
    </row>
    <row r="418" spans="1:16" s="80" customFormat="1" ht="27.75" customHeight="1" thickBot="1">
      <c r="A418" s="665">
        <v>852</v>
      </c>
      <c r="B418" s="665"/>
      <c r="C418" s="675" t="s">
        <v>129</v>
      </c>
      <c r="D418" s="676">
        <f t="shared" si="102"/>
        <v>-1000</v>
      </c>
      <c r="E418" s="676">
        <f aca="true" t="shared" si="150" ref="E418:P418">E419</f>
        <v>-85</v>
      </c>
      <c r="F418" s="676">
        <f t="shared" si="150"/>
        <v>-85</v>
      </c>
      <c r="G418" s="676">
        <f t="shared" si="150"/>
        <v>-85</v>
      </c>
      <c r="H418" s="676">
        <f t="shared" si="150"/>
        <v>-85</v>
      </c>
      <c r="I418" s="676">
        <f t="shared" si="150"/>
        <v>-85</v>
      </c>
      <c r="J418" s="676">
        <f t="shared" si="150"/>
        <v>-85</v>
      </c>
      <c r="K418" s="676">
        <f t="shared" si="150"/>
        <v>-85</v>
      </c>
      <c r="L418" s="676">
        <f t="shared" si="150"/>
        <v>-85</v>
      </c>
      <c r="M418" s="676">
        <f t="shared" si="150"/>
        <v>-85</v>
      </c>
      <c r="N418" s="676">
        <f t="shared" si="150"/>
        <v>-85</v>
      </c>
      <c r="O418" s="676">
        <f t="shared" si="150"/>
        <v>-75</v>
      </c>
      <c r="P418" s="676">
        <f t="shared" si="150"/>
        <v>-75</v>
      </c>
    </row>
    <row r="419" spans="1:16" ht="27.75" customHeight="1">
      <c r="A419" s="639"/>
      <c r="B419" s="639">
        <v>85215</v>
      </c>
      <c r="C419" s="684" t="s">
        <v>615</v>
      </c>
      <c r="D419" s="1006">
        <f t="shared" si="102"/>
        <v>-1000</v>
      </c>
      <c r="E419" s="1006">
        <v>-85</v>
      </c>
      <c r="F419" s="1006">
        <v>-85</v>
      </c>
      <c r="G419" s="1006">
        <v>-85</v>
      </c>
      <c r="H419" s="1006">
        <v>-85</v>
      </c>
      <c r="I419" s="1006">
        <v>-85</v>
      </c>
      <c r="J419" s="1006">
        <v>-85</v>
      </c>
      <c r="K419" s="1006">
        <v>-85</v>
      </c>
      <c r="L419" s="1006">
        <v>-85</v>
      </c>
      <c r="M419" s="1006">
        <v>-85</v>
      </c>
      <c r="N419" s="1006">
        <v>-85</v>
      </c>
      <c r="O419" s="1006">
        <v>-75</v>
      </c>
      <c r="P419" s="1006">
        <v>-75</v>
      </c>
    </row>
    <row r="420" spans="1:16" ht="26.25" customHeight="1" thickBot="1">
      <c r="A420" s="652"/>
      <c r="B420" s="719"/>
      <c r="C420" s="762" t="s">
        <v>101</v>
      </c>
      <c r="D420" s="1013">
        <f t="shared" si="102"/>
        <v>-25200</v>
      </c>
      <c r="E420" s="1013">
        <f aca="true" t="shared" si="151" ref="E420:P420">E421+E423</f>
        <v>-2138</v>
      </c>
      <c r="F420" s="1013">
        <f t="shared" si="151"/>
        <v>-2154</v>
      </c>
      <c r="G420" s="1013">
        <f t="shared" si="151"/>
        <v>-2100</v>
      </c>
      <c r="H420" s="1013">
        <f t="shared" si="151"/>
        <v>-2128</v>
      </c>
      <c r="I420" s="1013">
        <f t="shared" si="151"/>
        <v>-2103</v>
      </c>
      <c r="J420" s="1013">
        <f t="shared" si="151"/>
        <v>-2100</v>
      </c>
      <c r="K420" s="1013">
        <f t="shared" si="151"/>
        <v>-2109</v>
      </c>
      <c r="L420" s="1013">
        <f t="shared" si="151"/>
        <v>-2100</v>
      </c>
      <c r="M420" s="1013">
        <f t="shared" si="151"/>
        <v>-2166</v>
      </c>
      <c r="N420" s="1013">
        <f t="shared" si="151"/>
        <v>-2100</v>
      </c>
      <c r="O420" s="1013">
        <f t="shared" si="151"/>
        <v>-2002</v>
      </c>
      <c r="P420" s="1013">
        <f t="shared" si="151"/>
        <v>-2000</v>
      </c>
    </row>
    <row r="421" spans="1:16" ht="21" customHeight="1" thickBot="1" thickTop="1">
      <c r="A421" s="669">
        <v>630</v>
      </c>
      <c r="B421" s="669"/>
      <c r="C421" s="670" t="s">
        <v>430</v>
      </c>
      <c r="D421" s="630">
        <f t="shared" si="102"/>
        <v>-200</v>
      </c>
      <c r="E421" s="630">
        <f>E422</f>
        <v>-38</v>
      </c>
      <c r="F421" s="630">
        <f>F422</f>
        <v>-54</v>
      </c>
      <c r="G421" s="630"/>
      <c r="H421" s="630">
        <f>H422</f>
        <v>-28</v>
      </c>
      <c r="I421" s="630">
        <f>I422</f>
        <v>-3</v>
      </c>
      <c r="J421" s="630"/>
      <c r="K421" s="630">
        <f>K422</f>
        <v>-9</v>
      </c>
      <c r="L421" s="630"/>
      <c r="M421" s="780">
        <f>M422</f>
        <v>-66</v>
      </c>
      <c r="N421" s="780"/>
      <c r="O421" s="780">
        <f>O422</f>
        <v>-2</v>
      </c>
      <c r="P421" s="780"/>
    </row>
    <row r="422" spans="1:16" ht="21" customHeight="1">
      <c r="A422" s="672"/>
      <c r="B422" s="672">
        <v>63001</v>
      </c>
      <c r="C422" s="781" t="s">
        <v>431</v>
      </c>
      <c r="D422" s="727">
        <f t="shared" si="102"/>
        <v>-200</v>
      </c>
      <c r="E422" s="727">
        <v>-38</v>
      </c>
      <c r="F422" s="727">
        <v>-54</v>
      </c>
      <c r="G422" s="727"/>
      <c r="H422" s="727">
        <v>-28</v>
      </c>
      <c r="I422" s="727">
        <v>-3</v>
      </c>
      <c r="J422" s="727"/>
      <c r="K422" s="727">
        <v>-9</v>
      </c>
      <c r="L422" s="727"/>
      <c r="M422" s="782">
        <v>-66</v>
      </c>
      <c r="N422" s="782"/>
      <c r="O422" s="782">
        <v>-2</v>
      </c>
      <c r="P422" s="782"/>
    </row>
    <row r="423" spans="1:16" ht="64.5" customHeight="1" thickBot="1">
      <c r="A423" s="783">
        <v>756</v>
      </c>
      <c r="B423" s="784"/>
      <c r="C423" s="666" t="s">
        <v>380</v>
      </c>
      <c r="D423" s="785">
        <f t="shared" si="102"/>
        <v>-25000</v>
      </c>
      <c r="E423" s="785">
        <f aca="true" t="shared" si="152" ref="E423:P423">E424</f>
        <v>-2100</v>
      </c>
      <c r="F423" s="785">
        <f t="shared" si="152"/>
        <v>-2100</v>
      </c>
      <c r="G423" s="785">
        <f t="shared" si="152"/>
        <v>-2100</v>
      </c>
      <c r="H423" s="785">
        <f t="shared" si="152"/>
        <v>-2100</v>
      </c>
      <c r="I423" s="785">
        <f t="shared" si="152"/>
        <v>-2100</v>
      </c>
      <c r="J423" s="785">
        <f t="shared" si="152"/>
        <v>-2100</v>
      </c>
      <c r="K423" s="785">
        <f t="shared" si="152"/>
        <v>-2100</v>
      </c>
      <c r="L423" s="785">
        <f t="shared" si="152"/>
        <v>-2100</v>
      </c>
      <c r="M423" s="785">
        <f t="shared" si="152"/>
        <v>-2100</v>
      </c>
      <c r="N423" s="785">
        <f t="shared" si="152"/>
        <v>-2100</v>
      </c>
      <c r="O423" s="785">
        <f t="shared" si="152"/>
        <v>-2000</v>
      </c>
      <c r="P423" s="785">
        <f t="shared" si="152"/>
        <v>-2000</v>
      </c>
    </row>
    <row r="424" spans="1:17" s="643" customFormat="1" ht="46.5" customHeight="1">
      <c r="A424" s="786"/>
      <c r="B424" s="787">
        <v>75618</v>
      </c>
      <c r="C424" s="653" t="s">
        <v>989</v>
      </c>
      <c r="D424" s="788">
        <f t="shared" si="102"/>
        <v>-25000</v>
      </c>
      <c r="E424" s="788">
        <v>-2100</v>
      </c>
      <c r="F424" s="788">
        <v>-2100</v>
      </c>
      <c r="G424" s="788">
        <v>-2100</v>
      </c>
      <c r="H424" s="788">
        <v>-2100</v>
      </c>
      <c r="I424" s="788">
        <v>-2100</v>
      </c>
      <c r="J424" s="788">
        <v>-2100</v>
      </c>
      <c r="K424" s="788">
        <v>-2100</v>
      </c>
      <c r="L424" s="788">
        <v>-2100</v>
      </c>
      <c r="M424" s="788">
        <v>-2100</v>
      </c>
      <c r="N424" s="788">
        <v>-2100</v>
      </c>
      <c r="O424" s="788">
        <v>-2000</v>
      </c>
      <c r="P424" s="788">
        <v>-2000</v>
      </c>
      <c r="Q424" s="642"/>
    </row>
    <row r="425" spans="1:16" ht="21.75" customHeight="1">
      <c r="A425" s="639"/>
      <c r="B425" s="758"/>
      <c r="C425" s="640" t="s">
        <v>1095</v>
      </c>
      <c r="D425" s="641">
        <f aca="true" t="shared" si="153" ref="D425:D434">SUM(E425:P425)</f>
        <v>200</v>
      </c>
      <c r="E425" s="641"/>
      <c r="F425" s="641"/>
      <c r="G425" s="641"/>
      <c r="H425" s="641">
        <f aca="true" t="shared" si="154" ref="H425:L427">H426</f>
        <v>30</v>
      </c>
      <c r="I425" s="641">
        <f t="shared" si="154"/>
        <v>47</v>
      </c>
      <c r="J425" s="641">
        <f t="shared" si="154"/>
        <v>40</v>
      </c>
      <c r="K425" s="641">
        <f t="shared" si="154"/>
        <v>23</v>
      </c>
      <c r="L425" s="641">
        <f t="shared" si="154"/>
        <v>60</v>
      </c>
      <c r="M425" s="641"/>
      <c r="N425" s="641"/>
      <c r="O425" s="641"/>
      <c r="P425" s="641"/>
    </row>
    <row r="426" spans="1:16" ht="26.25" customHeight="1" thickBot="1">
      <c r="A426" s="652"/>
      <c r="B426" s="652"/>
      <c r="C426" s="645" t="s">
        <v>101</v>
      </c>
      <c r="D426" s="646">
        <f t="shared" si="153"/>
        <v>200</v>
      </c>
      <c r="E426" s="646"/>
      <c r="F426" s="646"/>
      <c r="G426" s="646"/>
      <c r="H426" s="646">
        <f t="shared" si="154"/>
        <v>30</v>
      </c>
      <c r="I426" s="646">
        <f t="shared" si="154"/>
        <v>47</v>
      </c>
      <c r="J426" s="646">
        <f t="shared" si="154"/>
        <v>40</v>
      </c>
      <c r="K426" s="646">
        <f t="shared" si="154"/>
        <v>23</v>
      </c>
      <c r="L426" s="646">
        <f t="shared" si="154"/>
        <v>60</v>
      </c>
      <c r="M426" s="646"/>
      <c r="N426" s="646"/>
      <c r="O426" s="646"/>
      <c r="P426" s="646"/>
    </row>
    <row r="427" spans="1:16" ht="24" customHeight="1" thickBot="1" thickTop="1">
      <c r="A427" s="669">
        <v>630</v>
      </c>
      <c r="B427" s="669"/>
      <c r="C427" s="670" t="s">
        <v>430</v>
      </c>
      <c r="D427" s="630">
        <f t="shared" si="153"/>
        <v>200</v>
      </c>
      <c r="E427" s="630"/>
      <c r="F427" s="630"/>
      <c r="G427" s="630"/>
      <c r="H427" s="630">
        <f t="shared" si="154"/>
        <v>30</v>
      </c>
      <c r="I427" s="630">
        <f t="shared" si="154"/>
        <v>47</v>
      </c>
      <c r="J427" s="630">
        <f t="shared" si="154"/>
        <v>40</v>
      </c>
      <c r="K427" s="630">
        <f t="shared" si="154"/>
        <v>23</v>
      </c>
      <c r="L427" s="630">
        <f t="shared" si="154"/>
        <v>60</v>
      </c>
      <c r="M427" s="780"/>
      <c r="N427" s="780"/>
      <c r="O427" s="780"/>
      <c r="P427" s="780"/>
    </row>
    <row r="428" spans="1:16" ht="24" customHeight="1">
      <c r="A428" s="740"/>
      <c r="B428" s="672">
        <v>63001</v>
      </c>
      <c r="C428" s="781" t="s">
        <v>431</v>
      </c>
      <c r="D428" s="727">
        <f t="shared" si="153"/>
        <v>200</v>
      </c>
      <c r="E428" s="727"/>
      <c r="F428" s="727"/>
      <c r="G428" s="727"/>
      <c r="H428" s="727">
        <v>30</v>
      </c>
      <c r="I428" s="727">
        <v>47</v>
      </c>
      <c r="J428" s="727">
        <v>40</v>
      </c>
      <c r="K428" s="727">
        <v>23</v>
      </c>
      <c r="L428" s="727">
        <v>60</v>
      </c>
      <c r="M428" s="782"/>
      <c r="N428" s="782"/>
      <c r="O428" s="782"/>
      <c r="P428" s="782"/>
    </row>
    <row r="429" spans="1:16" ht="24.75" customHeight="1">
      <c r="A429" s="639"/>
      <c r="B429" s="758"/>
      <c r="C429" s="640" t="s">
        <v>1096</v>
      </c>
      <c r="D429" s="641">
        <f t="shared" si="153"/>
        <v>2500</v>
      </c>
      <c r="E429" s="641">
        <f>E430</f>
        <v>1432</v>
      </c>
      <c r="F429" s="641">
        <f>F430</f>
        <v>833</v>
      </c>
      <c r="G429" s="641">
        <f>G430</f>
        <v>235</v>
      </c>
      <c r="H429" s="641"/>
      <c r="I429" s="641"/>
      <c r="J429" s="641"/>
      <c r="K429" s="641"/>
      <c r="L429" s="641"/>
      <c r="M429" s="641"/>
      <c r="N429" s="641"/>
      <c r="O429" s="641"/>
      <c r="P429" s="641"/>
    </row>
    <row r="430" spans="1:16" s="648" customFormat="1" ht="28.5" customHeight="1" thickBot="1">
      <c r="A430" s="644"/>
      <c r="B430" s="644"/>
      <c r="C430" s="645" t="s">
        <v>461</v>
      </c>
      <c r="D430" s="646">
        <f t="shared" si="153"/>
        <v>2500</v>
      </c>
      <c r="E430" s="646">
        <f>E431+E433</f>
        <v>1432</v>
      </c>
      <c r="F430" s="646">
        <f>F431+F433</f>
        <v>833</v>
      </c>
      <c r="G430" s="646">
        <f>G431+G433</f>
        <v>235</v>
      </c>
      <c r="H430" s="646"/>
      <c r="I430" s="646"/>
      <c r="J430" s="646"/>
      <c r="K430" s="646"/>
      <c r="L430" s="646"/>
      <c r="M430" s="647"/>
      <c r="N430" s="647"/>
      <c r="O430" s="647"/>
      <c r="P430" s="647"/>
    </row>
    <row r="431" spans="1:16" s="80" customFormat="1" ht="25.5" customHeight="1" thickBot="1" thickTop="1">
      <c r="A431" s="669">
        <v>700</v>
      </c>
      <c r="B431" s="669"/>
      <c r="C431" s="688" t="s">
        <v>433</v>
      </c>
      <c r="D431" s="630">
        <f t="shared" si="153"/>
        <v>1500</v>
      </c>
      <c r="E431" s="630">
        <f>SUM(E432:E432)</f>
        <v>1265</v>
      </c>
      <c r="F431" s="630"/>
      <c r="G431" s="630">
        <f>SUM(G432:G432)</f>
        <v>235</v>
      </c>
      <c r="H431" s="630"/>
      <c r="I431" s="630"/>
      <c r="J431" s="630"/>
      <c r="K431" s="630"/>
      <c r="L431" s="630"/>
      <c r="M431" s="630"/>
      <c r="N431" s="630"/>
      <c r="O431" s="630"/>
      <c r="P431" s="630"/>
    </row>
    <row r="432" spans="1:16" ht="25.5" customHeight="1">
      <c r="A432" s="672"/>
      <c r="B432" s="672">
        <v>70005</v>
      </c>
      <c r="C432" s="673" t="s">
        <v>435</v>
      </c>
      <c r="D432" s="727">
        <f t="shared" si="153"/>
        <v>1500</v>
      </c>
      <c r="E432" s="727">
        <v>1265</v>
      </c>
      <c r="F432" s="727"/>
      <c r="G432" s="727">
        <v>235</v>
      </c>
      <c r="H432" s="727"/>
      <c r="I432" s="727"/>
      <c r="J432" s="727"/>
      <c r="K432" s="727"/>
      <c r="L432" s="727"/>
      <c r="M432" s="727"/>
      <c r="N432" s="727"/>
      <c r="O432" s="727"/>
      <c r="P432" s="727"/>
    </row>
    <row r="433" spans="1:16" s="80" customFormat="1" ht="24" customHeight="1" thickBot="1">
      <c r="A433" s="665">
        <v>852</v>
      </c>
      <c r="B433" s="665"/>
      <c r="C433" s="675" t="s">
        <v>129</v>
      </c>
      <c r="D433" s="676">
        <f t="shared" si="153"/>
        <v>1000</v>
      </c>
      <c r="E433" s="676">
        <f>E434</f>
        <v>167</v>
      </c>
      <c r="F433" s="676">
        <f>F434</f>
        <v>833</v>
      </c>
      <c r="G433" s="676"/>
      <c r="H433" s="676"/>
      <c r="I433" s="676"/>
      <c r="J433" s="676"/>
      <c r="K433" s="676"/>
      <c r="L433" s="676"/>
      <c r="M433" s="676"/>
      <c r="N433" s="676"/>
      <c r="O433" s="676"/>
      <c r="P433" s="676"/>
    </row>
    <row r="434" spans="1:16" ht="21" customHeight="1">
      <c r="A434" s="639"/>
      <c r="B434" s="639">
        <v>85215</v>
      </c>
      <c r="C434" s="673" t="s">
        <v>615</v>
      </c>
      <c r="D434" s="674">
        <f t="shared" si="153"/>
        <v>1000</v>
      </c>
      <c r="E434" s="674">
        <v>167</v>
      </c>
      <c r="F434" s="674">
        <v>833</v>
      </c>
      <c r="G434" s="674"/>
      <c r="H434" s="674"/>
      <c r="I434" s="674"/>
      <c r="J434" s="674"/>
      <c r="K434" s="674"/>
      <c r="L434" s="674"/>
      <c r="M434" s="674"/>
      <c r="N434" s="674"/>
      <c r="O434" s="674"/>
      <c r="P434" s="674"/>
    </row>
    <row r="435" spans="1:16" ht="21.75" customHeight="1">
      <c r="A435" s="639"/>
      <c r="B435" s="758"/>
      <c r="C435" s="640" t="s">
        <v>1097</v>
      </c>
      <c r="D435" s="641">
        <f>SUM(E435:P435)</f>
        <v>25000</v>
      </c>
      <c r="E435" s="641">
        <f>E436</f>
        <v>2325</v>
      </c>
      <c r="F435" s="641">
        <f aca="true" t="shared" si="155" ref="F435:P435">F436</f>
        <v>1900</v>
      </c>
      <c r="G435" s="641">
        <f t="shared" si="155"/>
        <v>3175</v>
      </c>
      <c r="H435" s="641">
        <f t="shared" si="155"/>
        <v>1975</v>
      </c>
      <c r="I435" s="641">
        <f t="shared" si="155"/>
        <v>2675</v>
      </c>
      <c r="J435" s="641">
        <f t="shared" si="155"/>
        <v>1850</v>
      </c>
      <c r="K435" s="641">
        <f t="shared" si="155"/>
        <v>1850</v>
      </c>
      <c r="L435" s="641">
        <f t="shared" si="155"/>
        <v>1850</v>
      </c>
      <c r="M435" s="641">
        <f t="shared" si="155"/>
        <v>1850</v>
      </c>
      <c r="N435" s="641">
        <f t="shared" si="155"/>
        <v>1850</v>
      </c>
      <c r="O435" s="641">
        <f t="shared" si="155"/>
        <v>1850</v>
      </c>
      <c r="P435" s="641">
        <f t="shared" si="155"/>
        <v>1850</v>
      </c>
    </row>
    <row r="436" spans="1:16" ht="21" customHeight="1" thickBot="1">
      <c r="A436" s="652"/>
      <c r="B436" s="652"/>
      <c r="C436" s="645" t="s">
        <v>101</v>
      </c>
      <c r="D436" s="646">
        <f>SUM(E436:P436)</f>
        <v>25000</v>
      </c>
      <c r="E436" s="646">
        <f>E437</f>
        <v>2325</v>
      </c>
      <c r="F436" s="646">
        <f aca="true" t="shared" si="156" ref="F436:P436">F437</f>
        <v>1900</v>
      </c>
      <c r="G436" s="646">
        <f t="shared" si="156"/>
        <v>3175</v>
      </c>
      <c r="H436" s="646">
        <f t="shared" si="156"/>
        <v>1975</v>
      </c>
      <c r="I436" s="646">
        <f t="shared" si="156"/>
        <v>2675</v>
      </c>
      <c r="J436" s="646">
        <f t="shared" si="156"/>
        <v>1850</v>
      </c>
      <c r="K436" s="646">
        <f t="shared" si="156"/>
        <v>1850</v>
      </c>
      <c r="L436" s="646">
        <f t="shared" si="156"/>
        <v>1850</v>
      </c>
      <c r="M436" s="646">
        <f t="shared" si="156"/>
        <v>1850</v>
      </c>
      <c r="N436" s="646">
        <f t="shared" si="156"/>
        <v>1850</v>
      </c>
      <c r="O436" s="646">
        <f t="shared" si="156"/>
        <v>1850</v>
      </c>
      <c r="P436" s="646">
        <f t="shared" si="156"/>
        <v>1850</v>
      </c>
    </row>
    <row r="437" spans="1:16" ht="64.5" customHeight="1" thickBot="1" thickTop="1">
      <c r="A437" s="783">
        <v>756</v>
      </c>
      <c r="B437" s="784"/>
      <c r="C437" s="666" t="s">
        <v>380</v>
      </c>
      <c r="D437" s="785">
        <f>SUM(E437:P437)</f>
        <v>25000</v>
      </c>
      <c r="E437" s="785">
        <f aca="true" t="shared" si="157" ref="E437:P437">E438</f>
        <v>2325</v>
      </c>
      <c r="F437" s="785">
        <f t="shared" si="157"/>
        <v>1900</v>
      </c>
      <c r="G437" s="785">
        <f t="shared" si="157"/>
        <v>3175</v>
      </c>
      <c r="H437" s="785">
        <f t="shared" si="157"/>
        <v>1975</v>
      </c>
      <c r="I437" s="785">
        <f t="shared" si="157"/>
        <v>2675</v>
      </c>
      <c r="J437" s="785">
        <f t="shared" si="157"/>
        <v>1850</v>
      </c>
      <c r="K437" s="785">
        <f t="shared" si="157"/>
        <v>1850</v>
      </c>
      <c r="L437" s="785">
        <f t="shared" si="157"/>
        <v>1850</v>
      </c>
      <c r="M437" s="785">
        <f t="shared" si="157"/>
        <v>1850</v>
      </c>
      <c r="N437" s="785">
        <f t="shared" si="157"/>
        <v>1850</v>
      </c>
      <c r="O437" s="785">
        <f t="shared" si="157"/>
        <v>1850</v>
      </c>
      <c r="P437" s="785">
        <f t="shared" si="157"/>
        <v>1850</v>
      </c>
    </row>
    <row r="438" spans="1:17" s="643" customFormat="1" ht="46.5" customHeight="1">
      <c r="A438" s="782"/>
      <c r="B438" s="782">
        <v>75618</v>
      </c>
      <c r="C438" s="673" t="s">
        <v>989</v>
      </c>
      <c r="D438" s="1215">
        <f>SUM(E438:P438)</f>
        <v>25000</v>
      </c>
      <c r="E438" s="1215">
        <v>2325</v>
      </c>
      <c r="F438" s="1215">
        <v>1900</v>
      </c>
      <c r="G438" s="1215">
        <v>3175</v>
      </c>
      <c r="H438" s="1215">
        <v>1975</v>
      </c>
      <c r="I438" s="1215">
        <v>2675</v>
      </c>
      <c r="J438" s="1215">
        <v>1850</v>
      </c>
      <c r="K438" s="1215">
        <v>1850</v>
      </c>
      <c r="L438" s="1215">
        <v>1850</v>
      </c>
      <c r="M438" s="1215">
        <v>1850</v>
      </c>
      <c r="N438" s="1215">
        <v>1850</v>
      </c>
      <c r="O438" s="1215">
        <v>1850</v>
      </c>
      <c r="P438" s="1215">
        <v>1850</v>
      </c>
      <c r="Q438" s="642"/>
    </row>
    <row r="439" spans="1:16" ht="18.75" customHeight="1">
      <c r="A439" s="758"/>
      <c r="B439" s="758"/>
      <c r="C439" s="1181" t="s">
        <v>1098</v>
      </c>
      <c r="D439" s="1183">
        <f t="shared" si="102"/>
        <v>-442816</v>
      </c>
      <c r="E439" s="1183">
        <f>E440</f>
        <v>-53527</v>
      </c>
      <c r="F439" s="1183"/>
      <c r="G439" s="1183"/>
      <c r="H439" s="1183"/>
      <c r="I439" s="1183">
        <f aca="true" t="shared" si="158" ref="I439:O439">I440</f>
        <v>-20000</v>
      </c>
      <c r="J439" s="1183">
        <f t="shared" si="158"/>
        <v>-44816</v>
      </c>
      <c r="K439" s="1183">
        <f t="shared" si="158"/>
        <v>-20000</v>
      </c>
      <c r="L439" s="1183">
        <f t="shared" si="158"/>
        <v>-20000</v>
      </c>
      <c r="M439" s="1183">
        <f t="shared" si="158"/>
        <v>-70000</v>
      </c>
      <c r="N439" s="1183">
        <f t="shared" si="158"/>
        <v>-100000</v>
      </c>
      <c r="O439" s="1183">
        <f t="shared" si="158"/>
        <v>-114473</v>
      </c>
      <c r="P439" s="1183"/>
    </row>
    <row r="440" spans="1:16" s="791" customFormat="1" ht="18.75" customHeight="1">
      <c r="A440" s="789"/>
      <c r="B440" s="789"/>
      <c r="C440" s="656" t="s">
        <v>1144</v>
      </c>
      <c r="D440" s="790">
        <f t="shared" si="102"/>
        <v>-442816</v>
      </c>
      <c r="E440" s="790">
        <f>E441+E446</f>
        <v>-53527</v>
      </c>
      <c r="F440" s="790"/>
      <c r="G440" s="790"/>
      <c r="H440" s="790"/>
      <c r="I440" s="790">
        <f aca="true" t="shared" si="159" ref="I440:O440">I441+I446</f>
        <v>-20000</v>
      </c>
      <c r="J440" s="790">
        <f t="shared" si="159"/>
        <v>-44816</v>
      </c>
      <c r="K440" s="790">
        <f t="shared" si="159"/>
        <v>-20000</v>
      </c>
      <c r="L440" s="790">
        <f t="shared" si="159"/>
        <v>-20000</v>
      </c>
      <c r="M440" s="790">
        <f t="shared" si="159"/>
        <v>-70000</v>
      </c>
      <c r="N440" s="790">
        <f t="shared" si="159"/>
        <v>-100000</v>
      </c>
      <c r="O440" s="790">
        <f t="shared" si="159"/>
        <v>-114473</v>
      </c>
      <c r="P440" s="790"/>
    </row>
    <row r="441" spans="1:16" s="648" customFormat="1" ht="19.5" customHeight="1" thickBot="1">
      <c r="A441" s="644"/>
      <c r="B441" s="644"/>
      <c r="C441" s="645" t="s">
        <v>513</v>
      </c>
      <c r="D441" s="646">
        <f t="shared" si="102"/>
        <v>-124816</v>
      </c>
      <c r="E441" s="646"/>
      <c r="F441" s="646"/>
      <c r="G441" s="646"/>
      <c r="H441" s="646"/>
      <c r="I441" s="646">
        <f>I444</f>
        <v>-20000</v>
      </c>
      <c r="J441" s="646">
        <f>J444+J442</f>
        <v>-44816</v>
      </c>
      <c r="K441" s="646">
        <f>K444</f>
        <v>-20000</v>
      </c>
      <c r="L441" s="646">
        <f>L444</f>
        <v>-20000</v>
      </c>
      <c r="M441" s="647">
        <f>M444</f>
        <v>-20000</v>
      </c>
      <c r="N441" s="647"/>
      <c r="O441" s="647"/>
      <c r="P441" s="647"/>
    </row>
    <row r="442" spans="1:16" s="80" customFormat="1" ht="24" customHeight="1" thickBot="1" thickTop="1">
      <c r="A442" s="669">
        <v>750</v>
      </c>
      <c r="B442" s="726"/>
      <c r="C442" s="688" t="s">
        <v>439</v>
      </c>
      <c r="D442" s="689">
        <f>SUM(E442:P442)</f>
        <v>-24816</v>
      </c>
      <c r="E442" s="689"/>
      <c r="F442" s="689"/>
      <c r="G442" s="689"/>
      <c r="H442" s="689"/>
      <c r="I442" s="689"/>
      <c r="J442" s="689">
        <f>J443</f>
        <v>-24816</v>
      </c>
      <c r="K442" s="689"/>
      <c r="L442" s="689"/>
      <c r="M442" s="689"/>
      <c r="N442" s="689"/>
      <c r="O442" s="689"/>
      <c r="P442" s="689"/>
    </row>
    <row r="443" spans="1:17" s="769" customFormat="1" ht="21" customHeight="1">
      <c r="A443" s="775"/>
      <c r="B443" s="776">
        <v>75023</v>
      </c>
      <c r="C443" s="792" t="s">
        <v>1061</v>
      </c>
      <c r="D443" s="674">
        <f>SUM(E443:P443)</f>
        <v>-24816</v>
      </c>
      <c r="E443" s="674"/>
      <c r="F443" s="674"/>
      <c r="G443" s="674"/>
      <c r="H443" s="674"/>
      <c r="I443" s="674"/>
      <c r="J443" s="674">
        <v>-24816</v>
      </c>
      <c r="K443" s="674"/>
      <c r="L443" s="674"/>
      <c r="M443" s="692"/>
      <c r="N443" s="692"/>
      <c r="O443" s="692"/>
      <c r="P443" s="692"/>
      <c r="Q443" s="793"/>
    </row>
    <row r="444" spans="1:16" s="80" customFormat="1" ht="34.5" customHeight="1" thickBot="1">
      <c r="A444" s="669">
        <v>900</v>
      </c>
      <c r="B444" s="726"/>
      <c r="C444" s="688" t="s">
        <v>1048</v>
      </c>
      <c r="D444" s="689">
        <f t="shared" si="102"/>
        <v>-100000</v>
      </c>
      <c r="E444" s="689"/>
      <c r="F444" s="689"/>
      <c r="G444" s="689"/>
      <c r="H444" s="689"/>
      <c r="I444" s="689">
        <f>I445</f>
        <v>-20000</v>
      </c>
      <c r="J444" s="689">
        <f>J445</f>
        <v>-20000</v>
      </c>
      <c r="K444" s="689">
        <f>K445</f>
        <v>-20000</v>
      </c>
      <c r="L444" s="689">
        <f>L445</f>
        <v>-20000</v>
      </c>
      <c r="M444" s="689">
        <f>M445</f>
        <v>-20000</v>
      </c>
      <c r="N444" s="689"/>
      <c r="O444" s="689"/>
      <c r="P444" s="689"/>
    </row>
    <row r="445" spans="1:17" s="769" customFormat="1" ht="21" customHeight="1">
      <c r="A445" s="775"/>
      <c r="B445" s="776">
        <v>90095</v>
      </c>
      <c r="C445" s="792" t="s">
        <v>100</v>
      </c>
      <c r="D445" s="674">
        <f aca="true" t="shared" si="160" ref="D445:D454">SUM(E445:P445)</f>
        <v>-100000</v>
      </c>
      <c r="E445" s="674"/>
      <c r="F445" s="674"/>
      <c r="G445" s="674"/>
      <c r="H445" s="674"/>
      <c r="I445" s="674">
        <v>-20000</v>
      </c>
      <c r="J445" s="674">
        <v>-20000</v>
      </c>
      <c r="K445" s="674">
        <v>-20000</v>
      </c>
      <c r="L445" s="674">
        <v>-20000</v>
      </c>
      <c r="M445" s="674">
        <v>-20000</v>
      </c>
      <c r="N445" s="692"/>
      <c r="O445" s="692"/>
      <c r="P445" s="692"/>
      <c r="Q445" s="793"/>
    </row>
    <row r="446" spans="1:16" s="648" customFormat="1" ht="46.5" customHeight="1" thickBot="1">
      <c r="A446" s="644"/>
      <c r="B446" s="644"/>
      <c r="C446" s="645" t="s">
        <v>477</v>
      </c>
      <c r="D446" s="646">
        <f t="shared" si="160"/>
        <v>-318000</v>
      </c>
      <c r="E446" s="646">
        <f>E447</f>
        <v>-53527</v>
      </c>
      <c r="F446" s="646"/>
      <c r="G446" s="646"/>
      <c r="H446" s="646"/>
      <c r="I446" s="646"/>
      <c r="J446" s="646"/>
      <c r="K446" s="646"/>
      <c r="L446" s="646"/>
      <c r="M446" s="647">
        <f aca="true" t="shared" si="161" ref="M446:O447">M447</f>
        <v>-50000</v>
      </c>
      <c r="N446" s="647">
        <f t="shared" si="161"/>
        <v>-100000</v>
      </c>
      <c r="O446" s="647">
        <f t="shared" si="161"/>
        <v>-114473</v>
      </c>
      <c r="P446" s="647"/>
    </row>
    <row r="447" spans="1:16" s="80" customFormat="1" ht="36" customHeight="1" thickBot="1" thickTop="1">
      <c r="A447" s="665">
        <v>900</v>
      </c>
      <c r="B447" s="649"/>
      <c r="C447" s="650" t="s">
        <v>1048</v>
      </c>
      <c r="D447" s="658">
        <f t="shared" si="160"/>
        <v>-318000</v>
      </c>
      <c r="E447" s="658">
        <f>E448</f>
        <v>-53527</v>
      </c>
      <c r="F447" s="658"/>
      <c r="G447" s="658"/>
      <c r="H447" s="658"/>
      <c r="I447" s="658"/>
      <c r="J447" s="658"/>
      <c r="K447" s="658"/>
      <c r="L447" s="658"/>
      <c r="M447" s="658">
        <f t="shared" si="161"/>
        <v>-50000</v>
      </c>
      <c r="N447" s="658">
        <f t="shared" si="161"/>
        <v>-100000</v>
      </c>
      <c r="O447" s="658">
        <f t="shared" si="161"/>
        <v>-114473</v>
      </c>
      <c r="P447" s="658"/>
    </row>
    <row r="448" spans="1:17" s="769" customFormat="1" ht="21" customHeight="1">
      <c r="A448" s="794"/>
      <c r="B448" s="660">
        <v>90002</v>
      </c>
      <c r="C448" s="795" t="s">
        <v>176</v>
      </c>
      <c r="D448" s="664">
        <f t="shared" si="160"/>
        <v>-318000</v>
      </c>
      <c r="E448" s="664">
        <v>-53527</v>
      </c>
      <c r="F448" s="664"/>
      <c r="G448" s="664"/>
      <c r="H448" s="664"/>
      <c r="I448" s="664"/>
      <c r="J448" s="664"/>
      <c r="K448" s="664"/>
      <c r="L448" s="664"/>
      <c r="M448" s="662">
        <v>-50000</v>
      </c>
      <c r="N448" s="662">
        <v>-100000</v>
      </c>
      <c r="O448" s="662">
        <v>-114473</v>
      </c>
      <c r="P448" s="662"/>
      <c r="Q448" s="793"/>
    </row>
    <row r="449" spans="1:16" ht="18.75" customHeight="1">
      <c r="A449" s="639"/>
      <c r="B449" s="639"/>
      <c r="C449" s="640" t="s">
        <v>1099</v>
      </c>
      <c r="D449" s="641">
        <f t="shared" si="160"/>
        <v>942816</v>
      </c>
      <c r="E449" s="641">
        <f>E450</f>
        <v>67530</v>
      </c>
      <c r="F449" s="641"/>
      <c r="G449" s="641"/>
      <c r="H449" s="641">
        <f>H450</f>
        <v>41608</v>
      </c>
      <c r="I449" s="641">
        <f aca="true" t="shared" si="162" ref="I449:O449">I450</f>
        <v>44389</v>
      </c>
      <c r="J449" s="641">
        <f t="shared" si="162"/>
        <v>24816</v>
      </c>
      <c r="K449" s="641">
        <f t="shared" si="162"/>
        <v>500000</v>
      </c>
      <c r="L449" s="641"/>
      <c r="M449" s="641">
        <f t="shared" si="162"/>
        <v>50000</v>
      </c>
      <c r="N449" s="641">
        <f t="shared" si="162"/>
        <v>100000</v>
      </c>
      <c r="O449" s="641">
        <f t="shared" si="162"/>
        <v>114473</v>
      </c>
      <c r="P449" s="641"/>
    </row>
    <row r="450" spans="1:16" s="791" customFormat="1" ht="18.75" customHeight="1">
      <c r="A450" s="789"/>
      <c r="B450" s="789"/>
      <c r="C450" s="656" t="s">
        <v>1144</v>
      </c>
      <c r="D450" s="790">
        <f t="shared" si="160"/>
        <v>942816</v>
      </c>
      <c r="E450" s="790">
        <f>E451+E456</f>
        <v>67530</v>
      </c>
      <c r="F450" s="790"/>
      <c r="G450" s="790"/>
      <c r="H450" s="790">
        <f>H451+H456</f>
        <v>41608</v>
      </c>
      <c r="I450" s="790">
        <f aca="true" t="shared" si="163" ref="I450:O450">I451+I456</f>
        <v>44389</v>
      </c>
      <c r="J450" s="790">
        <f t="shared" si="163"/>
        <v>24816</v>
      </c>
      <c r="K450" s="790">
        <f t="shared" si="163"/>
        <v>500000</v>
      </c>
      <c r="L450" s="790"/>
      <c r="M450" s="790">
        <f t="shared" si="163"/>
        <v>50000</v>
      </c>
      <c r="N450" s="790">
        <f t="shared" si="163"/>
        <v>100000</v>
      </c>
      <c r="O450" s="790">
        <f t="shared" si="163"/>
        <v>114473</v>
      </c>
      <c r="P450" s="790"/>
    </row>
    <row r="451" spans="1:16" s="648" customFormat="1" ht="19.5" customHeight="1" thickBot="1">
      <c r="A451" s="644"/>
      <c r="B451" s="644"/>
      <c r="C451" s="645" t="s">
        <v>513</v>
      </c>
      <c r="D451" s="646">
        <f t="shared" si="160"/>
        <v>624816</v>
      </c>
      <c r="E451" s="646">
        <f>E452+E454</f>
        <v>14003</v>
      </c>
      <c r="F451" s="646"/>
      <c r="G451" s="646"/>
      <c r="H451" s="646">
        <f>H452+H454</f>
        <v>41608</v>
      </c>
      <c r="I451" s="646">
        <f>I454</f>
        <v>44389</v>
      </c>
      <c r="J451" s="646">
        <f>J454+J452</f>
        <v>24816</v>
      </c>
      <c r="K451" s="646">
        <f>K454</f>
        <v>500000</v>
      </c>
      <c r="L451" s="646"/>
      <c r="M451" s="647"/>
      <c r="N451" s="647"/>
      <c r="O451" s="647"/>
      <c r="P451" s="647"/>
    </row>
    <row r="452" spans="1:16" s="80" customFormat="1" ht="24" customHeight="1" thickBot="1" thickTop="1">
      <c r="A452" s="669">
        <v>750</v>
      </c>
      <c r="B452" s="726"/>
      <c r="C452" s="688" t="s">
        <v>439</v>
      </c>
      <c r="D452" s="689">
        <f t="shared" si="160"/>
        <v>24816</v>
      </c>
      <c r="E452" s="689"/>
      <c r="F452" s="689"/>
      <c r="G452" s="689"/>
      <c r="H452" s="689"/>
      <c r="I452" s="689"/>
      <c r="J452" s="689">
        <f>J453</f>
        <v>24816</v>
      </c>
      <c r="K452" s="689"/>
      <c r="L452" s="689"/>
      <c r="M452" s="689"/>
      <c r="N452" s="689"/>
      <c r="O452" s="689"/>
      <c r="P452" s="689"/>
    </row>
    <row r="453" spans="1:17" s="769" customFormat="1" ht="21" customHeight="1">
      <c r="A453" s="775"/>
      <c r="B453" s="776">
        <v>75023</v>
      </c>
      <c r="C453" s="792" t="s">
        <v>1061</v>
      </c>
      <c r="D453" s="674">
        <f t="shared" si="160"/>
        <v>24816</v>
      </c>
      <c r="E453" s="674"/>
      <c r="F453" s="674"/>
      <c r="G453" s="674"/>
      <c r="H453" s="674"/>
      <c r="I453" s="674"/>
      <c r="J453" s="674">
        <v>24816</v>
      </c>
      <c r="K453" s="674"/>
      <c r="L453" s="674"/>
      <c r="M453" s="692"/>
      <c r="N453" s="692"/>
      <c r="O453" s="692"/>
      <c r="P453" s="692"/>
      <c r="Q453" s="793"/>
    </row>
    <row r="454" spans="1:16" s="80" customFormat="1" ht="34.5" customHeight="1" thickBot="1">
      <c r="A454" s="669">
        <v>900</v>
      </c>
      <c r="B454" s="726"/>
      <c r="C454" s="688" t="s">
        <v>1048</v>
      </c>
      <c r="D454" s="689">
        <f t="shared" si="160"/>
        <v>600000</v>
      </c>
      <c r="E454" s="689">
        <f>E455</f>
        <v>14003</v>
      </c>
      <c r="F454" s="689"/>
      <c r="G454" s="689"/>
      <c r="H454" s="689">
        <f>H455</f>
        <v>41608</v>
      </c>
      <c r="I454" s="689">
        <f>I455</f>
        <v>44389</v>
      </c>
      <c r="J454" s="689"/>
      <c r="K454" s="689">
        <f>K455</f>
        <v>500000</v>
      </c>
      <c r="L454" s="689"/>
      <c r="M454" s="689"/>
      <c r="N454" s="689"/>
      <c r="O454" s="689"/>
      <c r="P454" s="689"/>
    </row>
    <row r="455" spans="1:17" s="769" customFormat="1" ht="21" customHeight="1">
      <c r="A455" s="775"/>
      <c r="B455" s="776">
        <v>90095</v>
      </c>
      <c r="C455" s="792" t="s">
        <v>100</v>
      </c>
      <c r="D455" s="674">
        <f>SUM(E455:P455)</f>
        <v>600000</v>
      </c>
      <c r="E455" s="674">
        <v>14003</v>
      </c>
      <c r="F455" s="674"/>
      <c r="G455" s="674"/>
      <c r="H455" s="674">
        <v>41608</v>
      </c>
      <c r="I455" s="674">
        <v>44389</v>
      </c>
      <c r="J455" s="674"/>
      <c r="K455" s="674">
        <v>500000</v>
      </c>
      <c r="L455" s="674"/>
      <c r="M455" s="692"/>
      <c r="N455" s="692"/>
      <c r="O455" s="692"/>
      <c r="P455" s="692"/>
      <c r="Q455" s="793"/>
    </row>
    <row r="456" spans="1:16" s="648" customFormat="1" ht="46.5" customHeight="1" thickBot="1">
      <c r="A456" s="644"/>
      <c r="B456" s="644"/>
      <c r="C456" s="645" t="s">
        <v>477</v>
      </c>
      <c r="D456" s="646">
        <f>SUM(E456:P456)</f>
        <v>318000</v>
      </c>
      <c r="E456" s="646">
        <f>E457</f>
        <v>53527</v>
      </c>
      <c r="F456" s="646"/>
      <c r="G456" s="646"/>
      <c r="H456" s="646"/>
      <c r="I456" s="646"/>
      <c r="J456" s="646"/>
      <c r="K456" s="646"/>
      <c r="L456" s="646"/>
      <c r="M456" s="647">
        <f aca="true" t="shared" si="164" ref="M456:O457">M457</f>
        <v>50000</v>
      </c>
      <c r="N456" s="647">
        <f t="shared" si="164"/>
        <v>100000</v>
      </c>
      <c r="O456" s="647">
        <f t="shared" si="164"/>
        <v>114473</v>
      </c>
      <c r="P456" s="647"/>
    </row>
    <row r="457" spans="1:16" s="80" customFormat="1" ht="36" customHeight="1" thickBot="1" thickTop="1">
      <c r="A457" s="665">
        <v>900</v>
      </c>
      <c r="B457" s="649"/>
      <c r="C457" s="650" t="s">
        <v>1048</v>
      </c>
      <c r="D457" s="658">
        <f>SUM(E457:P457)</f>
        <v>318000</v>
      </c>
      <c r="E457" s="658">
        <f>E458</f>
        <v>53527</v>
      </c>
      <c r="F457" s="658"/>
      <c r="G457" s="658"/>
      <c r="H457" s="658"/>
      <c r="I457" s="658"/>
      <c r="J457" s="658"/>
      <c r="K457" s="658"/>
      <c r="L457" s="658"/>
      <c r="M457" s="658">
        <f t="shared" si="164"/>
        <v>50000</v>
      </c>
      <c r="N457" s="658">
        <f t="shared" si="164"/>
        <v>100000</v>
      </c>
      <c r="O457" s="658">
        <f t="shared" si="164"/>
        <v>114473</v>
      </c>
      <c r="P457" s="658"/>
    </row>
    <row r="458" spans="1:17" s="769" customFormat="1" ht="21" customHeight="1">
      <c r="A458" s="1064"/>
      <c r="B458" s="660">
        <v>90002</v>
      </c>
      <c r="C458" s="795" t="s">
        <v>176</v>
      </c>
      <c r="D458" s="664">
        <f>SUM(E458:P458)</f>
        <v>318000</v>
      </c>
      <c r="E458" s="664">
        <v>53527</v>
      </c>
      <c r="F458" s="664"/>
      <c r="G458" s="664"/>
      <c r="H458" s="664"/>
      <c r="I458" s="664"/>
      <c r="J458" s="664"/>
      <c r="K458" s="664"/>
      <c r="L458" s="664"/>
      <c r="M458" s="662">
        <v>50000</v>
      </c>
      <c r="N458" s="662">
        <v>100000</v>
      </c>
      <c r="O458" s="662">
        <v>114473</v>
      </c>
      <c r="P458" s="662"/>
      <c r="Q458" s="793"/>
    </row>
    <row r="459" spans="1:16" s="643" customFormat="1" ht="21" customHeight="1">
      <c r="A459" s="777"/>
      <c r="B459" s="777"/>
      <c r="C459" s="778"/>
      <c r="D459" s="752"/>
      <c r="E459" s="752"/>
      <c r="F459" s="752"/>
      <c r="G459" s="752"/>
      <c r="H459" s="752"/>
      <c r="I459" s="752"/>
      <c r="J459" s="752"/>
      <c r="K459" s="752"/>
      <c r="L459" s="752"/>
      <c r="M459" s="779"/>
      <c r="N459" s="779"/>
      <c r="O459" s="779"/>
      <c r="P459" s="779"/>
    </row>
    <row r="460" spans="1:16" s="643" customFormat="1" ht="21" customHeight="1">
      <c r="A460" s="777"/>
      <c r="B460" s="777"/>
      <c r="C460" s="778"/>
      <c r="D460" s="752"/>
      <c r="E460" s="752"/>
      <c r="F460" s="752"/>
      <c r="G460" s="752"/>
      <c r="H460" s="752"/>
      <c r="I460" s="752"/>
      <c r="J460" s="752"/>
      <c r="K460" s="752"/>
      <c r="L460" s="752"/>
      <c r="M460" s="779"/>
      <c r="N460" s="779"/>
      <c r="O460" s="779"/>
      <c r="P460" s="779"/>
    </row>
    <row r="461" spans="3:12" s="141" customFormat="1" ht="12.75">
      <c r="C461" s="141" t="s">
        <v>781</v>
      </c>
      <c r="E461" s="1"/>
      <c r="G461" s="1"/>
      <c r="H461" s="1"/>
      <c r="L461" s="1" t="s">
        <v>783</v>
      </c>
    </row>
    <row r="462" spans="3:12" s="141" customFormat="1" ht="12.75">
      <c r="C462" s="174" t="s">
        <v>782</v>
      </c>
      <c r="E462" s="1"/>
      <c r="G462" s="1"/>
      <c r="H462" s="1"/>
      <c r="L462" s="1" t="s">
        <v>784</v>
      </c>
    </row>
    <row r="463" spans="6:15" ht="15">
      <c r="F463" s="612"/>
      <c r="G463" s="612"/>
      <c r="H463" s="612"/>
      <c r="O463" s="1014"/>
    </row>
    <row r="464" spans="4:12" ht="15">
      <c r="D464" s="612"/>
      <c r="E464" s="612"/>
      <c r="F464" s="612"/>
      <c r="G464" s="612"/>
      <c r="H464" s="612"/>
      <c r="I464" s="612"/>
      <c r="J464" s="612"/>
      <c r="K464" s="612"/>
      <c r="L464" s="612"/>
    </row>
  </sheetData>
  <mergeCells count="1">
    <mergeCell ref="E7:P7"/>
  </mergeCells>
  <printOptions horizontalCentered="1"/>
  <pageMargins left="0.2362204724409449" right="0.2755905511811024" top="0.6692913385826772" bottom="0.46" header="0.5118110236220472" footer="0.31496062992125984"/>
  <pageSetup firstPageNumber="153" useFirstPageNumber="1" horizontalDpi="600" verticalDpi="600" orientation="landscape" paperSize="9" scale="5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87"/>
  <sheetViews>
    <sheetView zoomScale="70" zoomScaleNormal="70" workbookViewId="0" topLeftCell="A7">
      <pane ySplit="2220" topLeftCell="BM1" activePane="bottomLeft" state="split"/>
      <selection pane="topLeft" activeCell="A7" sqref="A7"/>
      <selection pane="bottomLeft" activeCell="C4" sqref="C4"/>
    </sheetView>
  </sheetViews>
  <sheetFormatPr defaultColWidth="9.00390625" defaultRowHeight="12.75"/>
  <cols>
    <col min="1" max="1" width="6.25390625" style="611" customWidth="1"/>
    <col min="2" max="2" width="8.125" style="611" customWidth="1"/>
    <col min="3" max="3" width="47.875" style="611" customWidth="1"/>
    <col min="4" max="4" width="18.75390625" style="612" customWidth="1"/>
    <col min="5" max="16" width="14.375" style="612" customWidth="1"/>
    <col min="17" max="16384" width="9.125" style="611" customWidth="1"/>
  </cols>
  <sheetData>
    <row r="1" ht="19.5" customHeight="1">
      <c r="N1" s="1147" t="s">
        <v>832</v>
      </c>
    </row>
    <row r="2" ht="19.5" customHeight="1">
      <c r="N2" s="1147" t="s">
        <v>729</v>
      </c>
    </row>
    <row r="3" spans="3:14" ht="19.5" customHeight="1">
      <c r="C3" s="1148" t="s">
        <v>941</v>
      </c>
      <c r="N3" s="1147" t="s">
        <v>942</v>
      </c>
    </row>
    <row r="4" spans="3:14" ht="19.5" customHeight="1">
      <c r="C4" s="706" t="s">
        <v>817</v>
      </c>
      <c r="N4" s="1147" t="s">
        <v>959</v>
      </c>
    </row>
    <row r="5" ht="18" customHeight="1">
      <c r="C5" s="80"/>
    </row>
    <row r="6" spans="8:16" ht="15.75" thickBot="1">
      <c r="H6" s="1149"/>
      <c r="P6" s="612" t="s">
        <v>260</v>
      </c>
    </row>
    <row r="7" spans="1:16" ht="19.5" customHeight="1" thickTop="1">
      <c r="A7" s="1150"/>
      <c r="B7" s="1150"/>
      <c r="C7" s="1151" t="s">
        <v>413</v>
      </c>
      <c r="D7" s="1152"/>
      <c r="E7" s="1153"/>
      <c r="F7" s="1154" t="s">
        <v>1127</v>
      </c>
      <c r="G7" s="1154"/>
      <c r="H7" s="1154"/>
      <c r="I7" s="1154"/>
      <c r="J7" s="1154"/>
      <c r="K7" s="1154"/>
      <c r="L7" s="1154"/>
      <c r="M7" s="1154"/>
      <c r="N7" s="1154"/>
      <c r="O7" s="1154"/>
      <c r="P7" s="1155"/>
    </row>
    <row r="8" spans="1:16" ht="33.75" customHeight="1" thickBot="1">
      <c r="A8" s="1156" t="s">
        <v>261</v>
      </c>
      <c r="B8" s="1156" t="s">
        <v>414</v>
      </c>
      <c r="C8" s="1157" t="s">
        <v>943</v>
      </c>
      <c r="D8" s="1158" t="s">
        <v>262</v>
      </c>
      <c r="E8" s="1159" t="s">
        <v>1130</v>
      </c>
      <c r="F8" s="1159" t="s">
        <v>1131</v>
      </c>
      <c r="G8" s="1159" t="s">
        <v>1132</v>
      </c>
      <c r="H8" s="1159" t="s">
        <v>1133</v>
      </c>
      <c r="I8" s="1159" t="s">
        <v>1134</v>
      </c>
      <c r="J8" s="1159" t="s">
        <v>1135</v>
      </c>
      <c r="K8" s="1159" t="s">
        <v>1136</v>
      </c>
      <c r="L8" s="1159" t="s">
        <v>1137</v>
      </c>
      <c r="M8" s="1159" t="s">
        <v>1138</v>
      </c>
      <c r="N8" s="1159" t="s">
        <v>1139</v>
      </c>
      <c r="O8" s="1159" t="s">
        <v>1140</v>
      </c>
      <c r="P8" s="1159" t="s">
        <v>1141</v>
      </c>
    </row>
    <row r="9" spans="1:16" s="1162" customFormat="1" ht="14.25" customHeight="1" thickBot="1" thickTop="1">
      <c r="A9" s="1160">
        <v>1</v>
      </c>
      <c r="B9" s="1160">
        <v>2</v>
      </c>
      <c r="C9" s="1160">
        <v>3</v>
      </c>
      <c r="D9" s="1161">
        <v>4</v>
      </c>
      <c r="E9" s="1161">
        <v>5</v>
      </c>
      <c r="F9" s="1161">
        <v>6</v>
      </c>
      <c r="G9" s="1161">
        <v>7</v>
      </c>
      <c r="H9" s="1161">
        <v>8</v>
      </c>
      <c r="I9" s="1161">
        <v>9</v>
      </c>
      <c r="J9" s="1161">
        <v>10</v>
      </c>
      <c r="K9" s="1161">
        <v>11</v>
      </c>
      <c r="L9" s="1161">
        <v>12</v>
      </c>
      <c r="M9" s="1161">
        <v>13</v>
      </c>
      <c r="N9" s="1161">
        <v>14</v>
      </c>
      <c r="O9" s="1161">
        <v>15</v>
      </c>
      <c r="P9" s="1161">
        <v>16</v>
      </c>
    </row>
    <row r="10" spans="1:16" s="1" customFormat="1" ht="24.75" customHeight="1" thickBot="1" thickTop="1">
      <c r="A10" s="1163"/>
      <c r="B10" s="1163"/>
      <c r="C10" s="1164" t="s">
        <v>944</v>
      </c>
      <c r="D10" s="724">
        <f>SUM(E10:P10)</f>
        <v>0</v>
      </c>
      <c r="E10" s="724">
        <f aca="true" t="shared" si="0" ref="E10:P10">E12</f>
        <v>85367</v>
      </c>
      <c r="F10" s="724">
        <f t="shared" si="0"/>
        <v>-2839068</v>
      </c>
      <c r="G10" s="724">
        <f t="shared" si="0"/>
        <v>864061</v>
      </c>
      <c r="H10" s="724">
        <f t="shared" si="0"/>
        <v>-3961555</v>
      </c>
      <c r="I10" s="724">
        <f t="shared" si="0"/>
        <v>-1083987</v>
      </c>
      <c r="J10" s="724">
        <f t="shared" si="0"/>
        <v>-18217143</v>
      </c>
      <c r="K10" s="724">
        <f t="shared" si="0"/>
        <v>10749450</v>
      </c>
      <c r="L10" s="724">
        <f t="shared" si="0"/>
        <v>6161606</v>
      </c>
      <c r="M10" s="724">
        <f t="shared" si="0"/>
        <v>1664082</v>
      </c>
      <c r="N10" s="724">
        <f t="shared" si="0"/>
        <v>2807215</v>
      </c>
      <c r="O10" s="724">
        <f t="shared" si="0"/>
        <v>1718821</v>
      </c>
      <c r="P10" s="724">
        <f t="shared" si="0"/>
        <v>2051151</v>
      </c>
    </row>
    <row r="11" spans="1:16" s="1" customFormat="1" ht="12.75" customHeight="1">
      <c r="A11" s="1165"/>
      <c r="B11" s="1165"/>
      <c r="C11" s="1166" t="s">
        <v>945</v>
      </c>
      <c r="D11" s="1167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</row>
    <row r="12" spans="1:16" s="1" customFormat="1" ht="24" customHeight="1">
      <c r="A12" s="1165"/>
      <c r="B12" s="1165"/>
      <c r="C12" s="1169" t="s">
        <v>177</v>
      </c>
      <c r="D12" s="1170">
        <f aca="true" t="shared" si="1" ref="D12:D75">SUM(E12:P12)</f>
        <v>0</v>
      </c>
      <c r="E12" s="1171">
        <f>E13+E21+E81+E99+E163+E195+E199+E315+E321+E407+E488+E17+E50+E72+E90+E124+E145++E180+E186+E248+E264+E280+E361+E375+E386+E392+E448+E492+E260</f>
        <v>85367</v>
      </c>
      <c r="F12" s="1171">
        <f aca="true" t="shared" si="2" ref="F12:P12">F13+F21+F81+F99+F163+F195+F199+F315+F321+F407+F488+F17+F50+F72+F90+F124+F145++F180+F186+F248+F264+F280+F361+F375+F386+F392+F448+F492+F260</f>
        <v>-2839068</v>
      </c>
      <c r="G12" s="1171">
        <f t="shared" si="2"/>
        <v>864061</v>
      </c>
      <c r="H12" s="1171">
        <f t="shared" si="2"/>
        <v>-3961555</v>
      </c>
      <c r="I12" s="1171">
        <f t="shared" si="2"/>
        <v>-1083987</v>
      </c>
      <c r="J12" s="1171">
        <f t="shared" si="2"/>
        <v>-18217143</v>
      </c>
      <c r="K12" s="1171">
        <f t="shared" si="2"/>
        <v>10749450</v>
      </c>
      <c r="L12" s="1171">
        <f t="shared" si="2"/>
        <v>6161606</v>
      </c>
      <c r="M12" s="1171">
        <f t="shared" si="2"/>
        <v>1664082</v>
      </c>
      <c r="N12" s="1171">
        <f t="shared" si="2"/>
        <v>2807215</v>
      </c>
      <c r="O12" s="1171">
        <f t="shared" si="2"/>
        <v>1718821</v>
      </c>
      <c r="P12" s="1171">
        <f t="shared" si="2"/>
        <v>2051151</v>
      </c>
    </row>
    <row r="13" spans="1:16" s="1" customFormat="1" ht="37.5" customHeight="1">
      <c r="A13" s="1165"/>
      <c r="B13" s="1165"/>
      <c r="C13" s="640" t="s">
        <v>946</v>
      </c>
      <c r="D13" s="1172">
        <f t="shared" si="1"/>
        <v>-9000</v>
      </c>
      <c r="E13" s="1173">
        <f aca="true" t="shared" si="3" ref="E13:P15">E14</f>
        <v>-550</v>
      </c>
      <c r="F13" s="1173">
        <f t="shared" si="3"/>
        <v>-3550</v>
      </c>
      <c r="G13" s="1173">
        <f t="shared" si="3"/>
        <v>-550</v>
      </c>
      <c r="H13" s="1173">
        <f t="shared" si="3"/>
        <v>-550</v>
      </c>
      <c r="I13" s="1173">
        <f t="shared" si="3"/>
        <v>-550</v>
      </c>
      <c r="J13" s="1173">
        <f t="shared" si="3"/>
        <v>-1050</v>
      </c>
      <c r="K13" s="1173">
        <f t="shared" si="3"/>
        <v>-550</v>
      </c>
      <c r="L13" s="1173">
        <f t="shared" si="3"/>
        <v>-550</v>
      </c>
      <c r="M13" s="1173">
        <f t="shared" si="3"/>
        <v>-550</v>
      </c>
      <c r="N13" s="1173">
        <f t="shared" si="3"/>
        <v>-220</v>
      </c>
      <c r="O13" s="1173">
        <f t="shared" si="3"/>
        <v>-220</v>
      </c>
      <c r="P13" s="1173">
        <f t="shared" si="3"/>
        <v>-110</v>
      </c>
    </row>
    <row r="14" spans="1:16" s="1" customFormat="1" ht="19.5" customHeight="1" thickBot="1">
      <c r="A14" s="818"/>
      <c r="B14" s="818"/>
      <c r="C14" s="645" t="s">
        <v>646</v>
      </c>
      <c r="D14" s="1174">
        <f t="shared" si="1"/>
        <v>-9000</v>
      </c>
      <c r="E14" s="1175">
        <f t="shared" si="3"/>
        <v>-550</v>
      </c>
      <c r="F14" s="1175">
        <f t="shared" si="3"/>
        <v>-3550</v>
      </c>
      <c r="G14" s="1175">
        <f t="shared" si="3"/>
        <v>-550</v>
      </c>
      <c r="H14" s="1175">
        <f t="shared" si="3"/>
        <v>-550</v>
      </c>
      <c r="I14" s="1175">
        <f t="shared" si="3"/>
        <v>-550</v>
      </c>
      <c r="J14" s="1175">
        <f t="shared" si="3"/>
        <v>-1050</v>
      </c>
      <c r="K14" s="1175">
        <f t="shared" si="3"/>
        <v>-550</v>
      </c>
      <c r="L14" s="1175">
        <f t="shared" si="3"/>
        <v>-550</v>
      </c>
      <c r="M14" s="1175">
        <f t="shared" si="3"/>
        <v>-550</v>
      </c>
      <c r="N14" s="1175">
        <f t="shared" si="3"/>
        <v>-220</v>
      </c>
      <c r="O14" s="1175">
        <f t="shared" si="3"/>
        <v>-220</v>
      </c>
      <c r="P14" s="1175">
        <f t="shared" si="3"/>
        <v>-110</v>
      </c>
    </row>
    <row r="15" spans="1:16" s="324" customFormat="1" ht="24" customHeight="1" thickTop="1">
      <c r="A15" s="1197">
        <v>710</v>
      </c>
      <c r="B15" s="1197"/>
      <c r="C15" s="801" t="s">
        <v>436</v>
      </c>
      <c r="D15" s="1198">
        <f t="shared" si="1"/>
        <v>-9000</v>
      </c>
      <c r="E15" s="1198">
        <f t="shared" si="3"/>
        <v>-550</v>
      </c>
      <c r="F15" s="1198">
        <f t="shared" si="3"/>
        <v>-3550</v>
      </c>
      <c r="G15" s="1198">
        <f t="shared" si="3"/>
        <v>-550</v>
      </c>
      <c r="H15" s="1198">
        <f t="shared" si="3"/>
        <v>-550</v>
      </c>
      <c r="I15" s="1198">
        <f t="shared" si="3"/>
        <v>-550</v>
      </c>
      <c r="J15" s="1198">
        <f t="shared" si="3"/>
        <v>-1050</v>
      </c>
      <c r="K15" s="1198">
        <f t="shared" si="3"/>
        <v>-550</v>
      </c>
      <c r="L15" s="1198">
        <f t="shared" si="3"/>
        <v>-550</v>
      </c>
      <c r="M15" s="1198">
        <f t="shared" si="3"/>
        <v>-550</v>
      </c>
      <c r="N15" s="1198">
        <f t="shared" si="3"/>
        <v>-220</v>
      </c>
      <c r="O15" s="1198">
        <f t="shared" si="3"/>
        <v>-220</v>
      </c>
      <c r="P15" s="1198">
        <f t="shared" si="3"/>
        <v>-110</v>
      </c>
    </row>
    <row r="16" spans="1:16" s="324" customFormat="1" ht="20.25" customHeight="1">
      <c r="A16" s="816"/>
      <c r="B16" s="787">
        <v>71004</v>
      </c>
      <c r="C16" s="653" t="s">
        <v>437</v>
      </c>
      <c r="D16" s="664">
        <f t="shared" si="1"/>
        <v>-9000</v>
      </c>
      <c r="E16" s="664">
        <v>-550</v>
      </c>
      <c r="F16" s="664">
        <v>-3550</v>
      </c>
      <c r="G16" s="664">
        <v>-550</v>
      </c>
      <c r="H16" s="664">
        <v>-550</v>
      </c>
      <c r="I16" s="664">
        <v>-550</v>
      </c>
      <c r="J16" s="664">
        <v>-1050</v>
      </c>
      <c r="K16" s="664">
        <v>-550</v>
      </c>
      <c r="L16" s="664">
        <v>-550</v>
      </c>
      <c r="M16" s="664">
        <v>-550</v>
      </c>
      <c r="N16" s="664">
        <v>-220</v>
      </c>
      <c r="O16" s="664">
        <v>-220</v>
      </c>
      <c r="P16" s="664">
        <v>-110</v>
      </c>
    </row>
    <row r="17" spans="1:16" s="324" customFormat="1" ht="37.5" customHeight="1">
      <c r="A17" s="1165"/>
      <c r="B17" s="1165"/>
      <c r="C17" s="640" t="s">
        <v>425</v>
      </c>
      <c r="D17" s="1172">
        <f t="shared" si="1"/>
        <v>109000</v>
      </c>
      <c r="E17" s="1173">
        <f aca="true" t="shared" si="4" ref="E17:P19">E18</f>
        <v>550</v>
      </c>
      <c r="F17" s="1173">
        <f t="shared" si="4"/>
        <v>3550</v>
      </c>
      <c r="G17" s="1173">
        <f t="shared" si="4"/>
        <v>5050</v>
      </c>
      <c r="H17" s="1173">
        <f t="shared" si="4"/>
        <v>29050</v>
      </c>
      <c r="I17" s="1173">
        <f t="shared" si="4"/>
        <v>3477</v>
      </c>
      <c r="J17" s="1173">
        <f t="shared" si="4"/>
        <v>43123</v>
      </c>
      <c r="K17" s="1173">
        <f t="shared" si="4"/>
        <v>5550</v>
      </c>
      <c r="L17" s="1173">
        <f t="shared" si="4"/>
        <v>1550</v>
      </c>
      <c r="M17" s="1173">
        <f t="shared" si="4"/>
        <v>3050</v>
      </c>
      <c r="N17" s="1173">
        <f t="shared" si="4"/>
        <v>9220</v>
      </c>
      <c r="O17" s="1173">
        <f t="shared" si="4"/>
        <v>4720</v>
      </c>
      <c r="P17" s="1173">
        <f t="shared" si="4"/>
        <v>110</v>
      </c>
    </row>
    <row r="18" spans="1:16" s="324" customFormat="1" ht="19.5" customHeight="1" thickBot="1">
      <c r="A18" s="818"/>
      <c r="B18" s="818"/>
      <c r="C18" s="645" t="s">
        <v>646</v>
      </c>
      <c r="D18" s="1174">
        <f t="shared" si="1"/>
        <v>109000</v>
      </c>
      <c r="E18" s="1175">
        <f t="shared" si="4"/>
        <v>550</v>
      </c>
      <c r="F18" s="1175">
        <f t="shared" si="4"/>
        <v>3550</v>
      </c>
      <c r="G18" s="1175">
        <f t="shared" si="4"/>
        <v>5050</v>
      </c>
      <c r="H18" s="1175">
        <f t="shared" si="4"/>
        <v>29050</v>
      </c>
      <c r="I18" s="1175">
        <f t="shared" si="4"/>
        <v>3477</v>
      </c>
      <c r="J18" s="1175">
        <f t="shared" si="4"/>
        <v>43123</v>
      </c>
      <c r="K18" s="1175">
        <f t="shared" si="4"/>
        <v>5550</v>
      </c>
      <c r="L18" s="1175">
        <f t="shared" si="4"/>
        <v>1550</v>
      </c>
      <c r="M18" s="1175">
        <f t="shared" si="4"/>
        <v>3050</v>
      </c>
      <c r="N18" s="1175">
        <f t="shared" si="4"/>
        <v>9220</v>
      </c>
      <c r="O18" s="1175">
        <f t="shared" si="4"/>
        <v>4720</v>
      </c>
      <c r="P18" s="1175">
        <f t="shared" si="4"/>
        <v>110</v>
      </c>
    </row>
    <row r="19" spans="1:16" s="324" customFormat="1" ht="24" customHeight="1" thickTop="1">
      <c r="A19" s="1197">
        <v>710</v>
      </c>
      <c r="B19" s="1197"/>
      <c r="C19" s="801" t="s">
        <v>436</v>
      </c>
      <c r="D19" s="1198">
        <f t="shared" si="1"/>
        <v>109000</v>
      </c>
      <c r="E19" s="1198">
        <f t="shared" si="4"/>
        <v>550</v>
      </c>
      <c r="F19" s="1198">
        <f t="shared" si="4"/>
        <v>3550</v>
      </c>
      <c r="G19" s="1198">
        <f t="shared" si="4"/>
        <v>5050</v>
      </c>
      <c r="H19" s="1198">
        <f t="shared" si="4"/>
        <v>29050</v>
      </c>
      <c r="I19" s="1198">
        <f t="shared" si="4"/>
        <v>3477</v>
      </c>
      <c r="J19" s="1198">
        <f t="shared" si="4"/>
        <v>43123</v>
      </c>
      <c r="K19" s="1198">
        <f t="shared" si="4"/>
        <v>5550</v>
      </c>
      <c r="L19" s="1198">
        <f t="shared" si="4"/>
        <v>1550</v>
      </c>
      <c r="M19" s="1198">
        <f t="shared" si="4"/>
        <v>3050</v>
      </c>
      <c r="N19" s="1198">
        <f t="shared" si="4"/>
        <v>9220</v>
      </c>
      <c r="O19" s="1198">
        <f t="shared" si="4"/>
        <v>4720</v>
      </c>
      <c r="P19" s="1198">
        <f t="shared" si="4"/>
        <v>110</v>
      </c>
    </row>
    <row r="20" spans="1:16" s="324" customFormat="1" ht="20.25" customHeight="1">
      <c r="A20" s="816"/>
      <c r="B20" s="787">
        <v>71004</v>
      </c>
      <c r="C20" s="653" t="s">
        <v>437</v>
      </c>
      <c r="D20" s="664">
        <f t="shared" si="1"/>
        <v>109000</v>
      </c>
      <c r="E20" s="664">
        <f>500+50</f>
        <v>550</v>
      </c>
      <c r="F20" s="664">
        <f>3500+50</f>
        <v>3550</v>
      </c>
      <c r="G20" s="664">
        <f>500+50+4500</f>
        <v>5050</v>
      </c>
      <c r="H20" s="664">
        <f>500+50+28500</f>
        <v>29050</v>
      </c>
      <c r="I20" s="664">
        <v>3477</v>
      </c>
      <c r="J20" s="664">
        <f>43123</f>
        <v>43123</v>
      </c>
      <c r="K20" s="664">
        <f>500+50+5000</f>
        <v>5550</v>
      </c>
      <c r="L20" s="664">
        <f>500+50+1000</f>
        <v>1550</v>
      </c>
      <c r="M20" s="664">
        <f>500+50+2500</f>
        <v>3050</v>
      </c>
      <c r="N20" s="664">
        <f>200+20+9000</f>
        <v>9220</v>
      </c>
      <c r="O20" s="664">
        <f>200+20+4500</f>
        <v>4720</v>
      </c>
      <c r="P20" s="664">
        <f>100+10</f>
        <v>110</v>
      </c>
    </row>
    <row r="21" spans="1:16" s="324" customFormat="1" ht="24.75" customHeight="1">
      <c r="A21" s="816"/>
      <c r="B21" s="816"/>
      <c r="C21" s="640" t="s">
        <v>947</v>
      </c>
      <c r="D21" s="1172">
        <f t="shared" si="1"/>
        <v>-26707639</v>
      </c>
      <c r="E21" s="641">
        <f>E22</f>
        <v>-1171130</v>
      </c>
      <c r="F21" s="641">
        <f>F22</f>
        <v>-717214</v>
      </c>
      <c r="G21" s="641">
        <f>G22</f>
        <v>-1932998</v>
      </c>
      <c r="H21" s="641">
        <f>H22</f>
        <v>-1207633</v>
      </c>
      <c r="I21" s="641">
        <f>I22+I47</f>
        <v>-1181372</v>
      </c>
      <c r="J21" s="641">
        <f>J22+J47</f>
        <v>-4137761</v>
      </c>
      <c r="K21" s="641">
        <f aca="true" t="shared" si="5" ref="K21:P21">K22</f>
        <v>-1248811</v>
      </c>
      <c r="L21" s="641">
        <f t="shared" si="5"/>
        <v>-722634</v>
      </c>
      <c r="M21" s="641">
        <f t="shared" si="5"/>
        <v>-5076113</v>
      </c>
      <c r="N21" s="641">
        <f t="shared" si="5"/>
        <v>-1930058</v>
      </c>
      <c r="O21" s="641">
        <f t="shared" si="5"/>
        <v>-1702850</v>
      </c>
      <c r="P21" s="641">
        <f t="shared" si="5"/>
        <v>-5679065</v>
      </c>
    </row>
    <row r="22" spans="1:16" s="324" customFormat="1" ht="19.5" customHeight="1" thickBot="1">
      <c r="A22" s="818"/>
      <c r="B22" s="818"/>
      <c r="C22" s="645" t="s">
        <v>646</v>
      </c>
      <c r="D22" s="1174">
        <f t="shared" si="1"/>
        <v>-26703091</v>
      </c>
      <c r="E22" s="647">
        <f aca="true" t="shared" si="6" ref="E22:P22">E23+E25+E27+E29+E32+E35++E38+E40+E45</f>
        <v>-1171130</v>
      </c>
      <c r="F22" s="647">
        <f t="shared" si="6"/>
        <v>-717214</v>
      </c>
      <c r="G22" s="647">
        <f t="shared" si="6"/>
        <v>-1932998</v>
      </c>
      <c r="H22" s="647">
        <f t="shared" si="6"/>
        <v>-1207633</v>
      </c>
      <c r="I22" s="647">
        <f t="shared" si="6"/>
        <v>-1176914</v>
      </c>
      <c r="J22" s="647">
        <f t="shared" si="6"/>
        <v>-4137671</v>
      </c>
      <c r="K22" s="647">
        <f t="shared" si="6"/>
        <v>-1248811</v>
      </c>
      <c r="L22" s="647">
        <f t="shared" si="6"/>
        <v>-722634</v>
      </c>
      <c r="M22" s="647">
        <f t="shared" si="6"/>
        <v>-5076113</v>
      </c>
      <c r="N22" s="647">
        <f t="shared" si="6"/>
        <v>-1930058</v>
      </c>
      <c r="O22" s="647">
        <f t="shared" si="6"/>
        <v>-1702850</v>
      </c>
      <c r="P22" s="647">
        <f t="shared" si="6"/>
        <v>-5679065</v>
      </c>
    </row>
    <row r="23" spans="1:16" s="324" customFormat="1" ht="21.75" customHeight="1" thickTop="1">
      <c r="A23" s="1199" t="s">
        <v>1022</v>
      </c>
      <c r="B23" s="804"/>
      <c r="C23" s="1200" t="s">
        <v>1023</v>
      </c>
      <c r="D23" s="1201">
        <f t="shared" si="1"/>
        <v>-11000</v>
      </c>
      <c r="E23" s="805"/>
      <c r="F23" s="805"/>
      <c r="G23" s="805"/>
      <c r="H23" s="805">
        <f>H24</f>
        <v>-5939</v>
      </c>
      <c r="I23" s="805"/>
      <c r="J23" s="805">
        <f>J24</f>
        <v>-3078</v>
      </c>
      <c r="K23" s="805"/>
      <c r="L23" s="805"/>
      <c r="M23" s="805"/>
      <c r="N23" s="805">
        <f>N24</f>
        <v>-1500</v>
      </c>
      <c r="O23" s="805"/>
      <c r="P23" s="805">
        <f>P24</f>
        <v>-483</v>
      </c>
    </row>
    <row r="24" spans="1:16" s="324" customFormat="1" ht="19.5" customHeight="1">
      <c r="A24" s="1177"/>
      <c r="B24" s="1178" t="s">
        <v>842</v>
      </c>
      <c r="C24" s="759" t="s">
        <v>948</v>
      </c>
      <c r="D24" s="821">
        <f t="shared" si="1"/>
        <v>-11000</v>
      </c>
      <c r="E24" s="682"/>
      <c r="F24" s="682"/>
      <c r="G24" s="682"/>
      <c r="H24" s="682">
        <v>-5939</v>
      </c>
      <c r="I24" s="682"/>
      <c r="J24" s="682">
        <f>-2061-1017</f>
        <v>-3078</v>
      </c>
      <c r="K24" s="682"/>
      <c r="L24" s="682"/>
      <c r="M24" s="682"/>
      <c r="N24" s="682">
        <v>-1500</v>
      </c>
      <c r="O24" s="682"/>
      <c r="P24" s="682">
        <f>-1500+1017</f>
        <v>-483</v>
      </c>
    </row>
    <row r="25" spans="1:16" s="324" customFormat="1" ht="24" customHeight="1">
      <c r="A25" s="1197">
        <v>750</v>
      </c>
      <c r="B25" s="1197"/>
      <c r="C25" s="801" t="s">
        <v>439</v>
      </c>
      <c r="D25" s="1198">
        <f t="shared" si="1"/>
        <v>-100000</v>
      </c>
      <c r="E25" s="1202"/>
      <c r="F25" s="1202"/>
      <c r="G25" s="1202"/>
      <c r="H25" s="1202"/>
      <c r="I25" s="1202"/>
      <c r="J25" s="1202"/>
      <c r="K25" s="1202"/>
      <c r="L25" s="1202"/>
      <c r="M25" s="1202">
        <f>M26</f>
        <v>-100000</v>
      </c>
      <c r="N25" s="1202"/>
      <c r="O25" s="1202"/>
      <c r="P25" s="1202"/>
    </row>
    <row r="26" spans="1:16" s="324" customFormat="1" ht="23.25" customHeight="1">
      <c r="A26" s="787"/>
      <c r="B26" s="652">
        <v>75023</v>
      </c>
      <c r="C26" s="653" t="s">
        <v>1061</v>
      </c>
      <c r="D26" s="664">
        <f t="shared" si="1"/>
        <v>-100000</v>
      </c>
      <c r="E26" s="682"/>
      <c r="F26" s="682"/>
      <c r="G26" s="682"/>
      <c r="H26" s="682"/>
      <c r="I26" s="682"/>
      <c r="J26" s="682"/>
      <c r="K26" s="682"/>
      <c r="L26" s="682"/>
      <c r="M26" s="682">
        <v>-100000</v>
      </c>
      <c r="N26" s="682"/>
      <c r="O26" s="682"/>
      <c r="P26" s="682"/>
    </row>
    <row r="27" spans="1:16" s="324" customFormat="1" ht="61.5" customHeight="1">
      <c r="A27" s="1197">
        <v>756</v>
      </c>
      <c r="B27" s="1197"/>
      <c r="C27" s="801" t="s">
        <v>380</v>
      </c>
      <c r="D27" s="1198">
        <f t="shared" si="1"/>
        <v>-77000</v>
      </c>
      <c r="E27" s="1202">
        <f>E28</f>
        <v>-315</v>
      </c>
      <c r="F27" s="1202"/>
      <c r="G27" s="1202">
        <f aca="true" t="shared" si="7" ref="G27:P27">G28</f>
        <v>-16605</v>
      </c>
      <c r="H27" s="1202">
        <f t="shared" si="7"/>
        <v>-8700</v>
      </c>
      <c r="I27" s="1202">
        <f t="shared" si="7"/>
        <v>-9900</v>
      </c>
      <c r="J27" s="1202">
        <f t="shared" si="7"/>
        <v>-5440</v>
      </c>
      <c r="K27" s="1202">
        <f t="shared" si="7"/>
        <v>-5440</v>
      </c>
      <c r="L27" s="1202">
        <f t="shared" si="7"/>
        <v>-5420</v>
      </c>
      <c r="M27" s="1202">
        <f t="shared" si="7"/>
        <v>-6920</v>
      </c>
      <c r="N27" s="1202">
        <f t="shared" si="7"/>
        <v>-5420</v>
      </c>
      <c r="O27" s="1202">
        <f t="shared" si="7"/>
        <v>-6920</v>
      </c>
      <c r="P27" s="1202">
        <f t="shared" si="7"/>
        <v>-5920</v>
      </c>
    </row>
    <row r="28" spans="1:16" s="324" customFormat="1" ht="32.25" customHeight="1">
      <c r="A28" s="787"/>
      <c r="B28" s="787">
        <v>75647</v>
      </c>
      <c r="C28" s="653" t="s">
        <v>493</v>
      </c>
      <c r="D28" s="664">
        <f t="shared" si="1"/>
        <v>-77000</v>
      </c>
      <c r="E28" s="682">
        <v>-315</v>
      </c>
      <c r="F28" s="682"/>
      <c r="G28" s="682">
        <f>-11500-5105</f>
        <v>-16605</v>
      </c>
      <c r="H28" s="682">
        <f>-3300-5400</f>
        <v>-8700</v>
      </c>
      <c r="I28" s="682">
        <f>-4500-5400</f>
        <v>-9900</v>
      </c>
      <c r="J28" s="682">
        <f>-40-5400</f>
        <v>-5440</v>
      </c>
      <c r="K28" s="682">
        <f>-40-5400</f>
        <v>-5440</v>
      </c>
      <c r="L28" s="682">
        <f>-20-5400</f>
        <v>-5420</v>
      </c>
      <c r="M28" s="682">
        <f>-1520-5400</f>
        <v>-6920</v>
      </c>
      <c r="N28" s="682">
        <f>-20-5400</f>
        <v>-5420</v>
      </c>
      <c r="O28" s="682">
        <f>-1520-5400</f>
        <v>-6920</v>
      </c>
      <c r="P28" s="682">
        <f>-520-5400</f>
        <v>-5920</v>
      </c>
    </row>
    <row r="29" spans="1:16" s="324" customFormat="1" ht="22.5" customHeight="1">
      <c r="A29" s="1197">
        <v>757</v>
      </c>
      <c r="B29" s="1197"/>
      <c r="C29" s="801" t="s">
        <v>444</v>
      </c>
      <c r="D29" s="1198">
        <f t="shared" si="1"/>
        <v>-13200000</v>
      </c>
      <c r="E29" s="1202">
        <f aca="true" t="shared" si="8" ref="E29:P29">E30+E31</f>
        <v>-488529</v>
      </c>
      <c r="F29" s="1202">
        <f t="shared" si="8"/>
        <v>-20000</v>
      </c>
      <c r="G29" s="1202">
        <f t="shared" si="8"/>
        <v>-1219180</v>
      </c>
      <c r="H29" s="1202">
        <f t="shared" si="8"/>
        <v>-495780</v>
      </c>
      <c r="I29" s="1202">
        <f t="shared" si="8"/>
        <v>-459800</v>
      </c>
      <c r="J29" s="1202">
        <f t="shared" si="8"/>
        <v>-1913880</v>
      </c>
      <c r="K29" s="1202">
        <f t="shared" si="8"/>
        <v>-542980</v>
      </c>
      <c r="L29" s="1202">
        <f t="shared" si="8"/>
        <v>-20000</v>
      </c>
      <c r="M29" s="1202">
        <f t="shared" si="8"/>
        <v>-2155980</v>
      </c>
      <c r="N29" s="1202">
        <f t="shared" si="8"/>
        <v>-465700</v>
      </c>
      <c r="O29" s="1202">
        <f t="shared" si="8"/>
        <v>-498721</v>
      </c>
      <c r="P29" s="1202">
        <f t="shared" si="8"/>
        <v>-4919450</v>
      </c>
    </row>
    <row r="30" spans="1:16" s="324" customFormat="1" ht="30" customHeight="1">
      <c r="A30" s="786"/>
      <c r="B30" s="1179">
        <v>75702</v>
      </c>
      <c r="C30" s="653" t="s">
        <v>949</v>
      </c>
      <c r="D30" s="664">
        <f t="shared" si="1"/>
        <v>-9200000</v>
      </c>
      <c r="E30" s="682">
        <v>-488529</v>
      </c>
      <c r="F30" s="682">
        <f>-20000</f>
        <v>-20000</v>
      </c>
      <c r="G30" s="682">
        <f>-1219180</f>
        <v>-1219180</v>
      </c>
      <c r="H30" s="682">
        <f>-495780</f>
        <v>-495780</v>
      </c>
      <c r="I30" s="682">
        <f>-439800-20000</f>
        <v>-459800</v>
      </c>
      <c r="J30" s="682">
        <f>-449800-449800-58100-956180</f>
        <v>-1913880</v>
      </c>
      <c r="K30" s="682">
        <f>-542980</f>
        <v>-542980</v>
      </c>
      <c r="L30" s="682">
        <f>-20000</f>
        <v>-20000</v>
      </c>
      <c r="M30" s="682">
        <f>-734400-489600-931980</f>
        <v>-2155980</v>
      </c>
      <c r="N30" s="682">
        <f>-465700</f>
        <v>-465700</v>
      </c>
      <c r="O30" s="682">
        <f>-478500-20000-221</f>
        <v>-498721</v>
      </c>
      <c r="P30" s="682">
        <f>-919450</f>
        <v>-919450</v>
      </c>
    </row>
    <row r="31" spans="1:16" s="324" customFormat="1" ht="45">
      <c r="A31" s="787"/>
      <c r="B31" s="1179">
        <v>75704</v>
      </c>
      <c r="C31" s="653" t="s">
        <v>950</v>
      </c>
      <c r="D31" s="748">
        <f t="shared" si="1"/>
        <v>-4000000</v>
      </c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>
        <v>-4000000</v>
      </c>
    </row>
    <row r="32" spans="1:16" s="324" customFormat="1" ht="21" customHeight="1">
      <c r="A32" s="1197">
        <v>758</v>
      </c>
      <c r="B32" s="1197"/>
      <c r="C32" s="801" t="s">
        <v>446</v>
      </c>
      <c r="D32" s="1198">
        <f t="shared" si="1"/>
        <v>-9818590</v>
      </c>
      <c r="E32" s="1202">
        <f aca="true" t="shared" si="9" ref="E32:P32">E33+E34</f>
        <v>-424174</v>
      </c>
      <c r="F32" s="1202">
        <f t="shared" si="9"/>
        <v>-424174</v>
      </c>
      <c r="G32" s="1202">
        <f t="shared" si="9"/>
        <v>-424173</v>
      </c>
      <c r="H32" s="1202">
        <f t="shared" si="9"/>
        <v>-424174</v>
      </c>
      <c r="I32" s="1202">
        <f t="shared" si="9"/>
        <v>-424174</v>
      </c>
      <c r="J32" s="1202">
        <f t="shared" si="9"/>
        <v>-1893513</v>
      </c>
      <c r="K32" s="1202">
        <f t="shared" si="9"/>
        <v>-424174</v>
      </c>
      <c r="L32" s="1202">
        <f t="shared" si="9"/>
        <v>-424174</v>
      </c>
      <c r="M32" s="1202">
        <f t="shared" si="9"/>
        <v>-2424173</v>
      </c>
      <c r="N32" s="1202">
        <f t="shared" si="9"/>
        <v>-1183339</v>
      </c>
      <c r="O32" s="1202">
        <f t="shared" si="9"/>
        <v>-924174</v>
      </c>
      <c r="P32" s="1202">
        <f t="shared" si="9"/>
        <v>-424174</v>
      </c>
    </row>
    <row r="33" spans="1:16" s="324" customFormat="1" ht="21" customHeight="1">
      <c r="A33" s="786"/>
      <c r="B33" s="787">
        <v>75814</v>
      </c>
      <c r="C33" s="653" t="s">
        <v>384</v>
      </c>
      <c r="D33" s="664">
        <f t="shared" si="1"/>
        <v>-5090085</v>
      </c>
      <c r="E33" s="682">
        <v>-424174</v>
      </c>
      <c r="F33" s="682">
        <v>-424174</v>
      </c>
      <c r="G33" s="682">
        <v>-424173</v>
      </c>
      <c r="H33" s="682">
        <v>-424174</v>
      </c>
      <c r="I33" s="682">
        <v>-424174</v>
      </c>
      <c r="J33" s="682">
        <v>-424173</v>
      </c>
      <c r="K33" s="682">
        <v>-424174</v>
      </c>
      <c r="L33" s="682">
        <v>-424174</v>
      </c>
      <c r="M33" s="682">
        <v>-424173</v>
      </c>
      <c r="N33" s="682">
        <v>-424174</v>
      </c>
      <c r="O33" s="682">
        <v>-424174</v>
      </c>
      <c r="P33" s="682">
        <v>-424174</v>
      </c>
    </row>
    <row r="34" spans="1:16" s="324" customFormat="1" ht="21" customHeight="1">
      <c r="A34" s="787"/>
      <c r="B34" s="787">
        <v>75818</v>
      </c>
      <c r="C34" s="653" t="s">
        <v>447</v>
      </c>
      <c r="D34" s="748">
        <f t="shared" si="1"/>
        <v>-4728505</v>
      </c>
      <c r="E34" s="682"/>
      <c r="F34" s="682"/>
      <c r="G34" s="682"/>
      <c r="H34" s="682"/>
      <c r="I34" s="682"/>
      <c r="J34" s="682">
        <f>-2238637+618227+151070</f>
        <v>-1469340</v>
      </c>
      <c r="K34" s="682"/>
      <c r="L34" s="682"/>
      <c r="M34" s="682">
        <v>-2000000</v>
      </c>
      <c r="N34" s="682">
        <v>-759165</v>
      </c>
      <c r="O34" s="682">
        <v>-500000</v>
      </c>
      <c r="P34" s="682"/>
    </row>
    <row r="35" spans="1:16" s="324" customFormat="1" ht="21" customHeight="1">
      <c r="A35" s="1197">
        <v>801</v>
      </c>
      <c r="B35" s="1197"/>
      <c r="C35" s="801" t="s">
        <v>448</v>
      </c>
      <c r="D35" s="1198">
        <f t="shared" si="1"/>
        <v>-140650</v>
      </c>
      <c r="E35" s="1202"/>
      <c r="F35" s="1202"/>
      <c r="G35" s="1202"/>
      <c r="H35" s="1202"/>
      <c r="I35" s="1202"/>
      <c r="J35" s="1202">
        <f>J36+J37</f>
        <v>-28650</v>
      </c>
      <c r="K35" s="1202"/>
      <c r="L35" s="1202"/>
      <c r="M35" s="1202">
        <f>M36+M37</f>
        <v>-56000</v>
      </c>
      <c r="N35" s="1202"/>
      <c r="O35" s="1202"/>
      <c r="P35" s="1202">
        <f>P36+P37</f>
        <v>-56000</v>
      </c>
    </row>
    <row r="36" spans="1:16" s="324" customFormat="1" ht="21" customHeight="1">
      <c r="A36" s="786"/>
      <c r="B36" s="787">
        <v>80101</v>
      </c>
      <c r="C36" s="653" t="s">
        <v>449</v>
      </c>
      <c r="D36" s="664">
        <f t="shared" si="1"/>
        <v>-45650</v>
      </c>
      <c r="E36" s="682"/>
      <c r="F36" s="682"/>
      <c r="G36" s="682"/>
      <c r="H36" s="682"/>
      <c r="I36" s="682"/>
      <c r="J36" s="682">
        <f>-9300-350</f>
        <v>-9650</v>
      </c>
      <c r="K36" s="682"/>
      <c r="L36" s="682"/>
      <c r="M36" s="682">
        <v>-18000</v>
      </c>
      <c r="N36" s="682"/>
      <c r="O36" s="682"/>
      <c r="P36" s="682">
        <v>-18000</v>
      </c>
    </row>
    <row r="37" spans="1:16" s="324" customFormat="1" ht="21" customHeight="1">
      <c r="A37" s="786"/>
      <c r="B37" s="787">
        <v>80130</v>
      </c>
      <c r="C37" s="653" t="s">
        <v>494</v>
      </c>
      <c r="D37" s="748">
        <f t="shared" si="1"/>
        <v>-95000</v>
      </c>
      <c r="E37" s="682"/>
      <c r="F37" s="682"/>
      <c r="G37" s="682"/>
      <c r="H37" s="682"/>
      <c r="I37" s="682"/>
      <c r="J37" s="682">
        <v>-19000</v>
      </c>
      <c r="K37" s="682"/>
      <c r="L37" s="682"/>
      <c r="M37" s="682">
        <v>-38000</v>
      </c>
      <c r="N37" s="682"/>
      <c r="O37" s="682"/>
      <c r="P37" s="682">
        <v>-38000</v>
      </c>
    </row>
    <row r="38" spans="1:16" s="324" customFormat="1" ht="21" customHeight="1">
      <c r="A38" s="1203">
        <v>851</v>
      </c>
      <c r="B38" s="1203"/>
      <c r="C38" s="1204" t="s">
        <v>106</v>
      </c>
      <c r="D38" s="1205">
        <f t="shared" si="1"/>
        <v>-30000</v>
      </c>
      <c r="E38" s="1206"/>
      <c r="F38" s="1206"/>
      <c r="G38" s="1206"/>
      <c r="H38" s="1206"/>
      <c r="I38" s="1206">
        <f>I39</f>
        <v>-10000</v>
      </c>
      <c r="J38" s="1206">
        <f>J39</f>
        <v>-20000</v>
      </c>
      <c r="K38" s="1206"/>
      <c r="L38" s="1206"/>
      <c r="M38" s="1206"/>
      <c r="N38" s="1206"/>
      <c r="O38" s="1206"/>
      <c r="P38" s="1206"/>
    </row>
    <row r="39" spans="1:16" s="324" customFormat="1" ht="21" customHeight="1">
      <c r="A39" s="1176"/>
      <c r="B39" s="787">
        <v>85154</v>
      </c>
      <c r="C39" s="653" t="s">
        <v>124</v>
      </c>
      <c r="D39" s="664">
        <f t="shared" si="1"/>
        <v>-30000</v>
      </c>
      <c r="E39" s="682"/>
      <c r="F39" s="682"/>
      <c r="G39" s="682"/>
      <c r="H39" s="682"/>
      <c r="I39" s="682">
        <v>-10000</v>
      </c>
      <c r="J39" s="682">
        <v>-20000</v>
      </c>
      <c r="K39" s="682"/>
      <c r="L39" s="682"/>
      <c r="M39" s="682"/>
      <c r="N39" s="682"/>
      <c r="O39" s="682"/>
      <c r="P39" s="682"/>
    </row>
    <row r="40" spans="1:16" s="324" customFormat="1" ht="25.5" customHeight="1">
      <c r="A40" s="1203">
        <v>852</v>
      </c>
      <c r="B40" s="1203"/>
      <c r="C40" s="1204" t="s">
        <v>129</v>
      </c>
      <c r="D40" s="1205">
        <f t="shared" si="1"/>
        <v>-3321615</v>
      </c>
      <c r="E40" s="1206">
        <f aca="true" t="shared" si="10" ref="E40:P40">E41+E42+E44+E43</f>
        <v>-258112</v>
      </c>
      <c r="F40" s="1206">
        <f t="shared" si="10"/>
        <v>-273040</v>
      </c>
      <c r="G40" s="1206">
        <f t="shared" si="10"/>
        <v>-273040</v>
      </c>
      <c r="H40" s="1206">
        <f t="shared" si="10"/>
        <v>-273040</v>
      </c>
      <c r="I40" s="1206">
        <f t="shared" si="10"/>
        <v>-273040</v>
      </c>
      <c r="J40" s="1206">
        <f t="shared" si="10"/>
        <v>-273110</v>
      </c>
      <c r="K40" s="1206">
        <f t="shared" si="10"/>
        <v>-273040</v>
      </c>
      <c r="L40" s="1206">
        <f t="shared" si="10"/>
        <v>-273040</v>
      </c>
      <c r="M40" s="1206">
        <f t="shared" si="10"/>
        <v>-333040</v>
      </c>
      <c r="N40" s="1206">
        <f t="shared" si="10"/>
        <v>-273040</v>
      </c>
      <c r="O40" s="1206">
        <f t="shared" si="10"/>
        <v>-273035</v>
      </c>
      <c r="P40" s="1206">
        <f t="shared" si="10"/>
        <v>-273038</v>
      </c>
    </row>
    <row r="41" spans="1:16" s="324" customFormat="1" ht="25.5" customHeight="1">
      <c r="A41" s="780"/>
      <c r="B41" s="787">
        <v>85201</v>
      </c>
      <c r="C41" s="653" t="s">
        <v>773</v>
      </c>
      <c r="D41" s="664">
        <f t="shared" si="1"/>
        <v>-2700000</v>
      </c>
      <c r="E41" s="682">
        <v>-215482</v>
      </c>
      <c r="F41" s="682">
        <v>-225865</v>
      </c>
      <c r="G41" s="682">
        <v>-225865</v>
      </c>
      <c r="H41" s="682">
        <v>-225865</v>
      </c>
      <c r="I41" s="682">
        <v>-225865</v>
      </c>
      <c r="J41" s="682">
        <v>-225865</v>
      </c>
      <c r="K41" s="682">
        <v>-225865</v>
      </c>
      <c r="L41" s="682">
        <v>-225865</v>
      </c>
      <c r="M41" s="682">
        <v>-225865</v>
      </c>
      <c r="N41" s="682">
        <v>-225865</v>
      </c>
      <c r="O41" s="682">
        <v>-225865</v>
      </c>
      <c r="P41" s="682">
        <v>-225868</v>
      </c>
    </row>
    <row r="42" spans="1:16" s="324" customFormat="1" ht="25.5" customHeight="1">
      <c r="A42" s="780"/>
      <c r="B42" s="787">
        <v>85204</v>
      </c>
      <c r="C42" s="653" t="s">
        <v>289</v>
      </c>
      <c r="D42" s="748">
        <f t="shared" si="1"/>
        <v>-550000</v>
      </c>
      <c r="E42" s="682">
        <v>-31085</v>
      </c>
      <c r="F42" s="682">
        <v>-47175</v>
      </c>
      <c r="G42" s="682">
        <v>-47175</v>
      </c>
      <c r="H42" s="682">
        <v>-47175</v>
      </c>
      <c r="I42" s="682">
        <v>-47175</v>
      </c>
      <c r="J42" s="682">
        <v>-47175</v>
      </c>
      <c r="K42" s="682">
        <v>-47175</v>
      </c>
      <c r="L42" s="682">
        <v>-47175</v>
      </c>
      <c r="M42" s="682">
        <v>-47175</v>
      </c>
      <c r="N42" s="682">
        <v>-47175</v>
      </c>
      <c r="O42" s="682">
        <v>-47170</v>
      </c>
      <c r="P42" s="682">
        <v>-47170</v>
      </c>
    </row>
    <row r="43" spans="1:16" s="324" customFormat="1" ht="45.75">
      <c r="A43" s="780"/>
      <c r="B43" s="787">
        <v>85220</v>
      </c>
      <c r="C43" s="653" t="s">
        <v>222</v>
      </c>
      <c r="D43" s="748">
        <f t="shared" si="1"/>
        <v>-60000</v>
      </c>
      <c r="E43" s="682"/>
      <c r="F43" s="682"/>
      <c r="G43" s="682"/>
      <c r="H43" s="682"/>
      <c r="I43" s="682"/>
      <c r="J43" s="682"/>
      <c r="K43" s="682"/>
      <c r="L43" s="682"/>
      <c r="M43" s="682">
        <v>-60000</v>
      </c>
      <c r="N43" s="682"/>
      <c r="O43" s="682"/>
      <c r="P43" s="682"/>
    </row>
    <row r="44" spans="1:16" s="324" customFormat="1" ht="24" customHeight="1">
      <c r="A44" s="780"/>
      <c r="B44" s="787">
        <v>85295</v>
      </c>
      <c r="C44" s="653" t="s">
        <v>100</v>
      </c>
      <c r="D44" s="748">
        <f t="shared" si="1"/>
        <v>-11615</v>
      </c>
      <c r="E44" s="682">
        <v>-11545</v>
      </c>
      <c r="F44" s="682"/>
      <c r="G44" s="682"/>
      <c r="H44" s="682"/>
      <c r="I44" s="682"/>
      <c r="J44" s="682">
        <v>-70</v>
      </c>
      <c r="K44" s="682"/>
      <c r="L44" s="682"/>
      <c r="M44" s="682"/>
      <c r="N44" s="682"/>
      <c r="O44" s="682"/>
      <c r="P44" s="682"/>
    </row>
    <row r="45" spans="1:16" s="324" customFormat="1" ht="31.5" customHeight="1">
      <c r="A45" s="1203">
        <v>853</v>
      </c>
      <c r="B45" s="1197"/>
      <c r="C45" s="801" t="s">
        <v>277</v>
      </c>
      <c r="D45" s="1198">
        <f t="shared" si="1"/>
        <v>-4236</v>
      </c>
      <c r="E45" s="1202"/>
      <c r="F45" s="1202"/>
      <c r="G45" s="1202"/>
      <c r="H45" s="1202"/>
      <c r="I45" s="1202"/>
      <c r="J45" s="1202"/>
      <c r="K45" s="1202">
        <f>K46</f>
        <v>-3177</v>
      </c>
      <c r="L45" s="1202"/>
      <c r="M45" s="1202"/>
      <c r="N45" s="1202">
        <f>N46</f>
        <v>-1059</v>
      </c>
      <c r="O45" s="1202"/>
      <c r="P45" s="1202"/>
    </row>
    <row r="46" spans="1:16" s="324" customFormat="1" ht="32.25" customHeight="1">
      <c r="A46" s="780"/>
      <c r="B46" s="787">
        <v>85311</v>
      </c>
      <c r="C46" s="653" t="s">
        <v>785</v>
      </c>
      <c r="D46" s="664">
        <f t="shared" si="1"/>
        <v>-4236</v>
      </c>
      <c r="E46" s="682"/>
      <c r="F46" s="682"/>
      <c r="G46" s="682"/>
      <c r="H46" s="682"/>
      <c r="I46" s="682"/>
      <c r="J46" s="682"/>
      <c r="K46" s="682">
        <v>-3177</v>
      </c>
      <c r="L46" s="682"/>
      <c r="M46" s="682"/>
      <c r="N46" s="682">
        <v>-1059</v>
      </c>
      <c r="O46" s="682"/>
      <c r="P46" s="682"/>
    </row>
    <row r="47" spans="1:16" s="324" customFormat="1" ht="32.25" customHeight="1" thickBot="1">
      <c r="A47" s="818"/>
      <c r="B47" s="818"/>
      <c r="C47" s="739" t="s">
        <v>523</v>
      </c>
      <c r="D47" s="1174">
        <f t="shared" si="1"/>
        <v>-4548</v>
      </c>
      <c r="E47" s="647"/>
      <c r="F47" s="647"/>
      <c r="G47" s="647"/>
      <c r="H47" s="647"/>
      <c r="I47" s="647">
        <f>I48</f>
        <v>-4458</v>
      </c>
      <c r="J47" s="647">
        <f>J48</f>
        <v>-90</v>
      </c>
      <c r="K47" s="647"/>
      <c r="L47" s="647"/>
      <c r="M47" s="647"/>
      <c r="N47" s="647"/>
      <c r="O47" s="647"/>
      <c r="P47" s="647"/>
    </row>
    <row r="48" spans="1:16" s="324" customFormat="1" ht="26.25" customHeight="1" thickTop="1">
      <c r="A48" s="1199" t="s">
        <v>1022</v>
      </c>
      <c r="B48" s="804"/>
      <c r="C48" s="1197" t="s">
        <v>1023</v>
      </c>
      <c r="D48" s="1201">
        <f t="shared" si="1"/>
        <v>-4548</v>
      </c>
      <c r="E48" s="805"/>
      <c r="F48" s="805"/>
      <c r="G48" s="805"/>
      <c r="H48" s="805"/>
      <c r="I48" s="805">
        <f>I49</f>
        <v>-4458</v>
      </c>
      <c r="J48" s="805">
        <f>J49</f>
        <v>-90</v>
      </c>
      <c r="K48" s="805"/>
      <c r="L48" s="805"/>
      <c r="M48" s="805"/>
      <c r="N48" s="805"/>
      <c r="O48" s="805"/>
      <c r="P48" s="805"/>
    </row>
    <row r="49" spans="1:16" s="324" customFormat="1" ht="21.75" customHeight="1">
      <c r="A49" s="634"/>
      <c r="B49" s="1178" t="s">
        <v>743</v>
      </c>
      <c r="C49" s="1176" t="s">
        <v>100</v>
      </c>
      <c r="D49" s="821">
        <f t="shared" si="1"/>
        <v>-4548</v>
      </c>
      <c r="E49" s="682"/>
      <c r="F49" s="682"/>
      <c r="G49" s="682"/>
      <c r="H49" s="682"/>
      <c r="I49" s="682">
        <v>-4458</v>
      </c>
      <c r="J49" s="682">
        <v>-90</v>
      </c>
      <c r="K49" s="682"/>
      <c r="L49" s="682"/>
      <c r="M49" s="682"/>
      <c r="N49" s="682"/>
      <c r="O49" s="682"/>
      <c r="P49" s="682"/>
    </row>
    <row r="50" spans="1:16" s="324" customFormat="1" ht="24.75" customHeight="1">
      <c r="A50" s="816"/>
      <c r="B50" s="816"/>
      <c r="C50" s="640" t="s">
        <v>992</v>
      </c>
      <c r="D50" s="1172">
        <f t="shared" si="1"/>
        <v>26615091</v>
      </c>
      <c r="E50" s="641">
        <f aca="true" t="shared" si="11" ref="E50:P50">E51</f>
        <v>1170815</v>
      </c>
      <c r="F50" s="641">
        <f t="shared" si="11"/>
        <v>674607</v>
      </c>
      <c r="G50" s="641">
        <f t="shared" si="11"/>
        <v>1797593</v>
      </c>
      <c r="H50" s="641">
        <f t="shared" si="11"/>
        <v>1159679</v>
      </c>
      <c r="I50" s="641">
        <f t="shared" si="11"/>
        <v>1146107</v>
      </c>
      <c r="J50" s="641">
        <f t="shared" si="11"/>
        <v>2371545</v>
      </c>
      <c r="K50" s="641">
        <f t="shared" si="11"/>
        <v>1382021</v>
      </c>
      <c r="L50" s="641">
        <f t="shared" si="11"/>
        <v>2316554</v>
      </c>
      <c r="M50" s="641">
        <f t="shared" si="11"/>
        <v>5030030</v>
      </c>
      <c r="N50" s="641">
        <f t="shared" si="11"/>
        <v>2182233</v>
      </c>
      <c r="O50" s="641">
        <f t="shared" si="11"/>
        <v>1705930</v>
      </c>
      <c r="P50" s="641">
        <f t="shared" si="11"/>
        <v>5677977</v>
      </c>
    </row>
    <row r="51" spans="1:16" s="324" customFormat="1" ht="24" customHeight="1" thickBot="1">
      <c r="A51" s="818"/>
      <c r="B51" s="818"/>
      <c r="C51" s="645" t="s">
        <v>646</v>
      </c>
      <c r="D51" s="1174">
        <f t="shared" si="1"/>
        <v>26615091</v>
      </c>
      <c r="E51" s="647">
        <f aca="true" t="shared" si="12" ref="E51:P51">E52+E54+E57+E60++E63+E65+E70</f>
        <v>1170815</v>
      </c>
      <c r="F51" s="647">
        <f t="shared" si="12"/>
        <v>674607</v>
      </c>
      <c r="G51" s="647">
        <f t="shared" si="12"/>
        <v>1797593</v>
      </c>
      <c r="H51" s="647">
        <f t="shared" si="12"/>
        <v>1159679</v>
      </c>
      <c r="I51" s="647">
        <f t="shared" si="12"/>
        <v>1146107</v>
      </c>
      <c r="J51" s="647">
        <f t="shared" si="12"/>
        <v>2371545</v>
      </c>
      <c r="K51" s="647">
        <f t="shared" si="12"/>
        <v>1382021</v>
      </c>
      <c r="L51" s="647">
        <f t="shared" si="12"/>
        <v>2316554</v>
      </c>
      <c r="M51" s="647">
        <f>M52+M54+M57+M60++M63+M65+M70</f>
        <v>5030030</v>
      </c>
      <c r="N51" s="647">
        <f>N52+N54+N57+N60++N63+N65+N70</f>
        <v>2182233</v>
      </c>
      <c r="O51" s="647">
        <f t="shared" si="12"/>
        <v>1705930</v>
      </c>
      <c r="P51" s="647">
        <f t="shared" si="12"/>
        <v>5677977</v>
      </c>
    </row>
    <row r="52" spans="1:16" s="324" customFormat="1" ht="24" customHeight="1" thickTop="1">
      <c r="A52" s="1197">
        <v>750</v>
      </c>
      <c r="B52" s="1197"/>
      <c r="C52" s="801" t="s">
        <v>439</v>
      </c>
      <c r="D52" s="1198">
        <f t="shared" si="1"/>
        <v>100000</v>
      </c>
      <c r="E52" s="1202"/>
      <c r="F52" s="1202"/>
      <c r="G52" s="1202"/>
      <c r="H52" s="1202"/>
      <c r="I52" s="1202"/>
      <c r="J52" s="1202"/>
      <c r="K52" s="1202"/>
      <c r="L52" s="1202"/>
      <c r="M52" s="1202"/>
      <c r="N52" s="1202">
        <f>N53</f>
        <v>100000</v>
      </c>
      <c r="O52" s="1202"/>
      <c r="P52" s="1202"/>
    </row>
    <row r="53" spans="1:16" s="324" customFormat="1" ht="23.25" customHeight="1">
      <c r="A53" s="787"/>
      <c r="B53" s="652">
        <v>75023</v>
      </c>
      <c r="C53" s="653" t="s">
        <v>1061</v>
      </c>
      <c r="D53" s="664">
        <f t="shared" si="1"/>
        <v>100000</v>
      </c>
      <c r="E53" s="682"/>
      <c r="F53" s="682"/>
      <c r="G53" s="682"/>
      <c r="H53" s="682"/>
      <c r="I53" s="682"/>
      <c r="J53" s="682"/>
      <c r="K53" s="682"/>
      <c r="L53" s="682"/>
      <c r="M53" s="682"/>
      <c r="N53" s="682">
        <v>100000</v>
      </c>
      <c r="O53" s="682"/>
      <c r="P53" s="682"/>
    </row>
    <row r="54" spans="1:16" s="324" customFormat="1" ht="22.5" customHeight="1">
      <c r="A54" s="1197">
        <v>757</v>
      </c>
      <c r="B54" s="1197"/>
      <c r="C54" s="801" t="s">
        <v>444</v>
      </c>
      <c r="D54" s="1198">
        <f t="shared" si="1"/>
        <v>13200000</v>
      </c>
      <c r="E54" s="1202">
        <f aca="true" t="shared" si="13" ref="E54:P54">E55+E56</f>
        <v>488529</v>
      </c>
      <c r="F54" s="1202">
        <f t="shared" si="13"/>
        <v>15979</v>
      </c>
      <c r="G54" s="1202">
        <f t="shared" si="13"/>
        <v>1110932</v>
      </c>
      <c r="H54" s="1202">
        <f t="shared" si="13"/>
        <v>475068</v>
      </c>
      <c r="I54" s="1202">
        <f t="shared" si="13"/>
        <v>462540</v>
      </c>
      <c r="J54" s="1202">
        <f t="shared" si="13"/>
        <v>1695026</v>
      </c>
      <c r="K54" s="1202">
        <f t="shared" si="13"/>
        <v>542980</v>
      </c>
      <c r="L54" s="1202">
        <f t="shared" si="13"/>
        <v>220000</v>
      </c>
      <c r="M54" s="1202">
        <f t="shared" si="13"/>
        <v>2155980</v>
      </c>
      <c r="N54" s="1202">
        <f t="shared" si="13"/>
        <v>614795</v>
      </c>
      <c r="O54" s="1202">
        <f t="shared" si="13"/>
        <v>498721</v>
      </c>
      <c r="P54" s="1202">
        <f t="shared" si="13"/>
        <v>4919450</v>
      </c>
    </row>
    <row r="55" spans="1:16" s="324" customFormat="1" ht="30" customHeight="1">
      <c r="A55" s="786"/>
      <c r="B55" s="1179">
        <v>75702</v>
      </c>
      <c r="C55" s="653" t="s">
        <v>949</v>
      </c>
      <c r="D55" s="664">
        <f t="shared" si="1"/>
        <v>9200000</v>
      </c>
      <c r="E55" s="682">
        <v>488529</v>
      </c>
      <c r="F55" s="682">
        <v>15979</v>
      </c>
      <c r="G55" s="682">
        <v>1110932</v>
      </c>
      <c r="H55" s="682">
        <v>475068</v>
      </c>
      <c r="I55" s="682">
        <v>462540</v>
      </c>
      <c r="J55" s="682">
        <v>1695026</v>
      </c>
      <c r="K55" s="682">
        <f>542980</f>
        <v>542980</v>
      </c>
      <c r="L55" s="682">
        <v>220000</v>
      </c>
      <c r="M55" s="682">
        <f>734400+489600+931980</f>
        <v>2155980</v>
      </c>
      <c r="N55" s="682">
        <v>614795</v>
      </c>
      <c r="O55" s="682">
        <f>478500+20000+221</f>
        <v>498721</v>
      </c>
      <c r="P55" s="682">
        <f>919450</f>
        <v>919450</v>
      </c>
    </row>
    <row r="56" spans="1:16" s="324" customFormat="1" ht="45">
      <c r="A56" s="787"/>
      <c r="B56" s="1179">
        <v>75704</v>
      </c>
      <c r="C56" s="653" t="s">
        <v>950</v>
      </c>
      <c r="D56" s="748">
        <f t="shared" si="1"/>
        <v>4000000</v>
      </c>
      <c r="E56" s="682"/>
      <c r="F56" s="682"/>
      <c r="G56" s="682"/>
      <c r="H56" s="682"/>
      <c r="I56" s="682"/>
      <c r="J56" s="682"/>
      <c r="K56" s="682"/>
      <c r="L56" s="682"/>
      <c r="M56" s="682"/>
      <c r="N56" s="682"/>
      <c r="O56" s="682"/>
      <c r="P56" s="682">
        <v>4000000</v>
      </c>
    </row>
    <row r="57" spans="1:16" s="324" customFormat="1" ht="21.75" customHeight="1">
      <c r="A57" s="1197">
        <v>758</v>
      </c>
      <c r="B57" s="1197"/>
      <c r="C57" s="801" t="s">
        <v>446</v>
      </c>
      <c r="D57" s="1198">
        <f t="shared" si="1"/>
        <v>9818590</v>
      </c>
      <c r="E57" s="1202">
        <f aca="true" t="shared" si="14" ref="E57:P57">E58+E59</f>
        <v>424174</v>
      </c>
      <c r="F57" s="1202">
        <f t="shared" si="14"/>
        <v>424174</v>
      </c>
      <c r="G57" s="1202">
        <f t="shared" si="14"/>
        <v>424173</v>
      </c>
      <c r="H57" s="1202">
        <f t="shared" si="14"/>
        <v>424174</v>
      </c>
      <c r="I57" s="1202">
        <f t="shared" si="14"/>
        <v>424174</v>
      </c>
      <c r="J57" s="1202">
        <f t="shared" si="14"/>
        <v>424173</v>
      </c>
      <c r="K57" s="1202">
        <f t="shared" si="14"/>
        <v>524174</v>
      </c>
      <c r="L57" s="1202">
        <f t="shared" si="14"/>
        <v>1793514</v>
      </c>
      <c r="M57" s="1202">
        <f t="shared" si="14"/>
        <v>2424173</v>
      </c>
      <c r="N57" s="1202">
        <f t="shared" si="14"/>
        <v>1183339</v>
      </c>
      <c r="O57" s="1202">
        <f t="shared" si="14"/>
        <v>924174</v>
      </c>
      <c r="P57" s="1202">
        <f t="shared" si="14"/>
        <v>424174</v>
      </c>
    </row>
    <row r="58" spans="1:16" s="324" customFormat="1" ht="21.75" customHeight="1">
      <c r="A58" s="786"/>
      <c r="B58" s="787">
        <v>75814</v>
      </c>
      <c r="C58" s="653" t="s">
        <v>384</v>
      </c>
      <c r="D58" s="664">
        <f t="shared" si="1"/>
        <v>5090085</v>
      </c>
      <c r="E58" s="682">
        <v>424174</v>
      </c>
      <c r="F58" s="682">
        <v>424174</v>
      </c>
      <c r="G58" s="682">
        <v>424173</v>
      </c>
      <c r="H58" s="682">
        <v>424174</v>
      </c>
      <c r="I58" s="682">
        <v>424174</v>
      </c>
      <c r="J58" s="682">
        <v>424173</v>
      </c>
      <c r="K58" s="682">
        <v>424174</v>
      </c>
      <c r="L58" s="682">
        <v>424174</v>
      </c>
      <c r="M58" s="682">
        <v>424173</v>
      </c>
      <c r="N58" s="682">
        <v>424174</v>
      </c>
      <c r="O58" s="682">
        <v>424174</v>
      </c>
      <c r="P58" s="682">
        <v>424174</v>
      </c>
    </row>
    <row r="59" spans="1:16" s="324" customFormat="1" ht="21.75" customHeight="1">
      <c r="A59" s="787"/>
      <c r="B59" s="787">
        <v>75818</v>
      </c>
      <c r="C59" s="653" t="s">
        <v>447</v>
      </c>
      <c r="D59" s="748">
        <f t="shared" si="1"/>
        <v>4728505</v>
      </c>
      <c r="E59" s="682"/>
      <c r="F59" s="682"/>
      <c r="G59" s="682"/>
      <c r="H59" s="682"/>
      <c r="I59" s="682"/>
      <c r="J59" s="682"/>
      <c r="K59" s="682">
        <v>100000</v>
      </c>
      <c r="L59" s="682">
        <v>1369340</v>
      </c>
      <c r="M59" s="682">
        <v>2000000</v>
      </c>
      <c r="N59" s="682">
        <v>759165</v>
      </c>
      <c r="O59" s="682">
        <v>500000</v>
      </c>
      <c r="P59" s="682"/>
    </row>
    <row r="60" spans="1:16" s="324" customFormat="1" ht="21.75" customHeight="1">
      <c r="A60" s="1197">
        <v>801</v>
      </c>
      <c r="B60" s="1197"/>
      <c r="C60" s="801" t="s">
        <v>448</v>
      </c>
      <c r="D60" s="1198">
        <f t="shared" si="1"/>
        <v>140650</v>
      </c>
      <c r="E60" s="1202"/>
      <c r="F60" s="1202"/>
      <c r="G60" s="1202"/>
      <c r="H60" s="1202"/>
      <c r="I60" s="1202"/>
      <c r="J60" s="1202"/>
      <c r="K60" s="1202">
        <f>K61+K62</f>
        <v>28650</v>
      </c>
      <c r="L60" s="1202"/>
      <c r="M60" s="1202">
        <f>M61+M62</f>
        <v>56000</v>
      </c>
      <c r="N60" s="1202"/>
      <c r="O60" s="1202"/>
      <c r="P60" s="1202">
        <f>P61+P62</f>
        <v>56000</v>
      </c>
    </row>
    <row r="61" spans="1:16" s="324" customFormat="1" ht="21.75" customHeight="1">
      <c r="A61" s="786"/>
      <c r="B61" s="787">
        <v>80101</v>
      </c>
      <c r="C61" s="653" t="s">
        <v>449</v>
      </c>
      <c r="D61" s="664">
        <f t="shared" si="1"/>
        <v>45650</v>
      </c>
      <c r="E61" s="682"/>
      <c r="F61" s="682"/>
      <c r="G61" s="682"/>
      <c r="H61" s="682"/>
      <c r="I61" s="682"/>
      <c r="J61" s="682"/>
      <c r="K61" s="682">
        <v>9650</v>
      </c>
      <c r="L61" s="682"/>
      <c r="M61" s="682">
        <v>18000</v>
      </c>
      <c r="N61" s="682"/>
      <c r="O61" s="682"/>
      <c r="P61" s="682">
        <v>18000</v>
      </c>
    </row>
    <row r="62" spans="1:16" s="324" customFormat="1" ht="21.75" customHeight="1">
      <c r="A62" s="786"/>
      <c r="B62" s="787">
        <v>80130</v>
      </c>
      <c r="C62" s="653" t="s">
        <v>494</v>
      </c>
      <c r="D62" s="748">
        <f t="shared" si="1"/>
        <v>95000</v>
      </c>
      <c r="E62" s="682"/>
      <c r="F62" s="682"/>
      <c r="G62" s="682"/>
      <c r="H62" s="682"/>
      <c r="I62" s="682"/>
      <c r="J62" s="682"/>
      <c r="K62" s="682">
        <v>19000</v>
      </c>
      <c r="L62" s="682"/>
      <c r="M62" s="682">
        <v>38000</v>
      </c>
      <c r="N62" s="682"/>
      <c r="O62" s="682"/>
      <c r="P62" s="682">
        <v>38000</v>
      </c>
    </row>
    <row r="63" spans="1:16" s="324" customFormat="1" ht="21.75" customHeight="1">
      <c r="A63" s="1203">
        <v>851</v>
      </c>
      <c r="B63" s="1203"/>
      <c r="C63" s="1204" t="s">
        <v>106</v>
      </c>
      <c r="D63" s="1205">
        <f t="shared" si="1"/>
        <v>30000</v>
      </c>
      <c r="E63" s="1206"/>
      <c r="F63" s="1206"/>
      <c r="G63" s="1206"/>
      <c r="H63" s="1206"/>
      <c r="I63" s="1206"/>
      <c r="J63" s="1206"/>
      <c r="K63" s="1206">
        <f>K64</f>
        <v>10000</v>
      </c>
      <c r="L63" s="1206">
        <f>L64</f>
        <v>20000</v>
      </c>
      <c r="M63" s="1206"/>
      <c r="N63" s="1206"/>
      <c r="O63" s="1206"/>
      <c r="P63" s="1206"/>
    </row>
    <row r="64" spans="1:16" s="324" customFormat="1" ht="21.75" customHeight="1">
      <c r="A64" s="1176"/>
      <c r="B64" s="787">
        <v>85154</v>
      </c>
      <c r="C64" s="653" t="s">
        <v>124</v>
      </c>
      <c r="D64" s="664">
        <f t="shared" si="1"/>
        <v>30000</v>
      </c>
      <c r="E64" s="682"/>
      <c r="F64" s="682"/>
      <c r="G64" s="682"/>
      <c r="H64" s="682"/>
      <c r="I64" s="682"/>
      <c r="J64" s="682"/>
      <c r="K64" s="682">
        <v>10000</v>
      </c>
      <c r="L64" s="682">
        <v>20000</v>
      </c>
      <c r="M64" s="682"/>
      <c r="N64" s="682"/>
      <c r="O64" s="682"/>
      <c r="P64" s="682"/>
    </row>
    <row r="65" spans="1:16" s="324" customFormat="1" ht="21.75" customHeight="1">
      <c r="A65" s="1197">
        <v>852</v>
      </c>
      <c r="B65" s="1197"/>
      <c r="C65" s="801" t="s">
        <v>129</v>
      </c>
      <c r="D65" s="1198">
        <f t="shared" si="1"/>
        <v>3321615</v>
      </c>
      <c r="E65" s="1202">
        <f aca="true" t="shared" si="15" ref="E65:P65">E66+E67+E69+E68</f>
        <v>258112</v>
      </c>
      <c r="F65" s="1202">
        <f t="shared" si="15"/>
        <v>234454</v>
      </c>
      <c r="G65" s="1202">
        <f t="shared" si="15"/>
        <v>262488</v>
      </c>
      <c r="H65" s="1202">
        <f t="shared" si="15"/>
        <v>260437</v>
      </c>
      <c r="I65" s="1202">
        <f t="shared" si="15"/>
        <v>259393</v>
      </c>
      <c r="J65" s="1202">
        <f t="shared" si="15"/>
        <v>252346</v>
      </c>
      <c r="K65" s="1202">
        <f t="shared" si="15"/>
        <v>273040</v>
      </c>
      <c r="L65" s="1202">
        <f t="shared" si="15"/>
        <v>283040</v>
      </c>
      <c r="M65" s="1202">
        <f t="shared" si="15"/>
        <v>393877</v>
      </c>
      <c r="N65" s="1202">
        <f t="shared" si="15"/>
        <v>283040</v>
      </c>
      <c r="O65" s="1202">
        <f t="shared" si="15"/>
        <v>283035</v>
      </c>
      <c r="P65" s="1202">
        <f t="shared" si="15"/>
        <v>278353</v>
      </c>
    </row>
    <row r="66" spans="1:16" s="324" customFormat="1" ht="21.75" customHeight="1">
      <c r="A66" s="780"/>
      <c r="B66" s="787">
        <v>85201</v>
      </c>
      <c r="C66" s="653" t="s">
        <v>773</v>
      </c>
      <c r="D66" s="664">
        <f t="shared" si="1"/>
        <v>2700000</v>
      </c>
      <c r="E66" s="682">
        <v>215482</v>
      </c>
      <c r="F66" s="682">
        <v>201563</v>
      </c>
      <c r="G66" s="682">
        <v>232657</v>
      </c>
      <c r="H66" s="682">
        <v>216173</v>
      </c>
      <c r="I66" s="682">
        <v>213978</v>
      </c>
      <c r="J66" s="682">
        <v>214117</v>
      </c>
      <c r="K66" s="682">
        <v>225865</v>
      </c>
      <c r="L66" s="682">
        <v>225865</v>
      </c>
      <c r="M66" s="682">
        <v>276702</v>
      </c>
      <c r="N66" s="682">
        <v>225865</v>
      </c>
      <c r="O66" s="682">
        <v>225865</v>
      </c>
      <c r="P66" s="682">
        <v>225868</v>
      </c>
    </row>
    <row r="67" spans="1:16" s="324" customFormat="1" ht="21.75" customHeight="1">
      <c r="A67" s="780"/>
      <c r="B67" s="787">
        <v>85204</v>
      </c>
      <c r="C67" s="653" t="s">
        <v>289</v>
      </c>
      <c r="D67" s="748">
        <f t="shared" si="1"/>
        <v>550000</v>
      </c>
      <c r="E67" s="682">
        <v>31085</v>
      </c>
      <c r="F67" s="682">
        <v>32891</v>
      </c>
      <c r="G67" s="682">
        <v>29831</v>
      </c>
      <c r="H67" s="682">
        <v>44264</v>
      </c>
      <c r="I67" s="682">
        <v>45415</v>
      </c>
      <c r="J67" s="682">
        <v>38159</v>
      </c>
      <c r="K67" s="682">
        <v>47175</v>
      </c>
      <c r="L67" s="682">
        <v>57175</v>
      </c>
      <c r="M67" s="682">
        <v>57175</v>
      </c>
      <c r="N67" s="682">
        <v>57175</v>
      </c>
      <c r="O67" s="682">
        <v>57170</v>
      </c>
      <c r="P67" s="682">
        <v>52485</v>
      </c>
    </row>
    <row r="68" spans="1:16" s="324" customFormat="1" ht="45.75">
      <c r="A68" s="780"/>
      <c r="B68" s="787">
        <v>85220</v>
      </c>
      <c r="C68" s="653" t="s">
        <v>222</v>
      </c>
      <c r="D68" s="748">
        <f t="shared" si="1"/>
        <v>60000</v>
      </c>
      <c r="E68" s="682"/>
      <c r="F68" s="682"/>
      <c r="G68" s="682"/>
      <c r="H68" s="682"/>
      <c r="I68" s="682"/>
      <c r="J68" s="682"/>
      <c r="K68" s="682"/>
      <c r="L68" s="682"/>
      <c r="M68" s="682">
        <v>60000</v>
      </c>
      <c r="N68" s="682"/>
      <c r="O68" s="682"/>
      <c r="P68" s="682"/>
    </row>
    <row r="69" spans="1:16" s="324" customFormat="1" ht="26.25" customHeight="1">
      <c r="A69" s="780"/>
      <c r="B69" s="787">
        <v>85295</v>
      </c>
      <c r="C69" s="653" t="s">
        <v>100</v>
      </c>
      <c r="D69" s="748">
        <f t="shared" si="1"/>
        <v>11615</v>
      </c>
      <c r="E69" s="682">
        <v>11545</v>
      </c>
      <c r="F69" s="682"/>
      <c r="G69" s="682"/>
      <c r="H69" s="682"/>
      <c r="I69" s="682"/>
      <c r="J69" s="682">
        <v>70</v>
      </c>
      <c r="K69" s="682"/>
      <c r="L69" s="682"/>
      <c r="M69" s="682"/>
      <c r="N69" s="682"/>
      <c r="O69" s="682"/>
      <c r="P69" s="682"/>
    </row>
    <row r="70" spans="1:16" s="324" customFormat="1" ht="33.75" customHeight="1">
      <c r="A70" s="1203">
        <v>853</v>
      </c>
      <c r="B70" s="1197"/>
      <c r="C70" s="801" t="s">
        <v>277</v>
      </c>
      <c r="D70" s="1198">
        <f t="shared" si="1"/>
        <v>4236</v>
      </c>
      <c r="E70" s="1202"/>
      <c r="F70" s="1202"/>
      <c r="G70" s="1202"/>
      <c r="H70" s="1202"/>
      <c r="I70" s="1202"/>
      <c r="J70" s="1202"/>
      <c r="K70" s="1202">
        <f>K71</f>
        <v>3177</v>
      </c>
      <c r="L70" s="1202"/>
      <c r="M70" s="1202"/>
      <c r="N70" s="1202">
        <f>N71</f>
        <v>1059</v>
      </c>
      <c r="O70" s="1202"/>
      <c r="P70" s="1202"/>
    </row>
    <row r="71" spans="1:16" s="324" customFormat="1" ht="35.25" customHeight="1">
      <c r="A71" s="1176"/>
      <c r="B71" s="787">
        <v>85311</v>
      </c>
      <c r="C71" s="653" t="s">
        <v>785</v>
      </c>
      <c r="D71" s="664">
        <f t="shared" si="1"/>
        <v>4236</v>
      </c>
      <c r="E71" s="682"/>
      <c r="F71" s="682"/>
      <c r="G71" s="682"/>
      <c r="H71" s="682"/>
      <c r="I71" s="682"/>
      <c r="J71" s="682"/>
      <c r="K71" s="682">
        <v>3177</v>
      </c>
      <c r="L71" s="682"/>
      <c r="M71" s="682"/>
      <c r="N71" s="682">
        <v>1059</v>
      </c>
      <c r="O71" s="682"/>
      <c r="P71" s="682"/>
    </row>
    <row r="72" spans="1:16" s="324" customFormat="1" ht="29.25" customHeight="1">
      <c r="A72" s="1180"/>
      <c r="B72" s="1180"/>
      <c r="C72" s="1181" t="s">
        <v>776</v>
      </c>
      <c r="D72" s="1182">
        <f t="shared" si="1"/>
        <v>282548</v>
      </c>
      <c r="E72" s="1183">
        <f>E73</f>
        <v>17315</v>
      </c>
      <c r="F72" s="1183">
        <f>F73</f>
        <v>15868</v>
      </c>
      <c r="G72" s="1183">
        <f>G73</f>
        <v>18836</v>
      </c>
      <c r="H72" s="1183">
        <f>H73</f>
        <v>28864</v>
      </c>
      <c r="I72" s="1183">
        <f>I73+I78</f>
        <v>27609</v>
      </c>
      <c r="J72" s="1183">
        <f>J73+J78</f>
        <v>25723</v>
      </c>
      <c r="K72" s="1183">
        <f>K73+K78</f>
        <v>22090</v>
      </c>
      <c r="L72" s="1183">
        <f>L73</f>
        <v>23000</v>
      </c>
      <c r="M72" s="1183">
        <f>M73</f>
        <v>27000</v>
      </c>
      <c r="N72" s="1183">
        <f>N73</f>
        <v>26500</v>
      </c>
      <c r="O72" s="1183">
        <f>O73</f>
        <v>26000</v>
      </c>
      <c r="P72" s="1183">
        <f>P73</f>
        <v>23743</v>
      </c>
    </row>
    <row r="73" spans="1:16" s="324" customFormat="1" ht="19.5" customHeight="1" thickBot="1">
      <c r="A73" s="818"/>
      <c r="B73" s="818"/>
      <c r="C73" s="645" t="s">
        <v>646</v>
      </c>
      <c r="D73" s="1174">
        <f t="shared" si="1"/>
        <v>278000</v>
      </c>
      <c r="E73" s="647">
        <f aca="true" t="shared" si="16" ref="E73:P73">E74+E76</f>
        <v>17315</v>
      </c>
      <c r="F73" s="647">
        <f t="shared" si="16"/>
        <v>15868</v>
      </c>
      <c r="G73" s="647">
        <f t="shared" si="16"/>
        <v>18836</v>
      </c>
      <c r="H73" s="647">
        <f t="shared" si="16"/>
        <v>28864</v>
      </c>
      <c r="I73" s="647">
        <f t="shared" si="16"/>
        <v>23151</v>
      </c>
      <c r="J73" s="647">
        <f t="shared" si="16"/>
        <v>25723</v>
      </c>
      <c r="K73" s="647">
        <f t="shared" si="16"/>
        <v>22000</v>
      </c>
      <c r="L73" s="647">
        <f t="shared" si="16"/>
        <v>23000</v>
      </c>
      <c r="M73" s="647">
        <f t="shared" si="16"/>
        <v>27000</v>
      </c>
      <c r="N73" s="647">
        <f t="shared" si="16"/>
        <v>26500</v>
      </c>
      <c r="O73" s="647">
        <f t="shared" si="16"/>
        <v>26000</v>
      </c>
      <c r="P73" s="647">
        <f t="shared" si="16"/>
        <v>23743</v>
      </c>
    </row>
    <row r="74" spans="1:16" s="324" customFormat="1" ht="21.75" customHeight="1" thickTop="1">
      <c r="A74" s="1199" t="s">
        <v>1022</v>
      </c>
      <c r="B74" s="804"/>
      <c r="C74" s="1200" t="s">
        <v>1023</v>
      </c>
      <c r="D74" s="1201">
        <f t="shared" si="1"/>
        <v>11000</v>
      </c>
      <c r="E74" s="805"/>
      <c r="F74" s="805"/>
      <c r="G74" s="805"/>
      <c r="H74" s="805">
        <f>H75</f>
        <v>5939</v>
      </c>
      <c r="I74" s="805"/>
      <c r="J74" s="805">
        <f>J75</f>
        <v>3078</v>
      </c>
      <c r="K74" s="805"/>
      <c r="L74" s="805"/>
      <c r="M74" s="805"/>
      <c r="N74" s="805">
        <f>N75</f>
        <v>1500</v>
      </c>
      <c r="O74" s="805"/>
      <c r="P74" s="805">
        <f>P75</f>
        <v>483</v>
      </c>
    </row>
    <row r="75" spans="1:16" s="324" customFormat="1" ht="19.5" customHeight="1">
      <c r="A75" s="1177"/>
      <c r="B75" s="1178" t="s">
        <v>842</v>
      </c>
      <c r="C75" s="759" t="s">
        <v>948</v>
      </c>
      <c r="D75" s="821">
        <f t="shared" si="1"/>
        <v>11000</v>
      </c>
      <c r="E75" s="682"/>
      <c r="F75" s="682"/>
      <c r="G75" s="682"/>
      <c r="H75" s="682">
        <v>5939</v>
      </c>
      <c r="I75" s="682"/>
      <c r="J75" s="682">
        <v>3078</v>
      </c>
      <c r="K75" s="682"/>
      <c r="L75" s="682"/>
      <c r="M75" s="682"/>
      <c r="N75" s="682">
        <v>1500</v>
      </c>
      <c r="O75" s="682"/>
      <c r="P75" s="682">
        <v>483</v>
      </c>
    </row>
    <row r="76" spans="1:16" s="324" customFormat="1" ht="61.5" customHeight="1">
      <c r="A76" s="1197">
        <v>756</v>
      </c>
      <c r="B76" s="1197"/>
      <c r="C76" s="801" t="s">
        <v>380</v>
      </c>
      <c r="D76" s="1198">
        <f aca="true" t="shared" si="17" ref="D76:D139">SUM(E76:P76)</f>
        <v>267000</v>
      </c>
      <c r="E76" s="1202">
        <f aca="true" t="shared" si="18" ref="E76:P76">E77</f>
        <v>17315</v>
      </c>
      <c r="F76" s="1202">
        <f t="shared" si="18"/>
        <v>15868</v>
      </c>
      <c r="G76" s="1202">
        <f t="shared" si="18"/>
        <v>18836</v>
      </c>
      <c r="H76" s="1202">
        <f t="shared" si="18"/>
        <v>22925</v>
      </c>
      <c r="I76" s="1202">
        <f t="shared" si="18"/>
        <v>23151</v>
      </c>
      <c r="J76" s="1202">
        <f t="shared" si="18"/>
        <v>22645</v>
      </c>
      <c r="K76" s="1202">
        <f t="shared" si="18"/>
        <v>22000</v>
      </c>
      <c r="L76" s="1202">
        <f t="shared" si="18"/>
        <v>23000</v>
      </c>
      <c r="M76" s="1202">
        <f t="shared" si="18"/>
        <v>27000</v>
      </c>
      <c r="N76" s="1202">
        <f t="shared" si="18"/>
        <v>25000</v>
      </c>
      <c r="O76" s="1202">
        <f t="shared" si="18"/>
        <v>26000</v>
      </c>
      <c r="P76" s="1202">
        <f t="shared" si="18"/>
        <v>23260</v>
      </c>
    </row>
    <row r="77" spans="1:16" s="324" customFormat="1" ht="32.25" customHeight="1">
      <c r="A77" s="786"/>
      <c r="B77" s="787">
        <v>75647</v>
      </c>
      <c r="C77" s="653" t="s">
        <v>493</v>
      </c>
      <c r="D77" s="664">
        <f t="shared" si="17"/>
        <v>267000</v>
      </c>
      <c r="E77" s="682">
        <f>315+17000</f>
        <v>17315</v>
      </c>
      <c r="F77" s="682">
        <v>15868</v>
      </c>
      <c r="G77" s="682">
        <v>18836</v>
      </c>
      <c r="H77" s="682">
        <v>22925</v>
      </c>
      <c r="I77" s="682">
        <v>23151</v>
      </c>
      <c r="J77" s="682">
        <v>22645</v>
      </c>
      <c r="K77" s="682">
        <v>22000</v>
      </c>
      <c r="L77" s="682">
        <v>23000</v>
      </c>
      <c r="M77" s="682">
        <v>27000</v>
      </c>
      <c r="N77" s="682">
        <v>25000</v>
      </c>
      <c r="O77" s="682">
        <v>26000</v>
      </c>
      <c r="P77" s="682">
        <v>23260</v>
      </c>
    </row>
    <row r="78" spans="1:16" s="324" customFormat="1" ht="32.25" customHeight="1" thickBot="1">
      <c r="A78" s="818"/>
      <c r="B78" s="818"/>
      <c r="C78" s="739" t="s">
        <v>523</v>
      </c>
      <c r="D78" s="1174">
        <f t="shared" si="17"/>
        <v>4548</v>
      </c>
      <c r="E78" s="647"/>
      <c r="F78" s="647"/>
      <c r="G78" s="647"/>
      <c r="H78" s="647"/>
      <c r="I78" s="647">
        <f>I79</f>
        <v>4458</v>
      </c>
      <c r="J78" s="647"/>
      <c r="K78" s="647">
        <f>K79</f>
        <v>90</v>
      </c>
      <c r="L78" s="647"/>
      <c r="M78" s="647"/>
      <c r="N78" s="647"/>
      <c r="O78" s="647"/>
      <c r="P78" s="647"/>
    </row>
    <row r="79" spans="1:16" s="324" customFormat="1" ht="21.75" customHeight="1" thickTop="1">
      <c r="A79" s="1199" t="s">
        <v>1022</v>
      </c>
      <c r="B79" s="804"/>
      <c r="C79" s="1197" t="s">
        <v>1023</v>
      </c>
      <c r="D79" s="1201">
        <f t="shared" si="17"/>
        <v>4548</v>
      </c>
      <c r="E79" s="805"/>
      <c r="F79" s="805"/>
      <c r="G79" s="805"/>
      <c r="H79" s="805"/>
      <c r="I79" s="805">
        <f>I80</f>
        <v>4458</v>
      </c>
      <c r="J79" s="805"/>
      <c r="K79" s="805">
        <f>K80</f>
        <v>90</v>
      </c>
      <c r="L79" s="805"/>
      <c r="M79" s="805"/>
      <c r="N79" s="805"/>
      <c r="O79" s="805"/>
      <c r="P79" s="805"/>
    </row>
    <row r="80" spans="1:16" s="324" customFormat="1" ht="19.5" customHeight="1">
      <c r="A80" s="634"/>
      <c r="B80" s="1178" t="s">
        <v>743</v>
      </c>
      <c r="C80" s="1176" t="s">
        <v>100</v>
      </c>
      <c r="D80" s="821">
        <f t="shared" si="17"/>
        <v>4548</v>
      </c>
      <c r="E80" s="682"/>
      <c r="F80" s="682"/>
      <c r="G80" s="682"/>
      <c r="H80" s="682"/>
      <c r="I80" s="682">
        <v>4458</v>
      </c>
      <c r="J80" s="682"/>
      <c r="K80" s="682">
        <v>90</v>
      </c>
      <c r="L80" s="682"/>
      <c r="M80" s="682"/>
      <c r="N80" s="682"/>
      <c r="O80" s="682"/>
      <c r="P80" s="682"/>
    </row>
    <row r="81" spans="1:16" s="324" customFormat="1" ht="27.75" customHeight="1">
      <c r="A81" s="816"/>
      <c r="B81" s="816"/>
      <c r="C81" s="640" t="s">
        <v>859</v>
      </c>
      <c r="D81" s="1172">
        <f t="shared" si="17"/>
        <v>-1432587</v>
      </c>
      <c r="E81" s="1173">
        <f aca="true" t="shared" si="19" ref="E81:P81">E82+E87</f>
        <v>-13340</v>
      </c>
      <c r="F81" s="1173">
        <f t="shared" si="19"/>
        <v>-57740</v>
      </c>
      <c r="G81" s="1173">
        <f t="shared" si="19"/>
        <v>-51350</v>
      </c>
      <c r="H81" s="1173">
        <f t="shared" si="19"/>
        <v>-142863</v>
      </c>
      <c r="I81" s="1173">
        <f t="shared" si="19"/>
        <v>-65780</v>
      </c>
      <c r="J81" s="1173">
        <f t="shared" si="19"/>
        <v>-184873</v>
      </c>
      <c r="K81" s="1173">
        <f t="shared" si="19"/>
        <v>-104750</v>
      </c>
      <c r="L81" s="1173">
        <f t="shared" si="19"/>
        <v>-108900</v>
      </c>
      <c r="M81" s="1173">
        <f t="shared" si="19"/>
        <v>-54625</v>
      </c>
      <c r="N81" s="1173">
        <f t="shared" si="19"/>
        <v>-483850</v>
      </c>
      <c r="O81" s="1173">
        <f t="shared" si="19"/>
        <v>-76950</v>
      </c>
      <c r="P81" s="1173">
        <f t="shared" si="19"/>
        <v>-87566</v>
      </c>
    </row>
    <row r="82" spans="1:16" s="324" customFormat="1" ht="21.75" customHeight="1" thickBot="1">
      <c r="A82" s="818"/>
      <c r="B82" s="818"/>
      <c r="C82" s="739" t="s">
        <v>646</v>
      </c>
      <c r="D82" s="1174">
        <f t="shared" si="17"/>
        <v>-626371</v>
      </c>
      <c r="E82" s="1175">
        <f aca="true" t="shared" si="20" ref="E82:P82">E85+E83</f>
        <v>-10940</v>
      </c>
      <c r="F82" s="1175">
        <f t="shared" si="20"/>
        <v>-7740</v>
      </c>
      <c r="G82" s="1175">
        <f t="shared" si="20"/>
        <v>-1350</v>
      </c>
      <c r="H82" s="1175">
        <f t="shared" si="20"/>
        <v>-92863</v>
      </c>
      <c r="I82" s="1175">
        <f t="shared" si="20"/>
        <v>-15780</v>
      </c>
      <c r="J82" s="1175">
        <f t="shared" si="20"/>
        <v>-34873</v>
      </c>
      <c r="K82" s="1175">
        <f t="shared" si="20"/>
        <v>-54750</v>
      </c>
      <c r="L82" s="1175">
        <f t="shared" si="20"/>
        <v>-58900</v>
      </c>
      <c r="M82" s="1175">
        <f t="shared" si="20"/>
        <v>-4625</v>
      </c>
      <c r="N82" s="1175">
        <f t="shared" si="20"/>
        <v>-333850</v>
      </c>
      <c r="O82" s="1175">
        <f t="shared" si="20"/>
        <v>-9350</v>
      </c>
      <c r="P82" s="1175">
        <f t="shared" si="20"/>
        <v>-1350</v>
      </c>
    </row>
    <row r="83" spans="1:16" s="324" customFormat="1" ht="30" customHeight="1" thickTop="1">
      <c r="A83" s="1203">
        <v>754</v>
      </c>
      <c r="B83" s="1203"/>
      <c r="C83" s="1204" t="s">
        <v>441</v>
      </c>
      <c r="D83" s="1205">
        <f t="shared" si="17"/>
        <v>-7740</v>
      </c>
      <c r="E83" s="1206"/>
      <c r="F83" s="1206">
        <f>F84</f>
        <v>-7740</v>
      </c>
      <c r="G83" s="1206"/>
      <c r="H83" s="1206"/>
      <c r="I83" s="1206"/>
      <c r="J83" s="1206"/>
      <c r="K83" s="1206"/>
      <c r="L83" s="1206"/>
      <c r="M83" s="1206"/>
      <c r="N83" s="1206"/>
      <c r="O83" s="1206"/>
      <c r="P83" s="1206"/>
    </row>
    <row r="84" spans="1:16" s="324" customFormat="1" ht="21" customHeight="1">
      <c r="A84" s="1193"/>
      <c r="B84" s="787">
        <v>75495</v>
      </c>
      <c r="C84" s="653" t="s">
        <v>100</v>
      </c>
      <c r="D84" s="664">
        <f t="shared" si="17"/>
        <v>-7740</v>
      </c>
      <c r="E84" s="682"/>
      <c r="F84" s="682">
        <v>-7740</v>
      </c>
      <c r="G84" s="682"/>
      <c r="H84" s="682"/>
      <c r="I84" s="682"/>
      <c r="J84" s="682"/>
      <c r="K84" s="682"/>
      <c r="L84" s="682"/>
      <c r="M84" s="682"/>
      <c r="N84" s="682"/>
      <c r="O84" s="682"/>
      <c r="P84" s="682"/>
    </row>
    <row r="85" spans="1:16" s="324" customFormat="1" ht="21.75" customHeight="1">
      <c r="A85" s="1199" t="s">
        <v>951</v>
      </c>
      <c r="B85" s="1197"/>
      <c r="C85" s="801" t="s">
        <v>446</v>
      </c>
      <c r="D85" s="1198">
        <f t="shared" si="17"/>
        <v>-618631</v>
      </c>
      <c r="E85" s="1202">
        <f>E86</f>
        <v>-10940</v>
      </c>
      <c r="F85" s="1202"/>
      <c r="G85" s="1202">
        <f aca="true" t="shared" si="21" ref="G85:P85">G86</f>
        <v>-1350</v>
      </c>
      <c r="H85" s="1202">
        <f t="shared" si="21"/>
        <v>-92863</v>
      </c>
      <c r="I85" s="1202">
        <f t="shared" si="21"/>
        <v>-15780</v>
      </c>
      <c r="J85" s="1202">
        <f t="shared" si="21"/>
        <v>-34873</v>
      </c>
      <c r="K85" s="1202">
        <f t="shared" si="21"/>
        <v>-54750</v>
      </c>
      <c r="L85" s="1202">
        <f t="shared" si="21"/>
        <v>-58900</v>
      </c>
      <c r="M85" s="1202">
        <f t="shared" si="21"/>
        <v>-4625</v>
      </c>
      <c r="N85" s="1202">
        <f t="shared" si="21"/>
        <v>-333850</v>
      </c>
      <c r="O85" s="1202">
        <f t="shared" si="21"/>
        <v>-9350</v>
      </c>
      <c r="P85" s="1202">
        <f t="shared" si="21"/>
        <v>-1350</v>
      </c>
    </row>
    <row r="86" spans="1:16" s="324" customFormat="1" ht="21.75" customHeight="1">
      <c r="A86" s="1184"/>
      <c r="B86" s="787">
        <v>75860</v>
      </c>
      <c r="C86" s="653" t="s">
        <v>309</v>
      </c>
      <c r="D86" s="664">
        <f t="shared" si="17"/>
        <v>-618631</v>
      </c>
      <c r="E86" s="822">
        <v>-10940</v>
      </c>
      <c r="F86" s="822"/>
      <c r="G86" s="822">
        <v>-1350</v>
      </c>
      <c r="H86" s="822">
        <f>-6057-6806-80000</f>
        <v>-92863</v>
      </c>
      <c r="I86" s="822">
        <f>-7080-8700</f>
        <v>-15780</v>
      </c>
      <c r="J86" s="822">
        <f>-2388-32485</f>
        <v>-34873</v>
      </c>
      <c r="K86" s="822">
        <f>-1350-53400</f>
        <v>-54750</v>
      </c>
      <c r="L86" s="822">
        <f>-7600-51300</f>
        <v>-58900</v>
      </c>
      <c r="M86" s="822">
        <v>-4625</v>
      </c>
      <c r="N86" s="822">
        <v>-333850</v>
      </c>
      <c r="O86" s="822">
        <v>-9350</v>
      </c>
      <c r="P86" s="822">
        <v>-1350</v>
      </c>
    </row>
    <row r="87" spans="1:16" s="324" customFormat="1" ht="33" customHeight="1" thickBot="1">
      <c r="A87" s="787"/>
      <c r="B87" s="787"/>
      <c r="C87" s="739" t="s">
        <v>1041</v>
      </c>
      <c r="D87" s="725">
        <f t="shared" si="17"/>
        <v>-806216</v>
      </c>
      <c r="E87" s="725">
        <f aca="true" t="shared" si="22" ref="E87:P88">E88</f>
        <v>-2400</v>
      </c>
      <c r="F87" s="725">
        <f t="shared" si="22"/>
        <v>-50000</v>
      </c>
      <c r="G87" s="725">
        <f t="shared" si="22"/>
        <v>-50000</v>
      </c>
      <c r="H87" s="725">
        <f t="shared" si="22"/>
        <v>-50000</v>
      </c>
      <c r="I87" s="725">
        <f t="shared" si="22"/>
        <v>-50000</v>
      </c>
      <c r="J87" s="725">
        <f t="shared" si="22"/>
        <v>-150000</v>
      </c>
      <c r="K87" s="725">
        <f t="shared" si="22"/>
        <v>-50000</v>
      </c>
      <c r="L87" s="725">
        <f t="shared" si="22"/>
        <v>-50000</v>
      </c>
      <c r="M87" s="725">
        <f t="shared" si="22"/>
        <v>-50000</v>
      </c>
      <c r="N87" s="725">
        <f t="shared" si="22"/>
        <v>-150000</v>
      </c>
      <c r="O87" s="725">
        <f t="shared" si="22"/>
        <v>-67600</v>
      </c>
      <c r="P87" s="725">
        <f t="shared" si="22"/>
        <v>-86216</v>
      </c>
    </row>
    <row r="88" spans="1:16" s="324" customFormat="1" ht="19.5" customHeight="1" thickTop="1">
      <c r="A88" s="1197">
        <v>150</v>
      </c>
      <c r="B88" s="1207"/>
      <c r="C88" s="801" t="s">
        <v>905</v>
      </c>
      <c r="D88" s="1198">
        <f t="shared" si="17"/>
        <v>-806216</v>
      </c>
      <c r="E88" s="1198">
        <f t="shared" si="22"/>
        <v>-2400</v>
      </c>
      <c r="F88" s="1198">
        <f t="shared" si="22"/>
        <v>-50000</v>
      </c>
      <c r="G88" s="1198">
        <f t="shared" si="22"/>
        <v>-50000</v>
      </c>
      <c r="H88" s="1198">
        <f t="shared" si="22"/>
        <v>-50000</v>
      </c>
      <c r="I88" s="1198">
        <f t="shared" si="22"/>
        <v>-50000</v>
      </c>
      <c r="J88" s="1198">
        <f t="shared" si="22"/>
        <v>-150000</v>
      </c>
      <c r="K88" s="1198">
        <f t="shared" si="22"/>
        <v>-50000</v>
      </c>
      <c r="L88" s="1198">
        <f t="shared" si="22"/>
        <v>-50000</v>
      </c>
      <c r="M88" s="1198">
        <f t="shared" si="22"/>
        <v>-50000</v>
      </c>
      <c r="N88" s="1198">
        <f t="shared" si="22"/>
        <v>-150000</v>
      </c>
      <c r="O88" s="1198">
        <f t="shared" si="22"/>
        <v>-67600</v>
      </c>
      <c r="P88" s="1198">
        <f t="shared" si="22"/>
        <v>-86216</v>
      </c>
    </row>
    <row r="89" spans="1:16" s="324" customFormat="1" ht="19.5" customHeight="1">
      <c r="A89" s="786"/>
      <c r="B89" s="787">
        <v>15011</v>
      </c>
      <c r="C89" s="653" t="s">
        <v>416</v>
      </c>
      <c r="D89" s="664">
        <f t="shared" si="17"/>
        <v>-806216</v>
      </c>
      <c r="E89" s="664">
        <v>-2400</v>
      </c>
      <c r="F89" s="664">
        <v>-50000</v>
      </c>
      <c r="G89" s="664">
        <v>-50000</v>
      </c>
      <c r="H89" s="664">
        <v>-50000</v>
      </c>
      <c r="I89" s="664">
        <v>-50000</v>
      </c>
      <c r="J89" s="664">
        <v>-150000</v>
      </c>
      <c r="K89" s="664">
        <v>-50000</v>
      </c>
      <c r="L89" s="664">
        <v>-50000</v>
      </c>
      <c r="M89" s="664">
        <v>-50000</v>
      </c>
      <c r="N89" s="664">
        <v>-150000</v>
      </c>
      <c r="O89" s="664">
        <v>-67600</v>
      </c>
      <c r="P89" s="664">
        <v>-86216</v>
      </c>
    </row>
    <row r="90" spans="1:16" s="324" customFormat="1" ht="30.75" customHeight="1">
      <c r="A90" s="816"/>
      <c r="B90" s="816"/>
      <c r="C90" s="640" t="s">
        <v>860</v>
      </c>
      <c r="D90" s="1172">
        <f t="shared" si="17"/>
        <v>1432587</v>
      </c>
      <c r="E90" s="1173">
        <f aca="true" t="shared" si="23" ref="E90:P90">E91+E96</f>
        <v>13340</v>
      </c>
      <c r="F90" s="1173">
        <f t="shared" si="23"/>
        <v>7916</v>
      </c>
      <c r="G90" s="1173">
        <f t="shared" si="23"/>
        <v>3743</v>
      </c>
      <c r="H90" s="1173">
        <f t="shared" si="23"/>
        <v>98339</v>
      </c>
      <c r="I90" s="1173">
        <f t="shared" si="23"/>
        <v>27560</v>
      </c>
      <c r="J90" s="1173">
        <f t="shared" si="23"/>
        <v>62281</v>
      </c>
      <c r="K90" s="1173">
        <f t="shared" si="23"/>
        <v>204750</v>
      </c>
      <c r="L90" s="1173">
        <f t="shared" si="23"/>
        <v>208900</v>
      </c>
      <c r="M90" s="1173">
        <f t="shared" si="23"/>
        <v>154625</v>
      </c>
      <c r="N90" s="1173">
        <f t="shared" si="23"/>
        <v>483850</v>
      </c>
      <c r="O90" s="1173">
        <f t="shared" si="23"/>
        <v>76950</v>
      </c>
      <c r="P90" s="1173">
        <f t="shared" si="23"/>
        <v>90333</v>
      </c>
    </row>
    <row r="91" spans="1:16" s="324" customFormat="1" ht="21.75" customHeight="1" thickBot="1">
      <c r="A91" s="818"/>
      <c r="B91" s="818"/>
      <c r="C91" s="739" t="s">
        <v>646</v>
      </c>
      <c r="D91" s="1174">
        <f t="shared" si="17"/>
        <v>626371</v>
      </c>
      <c r="E91" s="1175">
        <f aca="true" t="shared" si="24" ref="E91:P91">E94+E92</f>
        <v>10940</v>
      </c>
      <c r="F91" s="1175">
        <f t="shared" si="24"/>
        <v>7740</v>
      </c>
      <c r="G91" s="1175">
        <f t="shared" si="24"/>
        <v>1350</v>
      </c>
      <c r="H91" s="1175">
        <f t="shared" si="24"/>
        <v>92863</v>
      </c>
      <c r="I91" s="1175">
        <f t="shared" si="24"/>
        <v>15780</v>
      </c>
      <c r="J91" s="1175">
        <f t="shared" si="24"/>
        <v>34873</v>
      </c>
      <c r="K91" s="1175">
        <f t="shared" si="24"/>
        <v>54750</v>
      </c>
      <c r="L91" s="1175">
        <f t="shared" si="24"/>
        <v>58900</v>
      </c>
      <c r="M91" s="1175">
        <f t="shared" si="24"/>
        <v>4625</v>
      </c>
      <c r="N91" s="1175">
        <f t="shared" si="24"/>
        <v>333850</v>
      </c>
      <c r="O91" s="1175">
        <f t="shared" si="24"/>
        <v>9350</v>
      </c>
      <c r="P91" s="1175">
        <f t="shared" si="24"/>
        <v>1350</v>
      </c>
    </row>
    <row r="92" spans="1:16" s="324" customFormat="1" ht="30" customHeight="1" thickTop="1">
      <c r="A92" s="1203">
        <v>754</v>
      </c>
      <c r="B92" s="1203"/>
      <c r="C92" s="1204" t="s">
        <v>441</v>
      </c>
      <c r="D92" s="1205">
        <f t="shared" si="17"/>
        <v>7740</v>
      </c>
      <c r="E92" s="1206"/>
      <c r="F92" s="1206">
        <f>F93</f>
        <v>7740</v>
      </c>
      <c r="G92" s="1206"/>
      <c r="H92" s="1206"/>
      <c r="I92" s="1206"/>
      <c r="J92" s="1206"/>
      <c r="K92" s="1206"/>
      <c r="L92" s="1206"/>
      <c r="M92" s="1206"/>
      <c r="N92" s="1206"/>
      <c r="O92" s="1206"/>
      <c r="P92" s="1206"/>
    </row>
    <row r="93" spans="1:16" s="324" customFormat="1" ht="21" customHeight="1">
      <c r="A93" s="1193"/>
      <c r="B93" s="787">
        <v>75495</v>
      </c>
      <c r="C93" s="653" t="s">
        <v>100</v>
      </c>
      <c r="D93" s="664">
        <f t="shared" si="17"/>
        <v>7740</v>
      </c>
      <c r="E93" s="682"/>
      <c r="F93" s="682">
        <v>7740</v>
      </c>
      <c r="G93" s="682"/>
      <c r="H93" s="682"/>
      <c r="I93" s="682"/>
      <c r="J93" s="682"/>
      <c r="K93" s="682"/>
      <c r="L93" s="682"/>
      <c r="M93" s="682"/>
      <c r="N93" s="682"/>
      <c r="O93" s="682"/>
      <c r="P93" s="682"/>
    </row>
    <row r="94" spans="1:16" s="324" customFormat="1" ht="21.75" customHeight="1">
      <c r="A94" s="1199" t="s">
        <v>951</v>
      </c>
      <c r="B94" s="1197"/>
      <c r="C94" s="801" t="s">
        <v>446</v>
      </c>
      <c r="D94" s="1198">
        <f t="shared" si="17"/>
        <v>618631</v>
      </c>
      <c r="E94" s="1202">
        <f>E95</f>
        <v>10940</v>
      </c>
      <c r="F94" s="1202"/>
      <c r="G94" s="1202">
        <f aca="true" t="shared" si="25" ref="G94:P94">G95</f>
        <v>1350</v>
      </c>
      <c r="H94" s="1202">
        <f t="shared" si="25"/>
        <v>92863</v>
      </c>
      <c r="I94" s="1202">
        <f t="shared" si="25"/>
        <v>15780</v>
      </c>
      <c r="J94" s="1202">
        <f t="shared" si="25"/>
        <v>34873</v>
      </c>
      <c r="K94" s="1202">
        <f t="shared" si="25"/>
        <v>54750</v>
      </c>
      <c r="L94" s="1202">
        <f t="shared" si="25"/>
        <v>58900</v>
      </c>
      <c r="M94" s="1202">
        <f t="shared" si="25"/>
        <v>4625</v>
      </c>
      <c r="N94" s="1202">
        <f t="shared" si="25"/>
        <v>333850</v>
      </c>
      <c r="O94" s="1202">
        <f t="shared" si="25"/>
        <v>9350</v>
      </c>
      <c r="P94" s="1202">
        <f t="shared" si="25"/>
        <v>1350</v>
      </c>
    </row>
    <row r="95" spans="1:16" s="324" customFormat="1" ht="21.75" customHeight="1">
      <c r="A95" s="1184"/>
      <c r="B95" s="787">
        <v>75860</v>
      </c>
      <c r="C95" s="653" t="s">
        <v>309</v>
      </c>
      <c r="D95" s="664">
        <f t="shared" si="17"/>
        <v>618631</v>
      </c>
      <c r="E95" s="822">
        <v>10940</v>
      </c>
      <c r="F95" s="822"/>
      <c r="G95" s="822">
        <v>1350</v>
      </c>
      <c r="H95" s="822">
        <f>6057+6806+80000</f>
        <v>92863</v>
      </c>
      <c r="I95" s="822">
        <f>7080+8700</f>
        <v>15780</v>
      </c>
      <c r="J95" s="822">
        <f>2388+32485</f>
        <v>34873</v>
      </c>
      <c r="K95" s="822">
        <f>1350+53400</f>
        <v>54750</v>
      </c>
      <c r="L95" s="822">
        <f>7600+51300</f>
        <v>58900</v>
      </c>
      <c r="M95" s="822">
        <v>4625</v>
      </c>
      <c r="N95" s="822">
        <v>333850</v>
      </c>
      <c r="O95" s="822">
        <v>9350</v>
      </c>
      <c r="P95" s="822">
        <v>1350</v>
      </c>
    </row>
    <row r="96" spans="1:16" s="324" customFormat="1" ht="33" customHeight="1" thickBot="1">
      <c r="A96" s="787"/>
      <c r="B96" s="787"/>
      <c r="C96" s="739" t="s">
        <v>1041</v>
      </c>
      <c r="D96" s="725">
        <f t="shared" si="17"/>
        <v>806216</v>
      </c>
      <c r="E96" s="725">
        <f aca="true" t="shared" si="26" ref="E96:P97">E97</f>
        <v>2400</v>
      </c>
      <c r="F96" s="725">
        <f t="shared" si="26"/>
        <v>176</v>
      </c>
      <c r="G96" s="725">
        <f t="shared" si="26"/>
        <v>2393</v>
      </c>
      <c r="H96" s="725">
        <f t="shared" si="26"/>
        <v>5476</v>
      </c>
      <c r="I96" s="725">
        <f t="shared" si="26"/>
        <v>11780</v>
      </c>
      <c r="J96" s="725">
        <f t="shared" si="26"/>
        <v>27408</v>
      </c>
      <c r="K96" s="725">
        <f t="shared" si="26"/>
        <v>150000</v>
      </c>
      <c r="L96" s="725">
        <f t="shared" si="26"/>
        <v>150000</v>
      </c>
      <c r="M96" s="725">
        <f t="shared" si="26"/>
        <v>150000</v>
      </c>
      <c r="N96" s="725">
        <f t="shared" si="26"/>
        <v>150000</v>
      </c>
      <c r="O96" s="725">
        <f t="shared" si="26"/>
        <v>67600</v>
      </c>
      <c r="P96" s="725">
        <f t="shared" si="26"/>
        <v>88983</v>
      </c>
    </row>
    <row r="97" spans="1:16" s="324" customFormat="1" ht="19.5" customHeight="1" thickTop="1">
      <c r="A97" s="1197">
        <v>150</v>
      </c>
      <c r="B97" s="1207"/>
      <c r="C97" s="801" t="s">
        <v>905</v>
      </c>
      <c r="D97" s="1198">
        <f t="shared" si="17"/>
        <v>806216</v>
      </c>
      <c r="E97" s="1198">
        <f t="shared" si="26"/>
        <v>2400</v>
      </c>
      <c r="F97" s="1198">
        <f t="shared" si="26"/>
        <v>176</v>
      </c>
      <c r="G97" s="1198">
        <f t="shared" si="26"/>
        <v>2393</v>
      </c>
      <c r="H97" s="1198">
        <f t="shared" si="26"/>
        <v>5476</v>
      </c>
      <c r="I97" s="1198">
        <f t="shared" si="26"/>
        <v>11780</v>
      </c>
      <c r="J97" s="1198">
        <f t="shared" si="26"/>
        <v>27408</v>
      </c>
      <c r="K97" s="1198">
        <f t="shared" si="26"/>
        <v>150000</v>
      </c>
      <c r="L97" s="1198">
        <f t="shared" si="26"/>
        <v>150000</v>
      </c>
      <c r="M97" s="1198">
        <f t="shared" si="26"/>
        <v>150000</v>
      </c>
      <c r="N97" s="1198">
        <f t="shared" si="26"/>
        <v>150000</v>
      </c>
      <c r="O97" s="1198">
        <f t="shared" si="26"/>
        <v>67600</v>
      </c>
      <c r="P97" s="1198">
        <f t="shared" si="26"/>
        <v>88983</v>
      </c>
    </row>
    <row r="98" spans="1:16" s="324" customFormat="1" ht="19.5" customHeight="1">
      <c r="A98" s="786"/>
      <c r="B98" s="787">
        <v>15011</v>
      </c>
      <c r="C98" s="653" t="s">
        <v>416</v>
      </c>
      <c r="D98" s="664">
        <f t="shared" si="17"/>
        <v>806216</v>
      </c>
      <c r="E98" s="664">
        <v>2400</v>
      </c>
      <c r="F98" s="664">
        <v>176</v>
      </c>
      <c r="G98" s="664">
        <v>2393</v>
      </c>
      <c r="H98" s="664">
        <v>5476</v>
      </c>
      <c r="I98" s="664">
        <v>11780</v>
      </c>
      <c r="J98" s="664">
        <v>27408</v>
      </c>
      <c r="K98" s="664">
        <v>150000</v>
      </c>
      <c r="L98" s="664">
        <v>150000</v>
      </c>
      <c r="M98" s="664">
        <v>150000</v>
      </c>
      <c r="N98" s="664">
        <v>150000</v>
      </c>
      <c r="O98" s="664">
        <v>67600</v>
      </c>
      <c r="P98" s="664">
        <v>88983</v>
      </c>
    </row>
    <row r="99" spans="1:16" s="324" customFormat="1" ht="34.5" customHeight="1">
      <c r="A99" s="816"/>
      <c r="B99" s="816"/>
      <c r="C99" s="640" t="s">
        <v>861</v>
      </c>
      <c r="D99" s="1172">
        <f t="shared" si="17"/>
        <v>-77463940</v>
      </c>
      <c r="E99" s="1173">
        <f aca="true" t="shared" si="27" ref="E99:P99">E100+E119</f>
        <v>-2597035</v>
      </c>
      <c r="F99" s="1173">
        <f t="shared" si="27"/>
        <v>-2588930</v>
      </c>
      <c r="G99" s="1173">
        <f t="shared" si="27"/>
        <v>-5273904</v>
      </c>
      <c r="H99" s="1173">
        <f t="shared" si="27"/>
        <v>-3987997</v>
      </c>
      <c r="I99" s="1173">
        <f t="shared" si="27"/>
        <v>-4415504</v>
      </c>
      <c r="J99" s="1173">
        <f t="shared" si="27"/>
        <v>-6587111</v>
      </c>
      <c r="K99" s="1173">
        <f t="shared" si="27"/>
        <v>-6879051</v>
      </c>
      <c r="L99" s="1173">
        <f t="shared" si="27"/>
        <v>-7013201</v>
      </c>
      <c r="M99" s="1173">
        <f t="shared" si="27"/>
        <v>-7476575</v>
      </c>
      <c r="N99" s="1173">
        <f t="shared" si="27"/>
        <v>-9979701</v>
      </c>
      <c r="O99" s="1173">
        <f t="shared" si="27"/>
        <v>-10575051</v>
      </c>
      <c r="P99" s="1173">
        <f t="shared" si="27"/>
        <v>-10089880</v>
      </c>
    </row>
    <row r="100" spans="1:16" s="324" customFormat="1" ht="21.75" customHeight="1" thickBot="1">
      <c r="A100" s="818"/>
      <c r="B100" s="818"/>
      <c r="C100" s="739" t="s">
        <v>646</v>
      </c>
      <c r="D100" s="1174">
        <f t="shared" si="17"/>
        <v>-76662790</v>
      </c>
      <c r="E100" s="1175">
        <f aca="true" t="shared" si="28" ref="E100:P100">E101+E103+E108+E111+E113+E115</f>
        <v>-2588985</v>
      </c>
      <c r="F100" s="1175">
        <f t="shared" si="28"/>
        <v>-2571380</v>
      </c>
      <c r="G100" s="1175">
        <f t="shared" si="28"/>
        <v>-5199804</v>
      </c>
      <c r="H100" s="1175">
        <f t="shared" si="28"/>
        <v>-3958897</v>
      </c>
      <c r="I100" s="1175">
        <f t="shared" si="28"/>
        <v>-4391454</v>
      </c>
      <c r="J100" s="1175">
        <f t="shared" si="28"/>
        <v>-6340511</v>
      </c>
      <c r="K100" s="1175">
        <f t="shared" si="28"/>
        <v>-6865451</v>
      </c>
      <c r="L100" s="1175">
        <f t="shared" si="28"/>
        <v>-6825951</v>
      </c>
      <c r="M100" s="1175">
        <f t="shared" si="28"/>
        <v>-7452475</v>
      </c>
      <c r="N100" s="1175">
        <f t="shared" si="28"/>
        <v>-9950651</v>
      </c>
      <c r="O100" s="1175">
        <f t="shared" si="28"/>
        <v>-10445951</v>
      </c>
      <c r="P100" s="1175">
        <f t="shared" si="28"/>
        <v>-10071280</v>
      </c>
    </row>
    <row r="101" spans="1:16" s="324" customFormat="1" ht="21.75" customHeight="1" thickTop="1">
      <c r="A101" s="1199" t="s">
        <v>491</v>
      </c>
      <c r="B101" s="1197"/>
      <c r="C101" s="801" t="s">
        <v>492</v>
      </c>
      <c r="D101" s="1198">
        <f t="shared" si="17"/>
        <v>-20000</v>
      </c>
      <c r="E101" s="1202"/>
      <c r="F101" s="1202"/>
      <c r="G101" s="1202">
        <f>G102</f>
        <v>-1325</v>
      </c>
      <c r="H101" s="1202"/>
      <c r="I101" s="1202"/>
      <c r="J101" s="1202">
        <f>J102</f>
        <v>-1325</v>
      </c>
      <c r="K101" s="1202"/>
      <c r="L101" s="1202"/>
      <c r="M101" s="1202">
        <f>M102</f>
        <v>-1325</v>
      </c>
      <c r="N101" s="1202">
        <f>N102</f>
        <v>-14700</v>
      </c>
      <c r="O101" s="1202"/>
      <c r="P101" s="1202">
        <f>P102</f>
        <v>-1325</v>
      </c>
    </row>
    <row r="102" spans="1:16" s="324" customFormat="1" ht="21.75" customHeight="1">
      <c r="A102" s="787"/>
      <c r="B102" s="1178" t="s">
        <v>524</v>
      </c>
      <c r="C102" s="653" t="s">
        <v>952</v>
      </c>
      <c r="D102" s="822">
        <f t="shared" si="17"/>
        <v>-20000</v>
      </c>
      <c r="E102" s="822"/>
      <c r="F102" s="822"/>
      <c r="G102" s="822">
        <v>-1325</v>
      </c>
      <c r="H102" s="822"/>
      <c r="I102" s="822"/>
      <c r="J102" s="822">
        <v>-1325</v>
      </c>
      <c r="K102" s="822"/>
      <c r="L102" s="822"/>
      <c r="M102" s="822">
        <v>-1325</v>
      </c>
      <c r="N102" s="822">
        <v>-14700</v>
      </c>
      <c r="O102" s="822"/>
      <c r="P102" s="822">
        <v>-1325</v>
      </c>
    </row>
    <row r="103" spans="1:16" s="1195" customFormat="1" ht="21.75" customHeight="1">
      <c r="A103" s="1203">
        <v>600</v>
      </c>
      <c r="B103" s="1208"/>
      <c r="C103" s="1204" t="s">
        <v>525</v>
      </c>
      <c r="D103" s="1205">
        <f t="shared" si="17"/>
        <v>-64819812</v>
      </c>
      <c r="E103" s="1205">
        <f aca="true" t="shared" si="29" ref="E103:P103">E104+E105+E106+E107</f>
        <v>-1750000</v>
      </c>
      <c r="F103" s="1205">
        <f t="shared" si="29"/>
        <v>-1950000</v>
      </c>
      <c r="G103" s="1205">
        <f t="shared" si="29"/>
        <v>-3900000</v>
      </c>
      <c r="H103" s="1205">
        <f t="shared" si="29"/>
        <v>-3400000</v>
      </c>
      <c r="I103" s="1205">
        <f t="shared" si="29"/>
        <v>-3400000</v>
      </c>
      <c r="J103" s="1205">
        <f t="shared" si="29"/>
        <v>-3992236</v>
      </c>
      <c r="K103" s="1205">
        <f t="shared" si="29"/>
        <v>-6150000</v>
      </c>
      <c r="L103" s="1205">
        <f t="shared" si="29"/>
        <v>-6150000</v>
      </c>
      <c r="M103" s="1205">
        <f t="shared" si="29"/>
        <v>-6400000</v>
      </c>
      <c r="N103" s="1205">
        <f t="shared" si="29"/>
        <v>-8800000</v>
      </c>
      <c r="O103" s="1205">
        <f t="shared" si="29"/>
        <v>-9350000</v>
      </c>
      <c r="P103" s="1205">
        <f t="shared" si="29"/>
        <v>-9577576</v>
      </c>
    </row>
    <row r="104" spans="1:16" s="324" customFormat="1" ht="21.75" customHeight="1">
      <c r="A104" s="816"/>
      <c r="B104" s="1185">
        <v>60004</v>
      </c>
      <c r="C104" s="759" t="s">
        <v>647</v>
      </c>
      <c r="D104" s="821">
        <f t="shared" si="17"/>
        <v>-31377576</v>
      </c>
      <c r="E104" s="822">
        <v>-1500000</v>
      </c>
      <c r="F104" s="822">
        <v>-1500000</v>
      </c>
      <c r="G104" s="822">
        <v>-2000000</v>
      </c>
      <c r="H104" s="822">
        <v>-2000000</v>
      </c>
      <c r="I104" s="822">
        <v>-2000000</v>
      </c>
      <c r="J104" s="822">
        <v>-2000000</v>
      </c>
      <c r="K104" s="822">
        <f>-2000000-1500000</f>
        <v>-3500000</v>
      </c>
      <c r="L104" s="822">
        <f>-2000000-2000000</f>
        <v>-4000000</v>
      </c>
      <c r="M104" s="822">
        <f>-1500000-2000000</f>
        <v>-3500000</v>
      </c>
      <c r="N104" s="822">
        <f>-1500000-1500000</f>
        <v>-3000000</v>
      </c>
      <c r="O104" s="822">
        <f>-1500000-1500000</f>
        <v>-3000000</v>
      </c>
      <c r="P104" s="822">
        <f>-1877576-1500000</f>
        <v>-3377576</v>
      </c>
    </row>
    <row r="105" spans="1:16" s="324" customFormat="1" ht="30">
      <c r="A105" s="818"/>
      <c r="B105" s="1185">
        <v>60015</v>
      </c>
      <c r="C105" s="759" t="s">
        <v>1113</v>
      </c>
      <c r="D105" s="1145">
        <f t="shared" si="17"/>
        <v>-30700000</v>
      </c>
      <c r="E105" s="822">
        <v>-150000</v>
      </c>
      <c r="F105" s="822">
        <v>-250000</v>
      </c>
      <c r="G105" s="822">
        <v>-1500000</v>
      </c>
      <c r="H105" s="822">
        <v>-900000</v>
      </c>
      <c r="I105" s="822">
        <v>-900000</v>
      </c>
      <c r="J105" s="822">
        <v>-950000</v>
      </c>
      <c r="K105" s="822">
        <f>-2650000</f>
        <v>-2650000</v>
      </c>
      <c r="L105" s="822">
        <v>-2150000</v>
      </c>
      <c r="M105" s="822">
        <v>-2900000</v>
      </c>
      <c r="N105" s="822">
        <f>-6200000+400000</f>
        <v>-5800000</v>
      </c>
      <c r="O105" s="822">
        <v>-6350000</v>
      </c>
      <c r="P105" s="822">
        <v>-6200000</v>
      </c>
    </row>
    <row r="106" spans="1:16" s="324" customFormat="1" ht="21.75" customHeight="1">
      <c r="A106" s="1180"/>
      <c r="B106" s="814">
        <v>60016</v>
      </c>
      <c r="C106" s="767" t="s">
        <v>1114</v>
      </c>
      <c r="D106" s="1145">
        <f t="shared" si="17"/>
        <v>-600000</v>
      </c>
      <c r="E106" s="809"/>
      <c r="F106" s="809"/>
      <c r="G106" s="809"/>
      <c r="H106" s="809"/>
      <c r="I106" s="809"/>
      <c r="J106" s="809">
        <v>-600000</v>
      </c>
      <c r="K106" s="809"/>
      <c r="L106" s="809"/>
      <c r="M106" s="809"/>
      <c r="N106" s="809"/>
      <c r="O106" s="809"/>
      <c r="P106" s="809"/>
    </row>
    <row r="107" spans="1:16" s="324" customFormat="1" ht="21.75" customHeight="1">
      <c r="A107" s="818"/>
      <c r="B107" s="1185">
        <v>60095</v>
      </c>
      <c r="C107" s="759" t="s">
        <v>100</v>
      </c>
      <c r="D107" s="1145">
        <f t="shared" si="17"/>
        <v>-2142236</v>
      </c>
      <c r="E107" s="822">
        <v>-100000</v>
      </c>
      <c r="F107" s="822">
        <v>-200000</v>
      </c>
      <c r="G107" s="822">
        <v>-400000</v>
      </c>
      <c r="H107" s="822">
        <v>-500000</v>
      </c>
      <c r="I107" s="822">
        <v>-500000</v>
      </c>
      <c r="J107" s="822">
        <v>-442236</v>
      </c>
      <c r="K107" s="822"/>
      <c r="L107" s="822"/>
      <c r="M107" s="822"/>
      <c r="N107" s="822"/>
      <c r="O107" s="822"/>
      <c r="P107" s="822"/>
    </row>
    <row r="108" spans="1:16" s="324" customFormat="1" ht="21.75" customHeight="1">
      <c r="A108" s="1197">
        <v>700</v>
      </c>
      <c r="B108" s="1197"/>
      <c r="C108" s="801" t="s">
        <v>433</v>
      </c>
      <c r="D108" s="1198">
        <f t="shared" si="17"/>
        <v>-2955200</v>
      </c>
      <c r="E108" s="1198">
        <f aca="true" t="shared" si="30" ref="E108:P108">E109+E110</f>
        <v>-60300</v>
      </c>
      <c r="F108" s="1198">
        <f t="shared" si="30"/>
        <v>-40200</v>
      </c>
      <c r="G108" s="1198">
        <f t="shared" si="30"/>
        <v>-41300</v>
      </c>
      <c r="H108" s="1198">
        <f t="shared" si="30"/>
        <v>-41100</v>
      </c>
      <c r="I108" s="1198">
        <f t="shared" si="30"/>
        <v>-294274</v>
      </c>
      <c r="J108" s="1198">
        <f t="shared" si="30"/>
        <v>-889271</v>
      </c>
      <c r="K108" s="1198">
        <f t="shared" si="30"/>
        <v>-248271</v>
      </c>
      <c r="L108" s="1198">
        <f t="shared" si="30"/>
        <v>-108771</v>
      </c>
      <c r="M108" s="1198">
        <f t="shared" si="30"/>
        <v>-183971</v>
      </c>
      <c r="N108" s="1198">
        <f t="shared" si="30"/>
        <v>-378771</v>
      </c>
      <c r="O108" s="1198">
        <f t="shared" si="30"/>
        <v>-428771</v>
      </c>
      <c r="P108" s="1198">
        <f t="shared" si="30"/>
        <v>-240200</v>
      </c>
    </row>
    <row r="109" spans="1:16" s="324" customFormat="1" ht="29.25" customHeight="1">
      <c r="A109" s="816"/>
      <c r="B109" s="1185">
        <v>70004</v>
      </c>
      <c r="C109" s="653" t="s">
        <v>953</v>
      </c>
      <c r="D109" s="821">
        <f t="shared" si="17"/>
        <v>-500000</v>
      </c>
      <c r="E109" s="822">
        <v>-15000</v>
      </c>
      <c r="F109" s="822"/>
      <c r="G109" s="822"/>
      <c r="H109" s="822"/>
      <c r="I109" s="822">
        <v>-135000</v>
      </c>
      <c r="J109" s="822">
        <v>-150000</v>
      </c>
      <c r="K109" s="822">
        <v>-170000</v>
      </c>
      <c r="L109" s="822">
        <v>-30000</v>
      </c>
      <c r="M109" s="822"/>
      <c r="N109" s="822"/>
      <c r="O109" s="822"/>
      <c r="P109" s="822"/>
    </row>
    <row r="110" spans="1:16" s="324" customFormat="1" ht="18.75" customHeight="1">
      <c r="A110" s="818"/>
      <c r="B110" s="814">
        <v>70005</v>
      </c>
      <c r="C110" s="668" t="s">
        <v>435</v>
      </c>
      <c r="D110" s="1145">
        <f t="shared" si="17"/>
        <v>-2455200</v>
      </c>
      <c r="E110" s="809">
        <v>-45300</v>
      </c>
      <c r="F110" s="809">
        <v>-40200</v>
      </c>
      <c r="G110" s="809">
        <v>-41300</v>
      </c>
      <c r="H110" s="809">
        <v>-41100</v>
      </c>
      <c r="I110" s="809">
        <v>-159274</v>
      </c>
      <c r="J110" s="809">
        <v>-739271</v>
      </c>
      <c r="K110" s="809">
        <v>-78271</v>
      </c>
      <c r="L110" s="809">
        <v>-78771</v>
      </c>
      <c r="M110" s="809">
        <f>-83971-100000</f>
        <v>-183971</v>
      </c>
      <c r="N110" s="809">
        <f>-78771-300000</f>
        <v>-378771</v>
      </c>
      <c r="O110" s="809">
        <f>-78771-350000</f>
        <v>-428771</v>
      </c>
      <c r="P110" s="809">
        <f>-40200-200000</f>
        <v>-240200</v>
      </c>
    </row>
    <row r="111" spans="1:16" s="324" customFormat="1" ht="21.75" customHeight="1">
      <c r="A111" s="1209">
        <v>710</v>
      </c>
      <c r="B111" s="813"/>
      <c r="C111" s="801" t="s">
        <v>436</v>
      </c>
      <c r="D111" s="1198">
        <f t="shared" si="17"/>
        <v>-850000</v>
      </c>
      <c r="E111" s="1202">
        <f aca="true" t="shared" si="31" ref="E111:P111">E112</f>
        <v>-1000</v>
      </c>
      <c r="F111" s="1202">
        <f t="shared" si="31"/>
        <v>-4000</v>
      </c>
      <c r="G111" s="1202">
        <f t="shared" si="31"/>
        <v>-500000</v>
      </c>
      <c r="H111" s="1202">
        <f t="shared" si="31"/>
        <v>-30000</v>
      </c>
      <c r="I111" s="1202">
        <f t="shared" si="31"/>
        <v>-30000</v>
      </c>
      <c r="J111" s="1202">
        <f t="shared" si="31"/>
        <v>-30000</v>
      </c>
      <c r="K111" s="1202">
        <f t="shared" si="31"/>
        <v>-30000</v>
      </c>
      <c r="L111" s="1202">
        <f t="shared" si="31"/>
        <v>-30000</v>
      </c>
      <c r="M111" s="1202">
        <f t="shared" si="31"/>
        <v>-30000</v>
      </c>
      <c r="N111" s="1202">
        <f t="shared" si="31"/>
        <v>-20000</v>
      </c>
      <c r="O111" s="1202">
        <f t="shared" si="31"/>
        <v>-130000</v>
      </c>
      <c r="P111" s="1202">
        <f t="shared" si="31"/>
        <v>-15000</v>
      </c>
    </row>
    <row r="112" spans="1:16" s="324" customFormat="1" ht="19.5" customHeight="1">
      <c r="A112" s="1185"/>
      <c r="B112" s="787">
        <v>71014</v>
      </c>
      <c r="C112" s="653" t="s">
        <v>438</v>
      </c>
      <c r="D112" s="822">
        <f t="shared" si="17"/>
        <v>-850000</v>
      </c>
      <c r="E112" s="822">
        <v>-1000</v>
      </c>
      <c r="F112" s="822">
        <v>-4000</v>
      </c>
      <c r="G112" s="822">
        <v>-500000</v>
      </c>
      <c r="H112" s="822">
        <v>-30000</v>
      </c>
      <c r="I112" s="822">
        <v>-30000</v>
      </c>
      <c r="J112" s="822">
        <v>-30000</v>
      </c>
      <c r="K112" s="822">
        <v>-30000</v>
      </c>
      <c r="L112" s="822">
        <v>-30000</v>
      </c>
      <c r="M112" s="822">
        <v>-30000</v>
      </c>
      <c r="N112" s="822">
        <v>-20000</v>
      </c>
      <c r="O112" s="822">
        <v>-130000</v>
      </c>
      <c r="P112" s="822">
        <v>-15000</v>
      </c>
    </row>
    <row r="113" spans="1:16" s="324" customFormat="1" ht="21.75" customHeight="1">
      <c r="A113" s="815">
        <v>852</v>
      </c>
      <c r="B113" s="815"/>
      <c r="C113" s="801" t="s">
        <v>129</v>
      </c>
      <c r="D113" s="1202">
        <f t="shared" si="17"/>
        <v>-280000</v>
      </c>
      <c r="E113" s="1202"/>
      <c r="F113" s="1202"/>
      <c r="G113" s="1202">
        <f>G114</f>
        <v>-280000</v>
      </c>
      <c r="H113" s="1202"/>
      <c r="I113" s="1202"/>
      <c r="J113" s="1202"/>
      <c r="K113" s="1202"/>
      <c r="L113" s="1202"/>
      <c r="M113" s="1202"/>
      <c r="N113" s="1202"/>
      <c r="O113" s="1202"/>
      <c r="P113" s="1202"/>
    </row>
    <row r="114" spans="1:16" s="324" customFormat="1" ht="21.75" customHeight="1">
      <c r="A114" s="818"/>
      <c r="B114" s="787">
        <v>85201</v>
      </c>
      <c r="C114" s="653" t="s">
        <v>55</v>
      </c>
      <c r="D114" s="822">
        <f t="shared" si="17"/>
        <v>-280000</v>
      </c>
      <c r="E114" s="822"/>
      <c r="F114" s="822"/>
      <c r="G114" s="822">
        <v>-280000</v>
      </c>
      <c r="H114" s="822"/>
      <c r="I114" s="822"/>
      <c r="J114" s="822"/>
      <c r="K114" s="822"/>
      <c r="L114" s="822"/>
      <c r="M114" s="822"/>
      <c r="N114" s="822"/>
      <c r="O114" s="822"/>
      <c r="P114" s="822"/>
    </row>
    <row r="115" spans="1:16" s="324" customFormat="1" ht="31.5" customHeight="1">
      <c r="A115" s="815">
        <v>900</v>
      </c>
      <c r="B115" s="815"/>
      <c r="C115" s="801" t="s">
        <v>1109</v>
      </c>
      <c r="D115" s="1198">
        <f t="shared" si="17"/>
        <v>-7737778</v>
      </c>
      <c r="E115" s="1202">
        <f aca="true" t="shared" si="32" ref="E115:P115">E116+E117+E118</f>
        <v>-777685</v>
      </c>
      <c r="F115" s="1202">
        <f t="shared" si="32"/>
        <v>-577180</v>
      </c>
      <c r="G115" s="1202">
        <f t="shared" si="32"/>
        <v>-477179</v>
      </c>
      <c r="H115" s="1202">
        <f t="shared" si="32"/>
        <v>-487797</v>
      </c>
      <c r="I115" s="1202">
        <f t="shared" si="32"/>
        <v>-667180</v>
      </c>
      <c r="J115" s="1202">
        <f t="shared" si="32"/>
        <v>-1427679</v>
      </c>
      <c r="K115" s="1202">
        <f t="shared" si="32"/>
        <v>-437180</v>
      </c>
      <c r="L115" s="1202">
        <f t="shared" si="32"/>
        <v>-537180</v>
      </c>
      <c r="M115" s="1202">
        <f t="shared" si="32"/>
        <v>-837179</v>
      </c>
      <c r="N115" s="1202">
        <f t="shared" si="32"/>
        <v>-737180</v>
      </c>
      <c r="O115" s="1202">
        <f t="shared" si="32"/>
        <v>-537180</v>
      </c>
      <c r="P115" s="1202">
        <f t="shared" si="32"/>
        <v>-237179</v>
      </c>
    </row>
    <row r="116" spans="1:16" s="324" customFormat="1" ht="21" customHeight="1">
      <c r="A116" s="816"/>
      <c r="B116" s="787">
        <v>90001</v>
      </c>
      <c r="C116" s="684" t="s">
        <v>1110</v>
      </c>
      <c r="D116" s="822">
        <f t="shared" si="17"/>
        <v>-1500000</v>
      </c>
      <c r="E116" s="1084">
        <v>-140000</v>
      </c>
      <c r="F116" s="1084">
        <v>-140000</v>
      </c>
      <c r="G116" s="1084">
        <v>-140000</v>
      </c>
      <c r="H116" s="1084">
        <v>-150000</v>
      </c>
      <c r="I116" s="1084">
        <v>-230000</v>
      </c>
      <c r="J116" s="1084">
        <v>-200000</v>
      </c>
      <c r="K116" s="1084"/>
      <c r="L116" s="1084"/>
      <c r="M116" s="1084">
        <v>-300000</v>
      </c>
      <c r="N116" s="1084">
        <v>-200000</v>
      </c>
      <c r="O116" s="1084"/>
      <c r="P116" s="1084"/>
    </row>
    <row r="117" spans="1:16" s="324" customFormat="1" ht="21.75" customHeight="1">
      <c r="A117" s="816"/>
      <c r="B117" s="1146">
        <v>90002</v>
      </c>
      <c r="C117" s="668" t="s">
        <v>176</v>
      </c>
      <c r="D117" s="809">
        <f t="shared" si="17"/>
        <v>-447278</v>
      </c>
      <c r="E117" s="809">
        <v>-37685</v>
      </c>
      <c r="F117" s="809">
        <v>-37180</v>
      </c>
      <c r="G117" s="809">
        <v>-37179</v>
      </c>
      <c r="H117" s="809">
        <v>-37797</v>
      </c>
      <c r="I117" s="809">
        <v>-37180</v>
      </c>
      <c r="J117" s="809">
        <v>-37179</v>
      </c>
      <c r="K117" s="809">
        <f>-37180</f>
        <v>-37180</v>
      </c>
      <c r="L117" s="809">
        <v>-37180</v>
      </c>
      <c r="M117" s="809">
        <v>-37179</v>
      </c>
      <c r="N117" s="809">
        <v>-37180</v>
      </c>
      <c r="O117" s="809">
        <v>-37180</v>
      </c>
      <c r="P117" s="809">
        <v>-37179</v>
      </c>
    </row>
    <row r="118" spans="1:16" s="324" customFormat="1" ht="21.75" customHeight="1">
      <c r="A118" s="816"/>
      <c r="B118" s="787">
        <v>90095</v>
      </c>
      <c r="C118" s="1005" t="s">
        <v>100</v>
      </c>
      <c r="D118" s="809">
        <f t="shared" si="17"/>
        <v>-5790500</v>
      </c>
      <c r="E118" s="817">
        <v>-600000</v>
      </c>
      <c r="F118" s="817">
        <v>-400000</v>
      </c>
      <c r="G118" s="817">
        <v>-300000</v>
      </c>
      <c r="H118" s="817">
        <v>-300000</v>
      </c>
      <c r="I118" s="817">
        <v>-400000</v>
      </c>
      <c r="J118" s="817">
        <f>-400000-790500</f>
        <v>-1190500</v>
      </c>
      <c r="K118" s="817">
        <v>-400000</v>
      </c>
      <c r="L118" s="817">
        <v>-500000</v>
      </c>
      <c r="M118" s="817">
        <v>-500000</v>
      </c>
      <c r="N118" s="817">
        <v>-500000</v>
      </c>
      <c r="O118" s="817">
        <v>-500000</v>
      </c>
      <c r="P118" s="817">
        <v>-200000</v>
      </c>
    </row>
    <row r="119" spans="1:16" s="324" customFormat="1" ht="38.25" customHeight="1" thickBot="1">
      <c r="A119" s="818"/>
      <c r="B119" s="787"/>
      <c r="C119" s="677" t="s">
        <v>1021</v>
      </c>
      <c r="D119" s="819">
        <f t="shared" si="17"/>
        <v>-801150</v>
      </c>
      <c r="E119" s="820">
        <f aca="true" t="shared" si="33" ref="E119:P119">E120+E122</f>
        <v>-8050</v>
      </c>
      <c r="F119" s="820">
        <f t="shared" si="33"/>
        <v>-17550</v>
      </c>
      <c r="G119" s="820">
        <f t="shared" si="33"/>
        <v>-74100</v>
      </c>
      <c r="H119" s="820">
        <f t="shared" si="33"/>
        <v>-29100</v>
      </c>
      <c r="I119" s="820">
        <f t="shared" si="33"/>
        <v>-24050</v>
      </c>
      <c r="J119" s="820">
        <f t="shared" si="33"/>
        <v>-246600</v>
      </c>
      <c r="K119" s="820">
        <f t="shared" si="33"/>
        <v>-13600</v>
      </c>
      <c r="L119" s="820">
        <f t="shared" si="33"/>
        <v>-187250</v>
      </c>
      <c r="M119" s="820">
        <f t="shared" si="33"/>
        <v>-24100</v>
      </c>
      <c r="N119" s="820">
        <f t="shared" si="33"/>
        <v>-29050</v>
      </c>
      <c r="O119" s="820">
        <f t="shared" si="33"/>
        <v>-129100</v>
      </c>
      <c r="P119" s="820">
        <f t="shared" si="33"/>
        <v>-18600</v>
      </c>
    </row>
    <row r="120" spans="1:16" s="324" customFormat="1" ht="21.75" customHeight="1" thickTop="1">
      <c r="A120" s="1199" t="s">
        <v>287</v>
      </c>
      <c r="B120" s="1197"/>
      <c r="C120" s="801" t="s">
        <v>433</v>
      </c>
      <c r="D120" s="1202">
        <f t="shared" si="17"/>
        <v>-701150</v>
      </c>
      <c r="E120" s="1202">
        <f aca="true" t="shared" si="34" ref="E120:P120">E121</f>
        <v>-8050</v>
      </c>
      <c r="F120" s="1202">
        <f t="shared" si="34"/>
        <v>-17550</v>
      </c>
      <c r="G120" s="1202">
        <f t="shared" si="34"/>
        <v>-74100</v>
      </c>
      <c r="H120" s="1202">
        <f t="shared" si="34"/>
        <v>-29100</v>
      </c>
      <c r="I120" s="1202">
        <f t="shared" si="34"/>
        <v>-24050</v>
      </c>
      <c r="J120" s="1202">
        <f t="shared" si="34"/>
        <v>-246600</v>
      </c>
      <c r="K120" s="1202">
        <f t="shared" si="34"/>
        <v>-13600</v>
      </c>
      <c r="L120" s="1202">
        <f t="shared" si="34"/>
        <v>-187250</v>
      </c>
      <c r="M120" s="1202">
        <f t="shared" si="34"/>
        <v>-24100</v>
      </c>
      <c r="N120" s="1202">
        <f t="shared" si="34"/>
        <v>-29050</v>
      </c>
      <c r="O120" s="1202">
        <f t="shared" si="34"/>
        <v>-29100</v>
      </c>
      <c r="P120" s="1202">
        <f t="shared" si="34"/>
        <v>-18600</v>
      </c>
    </row>
    <row r="121" spans="1:16" s="324" customFormat="1" ht="21.75" customHeight="1">
      <c r="A121" s="787"/>
      <c r="B121" s="787">
        <v>70005</v>
      </c>
      <c r="C121" s="653" t="s">
        <v>435</v>
      </c>
      <c r="D121" s="821">
        <f t="shared" si="17"/>
        <v>-701150</v>
      </c>
      <c r="E121" s="822">
        <v>-8050</v>
      </c>
      <c r="F121" s="822">
        <v>-17550</v>
      </c>
      <c r="G121" s="822">
        <v>-74100</v>
      </c>
      <c r="H121" s="822">
        <v>-29100</v>
      </c>
      <c r="I121" s="822">
        <v>-24050</v>
      </c>
      <c r="J121" s="822">
        <f>-19100-227500</f>
        <v>-246600</v>
      </c>
      <c r="K121" s="822">
        <f>-13600</f>
        <v>-13600</v>
      </c>
      <c r="L121" s="822">
        <f>-13600-173650</f>
        <v>-187250</v>
      </c>
      <c r="M121" s="822">
        <v>-24100</v>
      </c>
      <c r="N121" s="822">
        <v>-29050</v>
      </c>
      <c r="O121" s="822">
        <v>-29100</v>
      </c>
      <c r="P121" s="822">
        <v>-18600</v>
      </c>
    </row>
    <row r="122" spans="1:16" s="324" customFormat="1" ht="21.75" customHeight="1">
      <c r="A122" s="1197">
        <v>710</v>
      </c>
      <c r="B122" s="1197"/>
      <c r="C122" s="801" t="s">
        <v>436</v>
      </c>
      <c r="D122" s="1202">
        <f t="shared" si="17"/>
        <v>-100000</v>
      </c>
      <c r="E122" s="1202"/>
      <c r="F122" s="1202"/>
      <c r="G122" s="1202"/>
      <c r="H122" s="1202"/>
      <c r="I122" s="1202"/>
      <c r="J122" s="1202"/>
      <c r="K122" s="1202"/>
      <c r="L122" s="1202"/>
      <c r="M122" s="1202"/>
      <c r="N122" s="1202"/>
      <c r="O122" s="1202">
        <f>O123</f>
        <v>-100000</v>
      </c>
      <c r="P122" s="1202"/>
    </row>
    <row r="123" spans="1:16" s="324" customFormat="1" ht="31.5" customHeight="1">
      <c r="A123" s="786"/>
      <c r="B123" s="787">
        <v>71013</v>
      </c>
      <c r="C123" s="653" t="s">
        <v>490</v>
      </c>
      <c r="D123" s="822">
        <f t="shared" si="17"/>
        <v>-100000</v>
      </c>
      <c r="E123" s="822"/>
      <c r="F123" s="822"/>
      <c r="G123" s="822"/>
      <c r="H123" s="822"/>
      <c r="I123" s="822"/>
      <c r="J123" s="822"/>
      <c r="K123" s="822"/>
      <c r="L123" s="822"/>
      <c r="M123" s="822"/>
      <c r="N123" s="822"/>
      <c r="O123" s="822">
        <v>-100000</v>
      </c>
      <c r="P123" s="822"/>
    </row>
    <row r="124" spans="1:16" s="324" customFormat="1" ht="22.5" customHeight="1">
      <c r="A124" s="816"/>
      <c r="B124" s="816"/>
      <c r="C124" s="640" t="s">
        <v>862</v>
      </c>
      <c r="D124" s="1172">
        <f t="shared" si="17"/>
        <v>50862736</v>
      </c>
      <c r="E124" s="1173">
        <f aca="true" t="shared" si="35" ref="E124:P124">E125+E140</f>
        <v>895000</v>
      </c>
      <c r="F124" s="1173">
        <f t="shared" si="35"/>
        <v>804500</v>
      </c>
      <c r="G124" s="1173">
        <f t="shared" si="35"/>
        <v>2456325</v>
      </c>
      <c r="H124" s="1173">
        <f t="shared" si="35"/>
        <v>1393585</v>
      </c>
      <c r="I124" s="1173">
        <f t="shared" si="35"/>
        <v>1577050</v>
      </c>
      <c r="J124" s="1173">
        <f t="shared" si="35"/>
        <v>4127426</v>
      </c>
      <c r="K124" s="1173">
        <f t="shared" si="35"/>
        <v>4591500</v>
      </c>
      <c r="L124" s="1173">
        <f t="shared" si="35"/>
        <v>4691500</v>
      </c>
      <c r="M124" s="1173">
        <f t="shared" si="35"/>
        <v>5747825</v>
      </c>
      <c r="N124" s="1173">
        <f t="shared" si="35"/>
        <v>8051200</v>
      </c>
      <c r="O124" s="1173">
        <f t="shared" si="35"/>
        <v>8596500</v>
      </c>
      <c r="P124" s="1173">
        <f t="shared" si="35"/>
        <v>7930325</v>
      </c>
    </row>
    <row r="125" spans="1:16" s="324" customFormat="1" ht="21.75" customHeight="1" thickBot="1">
      <c r="A125" s="818"/>
      <c r="B125" s="818"/>
      <c r="C125" s="739" t="s">
        <v>646</v>
      </c>
      <c r="D125" s="1174">
        <f t="shared" si="17"/>
        <v>50657736</v>
      </c>
      <c r="E125" s="1175">
        <f aca="true" t="shared" si="36" ref="E125:P125">E126+E128+E133+E135+E137</f>
        <v>891000</v>
      </c>
      <c r="F125" s="1175">
        <f t="shared" si="36"/>
        <v>796000</v>
      </c>
      <c r="G125" s="1175">
        <f t="shared" si="36"/>
        <v>2444825</v>
      </c>
      <c r="H125" s="1175">
        <f t="shared" si="36"/>
        <v>1385585</v>
      </c>
      <c r="I125" s="1175">
        <f t="shared" si="36"/>
        <v>1565550</v>
      </c>
      <c r="J125" s="1175">
        <f t="shared" si="36"/>
        <v>4119426</v>
      </c>
      <c r="K125" s="1175">
        <f t="shared" si="36"/>
        <v>4585500</v>
      </c>
      <c r="L125" s="1175">
        <f t="shared" si="36"/>
        <v>4685500</v>
      </c>
      <c r="M125" s="1175">
        <f t="shared" si="36"/>
        <v>5736825</v>
      </c>
      <c r="N125" s="1175">
        <f t="shared" si="36"/>
        <v>8040200</v>
      </c>
      <c r="O125" s="1175">
        <f t="shared" si="36"/>
        <v>8485500</v>
      </c>
      <c r="P125" s="1175">
        <f t="shared" si="36"/>
        <v>7921825</v>
      </c>
    </row>
    <row r="126" spans="1:16" s="324" customFormat="1" ht="21" customHeight="1" thickTop="1">
      <c r="A126" s="1199" t="s">
        <v>491</v>
      </c>
      <c r="B126" s="1197"/>
      <c r="C126" s="801" t="s">
        <v>492</v>
      </c>
      <c r="D126" s="1198">
        <f t="shared" si="17"/>
        <v>20000</v>
      </c>
      <c r="E126" s="1202"/>
      <c r="F126" s="1202"/>
      <c r="G126" s="1202">
        <f>G127</f>
        <v>1325</v>
      </c>
      <c r="H126" s="1202"/>
      <c r="I126" s="1202"/>
      <c r="J126" s="1202">
        <f>J127</f>
        <v>1325</v>
      </c>
      <c r="K126" s="1202"/>
      <c r="L126" s="1202"/>
      <c r="M126" s="1202">
        <f>M127</f>
        <v>1325</v>
      </c>
      <c r="N126" s="1202">
        <f>N127</f>
        <v>14700</v>
      </c>
      <c r="O126" s="1202"/>
      <c r="P126" s="1202">
        <f>P127</f>
        <v>1325</v>
      </c>
    </row>
    <row r="127" spans="1:16" s="324" customFormat="1" ht="21" customHeight="1">
      <c r="A127" s="787"/>
      <c r="B127" s="1178" t="s">
        <v>524</v>
      </c>
      <c r="C127" s="653" t="s">
        <v>952</v>
      </c>
      <c r="D127" s="822">
        <f t="shared" si="17"/>
        <v>20000</v>
      </c>
      <c r="E127" s="822"/>
      <c r="F127" s="822"/>
      <c r="G127" s="822">
        <v>1325</v>
      </c>
      <c r="H127" s="822"/>
      <c r="I127" s="822"/>
      <c r="J127" s="822">
        <v>1325</v>
      </c>
      <c r="K127" s="822"/>
      <c r="L127" s="822"/>
      <c r="M127" s="822">
        <v>1325</v>
      </c>
      <c r="N127" s="822">
        <v>14700</v>
      </c>
      <c r="O127" s="822"/>
      <c r="P127" s="822">
        <v>1325</v>
      </c>
    </row>
    <row r="128" spans="1:16" s="1195" customFormat="1" ht="21" customHeight="1">
      <c r="A128" s="1203">
        <v>600</v>
      </c>
      <c r="B128" s="1208"/>
      <c r="C128" s="1204" t="s">
        <v>525</v>
      </c>
      <c r="D128" s="1205">
        <f t="shared" si="17"/>
        <v>42442236</v>
      </c>
      <c r="E128" s="1205">
        <f aca="true" t="shared" si="37" ref="E128:P128">E129+E130+E131+E132</f>
        <v>150000</v>
      </c>
      <c r="F128" s="1205">
        <f t="shared" si="37"/>
        <v>250000</v>
      </c>
      <c r="G128" s="1205">
        <f t="shared" si="37"/>
        <v>1500000</v>
      </c>
      <c r="H128" s="1205">
        <f t="shared" si="37"/>
        <v>900085</v>
      </c>
      <c r="I128" s="1205">
        <f t="shared" si="37"/>
        <v>900050</v>
      </c>
      <c r="J128" s="1205">
        <f t="shared" si="37"/>
        <v>2692101</v>
      </c>
      <c r="K128" s="1205">
        <f t="shared" si="37"/>
        <v>4150000</v>
      </c>
      <c r="L128" s="1205">
        <f t="shared" si="37"/>
        <v>4150000</v>
      </c>
      <c r="M128" s="1205">
        <f t="shared" si="37"/>
        <v>4900000</v>
      </c>
      <c r="N128" s="1205">
        <f t="shared" si="37"/>
        <v>7300000</v>
      </c>
      <c r="O128" s="1205">
        <f t="shared" si="37"/>
        <v>7850000</v>
      </c>
      <c r="P128" s="1205">
        <f t="shared" si="37"/>
        <v>7700000</v>
      </c>
    </row>
    <row r="129" spans="1:16" s="324" customFormat="1" ht="21" customHeight="1">
      <c r="A129" s="816"/>
      <c r="B129" s="1185">
        <v>60004</v>
      </c>
      <c r="C129" s="759" t="s">
        <v>647</v>
      </c>
      <c r="D129" s="821">
        <f t="shared" si="17"/>
        <v>10000000</v>
      </c>
      <c r="E129" s="822"/>
      <c r="F129" s="822"/>
      <c r="G129" s="822"/>
      <c r="H129" s="822"/>
      <c r="I129" s="822"/>
      <c r="J129" s="822"/>
      <c r="K129" s="822">
        <f>1500000</f>
        <v>1500000</v>
      </c>
      <c r="L129" s="822">
        <f>2000000</f>
        <v>2000000</v>
      </c>
      <c r="M129" s="822">
        <f>2000000</f>
        <v>2000000</v>
      </c>
      <c r="N129" s="822">
        <f>1500000</f>
        <v>1500000</v>
      </c>
      <c r="O129" s="822">
        <f>1500000</f>
        <v>1500000</v>
      </c>
      <c r="P129" s="822">
        <f>1500000</f>
        <v>1500000</v>
      </c>
    </row>
    <row r="130" spans="1:16" s="324" customFormat="1" ht="23.25" customHeight="1">
      <c r="A130" s="816"/>
      <c r="B130" s="1185">
        <v>60015</v>
      </c>
      <c r="C130" s="759" t="s">
        <v>1113</v>
      </c>
      <c r="D130" s="1145">
        <f t="shared" si="17"/>
        <v>30700000</v>
      </c>
      <c r="E130" s="822">
        <v>150000</v>
      </c>
      <c r="F130" s="822">
        <v>250000</v>
      </c>
      <c r="G130" s="822">
        <v>1500000</v>
      </c>
      <c r="H130" s="822">
        <v>900000</v>
      </c>
      <c r="I130" s="822">
        <v>900000</v>
      </c>
      <c r="J130" s="822">
        <v>950000</v>
      </c>
      <c r="K130" s="822">
        <f>2650000</f>
        <v>2650000</v>
      </c>
      <c r="L130" s="822">
        <v>2150000</v>
      </c>
      <c r="M130" s="822">
        <v>2900000</v>
      </c>
      <c r="N130" s="822">
        <f>6200000-400000</f>
        <v>5800000</v>
      </c>
      <c r="O130" s="822">
        <v>6350000</v>
      </c>
      <c r="P130" s="822">
        <v>6200000</v>
      </c>
    </row>
    <row r="131" spans="1:16" s="324" customFormat="1" ht="21" customHeight="1">
      <c r="A131" s="816"/>
      <c r="B131" s="1185">
        <v>60016</v>
      </c>
      <c r="C131" s="759" t="s">
        <v>1114</v>
      </c>
      <c r="D131" s="1145">
        <f t="shared" si="17"/>
        <v>600000</v>
      </c>
      <c r="E131" s="822"/>
      <c r="F131" s="822"/>
      <c r="G131" s="822"/>
      <c r="H131" s="822"/>
      <c r="I131" s="822"/>
      <c r="J131" s="822">
        <v>600000</v>
      </c>
      <c r="K131" s="822"/>
      <c r="L131" s="822"/>
      <c r="M131" s="822"/>
      <c r="N131" s="822"/>
      <c r="O131" s="822"/>
      <c r="P131" s="822"/>
    </row>
    <row r="132" spans="1:16" s="324" customFormat="1" ht="21" customHeight="1">
      <c r="A132" s="818"/>
      <c r="B132" s="1185">
        <v>60095</v>
      </c>
      <c r="C132" s="759" t="s">
        <v>100</v>
      </c>
      <c r="D132" s="1145">
        <f t="shared" si="17"/>
        <v>1142236</v>
      </c>
      <c r="E132" s="822"/>
      <c r="F132" s="822"/>
      <c r="G132" s="822"/>
      <c r="H132" s="822">
        <v>85</v>
      </c>
      <c r="I132" s="822">
        <v>50</v>
      </c>
      <c r="J132" s="822">
        <v>1142101</v>
      </c>
      <c r="K132" s="822"/>
      <c r="L132" s="822"/>
      <c r="M132" s="822"/>
      <c r="N132" s="822"/>
      <c r="O132" s="822"/>
      <c r="P132" s="822"/>
    </row>
    <row r="133" spans="1:16" s="324" customFormat="1" ht="21" customHeight="1">
      <c r="A133" s="1197">
        <v>700</v>
      </c>
      <c r="B133" s="1197"/>
      <c r="C133" s="801" t="s">
        <v>433</v>
      </c>
      <c r="D133" s="1198">
        <f t="shared" si="17"/>
        <v>55000</v>
      </c>
      <c r="E133" s="1198"/>
      <c r="F133" s="1198">
        <f aca="true" t="shared" si="38" ref="F133:P133">F134</f>
        <v>2000</v>
      </c>
      <c r="G133" s="1198">
        <f t="shared" si="38"/>
        <v>3500</v>
      </c>
      <c r="H133" s="1198">
        <f t="shared" si="38"/>
        <v>5500</v>
      </c>
      <c r="I133" s="1198">
        <f t="shared" si="38"/>
        <v>5500</v>
      </c>
      <c r="J133" s="1198">
        <f t="shared" si="38"/>
        <v>5500</v>
      </c>
      <c r="K133" s="1198">
        <f t="shared" si="38"/>
        <v>5500</v>
      </c>
      <c r="L133" s="1198">
        <f t="shared" si="38"/>
        <v>5500</v>
      </c>
      <c r="M133" s="1198">
        <f t="shared" si="38"/>
        <v>5500</v>
      </c>
      <c r="N133" s="1198">
        <f t="shared" si="38"/>
        <v>5500</v>
      </c>
      <c r="O133" s="1198">
        <f t="shared" si="38"/>
        <v>5500</v>
      </c>
      <c r="P133" s="1198">
        <f t="shared" si="38"/>
        <v>5500</v>
      </c>
    </row>
    <row r="134" spans="1:16" s="324" customFormat="1" ht="21" customHeight="1">
      <c r="A134" s="818"/>
      <c r="B134" s="1185">
        <v>70005</v>
      </c>
      <c r="C134" s="653" t="s">
        <v>435</v>
      </c>
      <c r="D134" s="821">
        <f t="shared" si="17"/>
        <v>55000</v>
      </c>
      <c r="E134" s="822"/>
      <c r="F134" s="822">
        <v>2000</v>
      </c>
      <c r="G134" s="822">
        <v>3500</v>
      </c>
      <c r="H134" s="822">
        <v>5500</v>
      </c>
      <c r="I134" s="822">
        <v>5500</v>
      </c>
      <c r="J134" s="822">
        <v>5500</v>
      </c>
      <c r="K134" s="822">
        <v>5500</v>
      </c>
      <c r="L134" s="822">
        <v>5500</v>
      </c>
      <c r="M134" s="822">
        <v>5500</v>
      </c>
      <c r="N134" s="822">
        <v>5500</v>
      </c>
      <c r="O134" s="822">
        <v>5500</v>
      </c>
      <c r="P134" s="822">
        <v>5500</v>
      </c>
    </row>
    <row r="135" spans="1:16" s="324" customFormat="1" ht="21" customHeight="1">
      <c r="A135" s="1209">
        <v>710</v>
      </c>
      <c r="B135" s="813"/>
      <c r="C135" s="801" t="s">
        <v>436</v>
      </c>
      <c r="D135" s="1198">
        <f t="shared" si="17"/>
        <v>850000</v>
      </c>
      <c r="E135" s="1202">
        <f aca="true" t="shared" si="39" ref="E135:P135">E136</f>
        <v>1000</v>
      </c>
      <c r="F135" s="1202">
        <f t="shared" si="39"/>
        <v>4000</v>
      </c>
      <c r="G135" s="1202">
        <f t="shared" si="39"/>
        <v>500000</v>
      </c>
      <c r="H135" s="1202">
        <f t="shared" si="39"/>
        <v>30000</v>
      </c>
      <c r="I135" s="1202">
        <f t="shared" si="39"/>
        <v>30000</v>
      </c>
      <c r="J135" s="1202">
        <f t="shared" si="39"/>
        <v>30000</v>
      </c>
      <c r="K135" s="1202">
        <f t="shared" si="39"/>
        <v>30000</v>
      </c>
      <c r="L135" s="1202">
        <f t="shared" si="39"/>
        <v>30000</v>
      </c>
      <c r="M135" s="1202">
        <f t="shared" si="39"/>
        <v>30000</v>
      </c>
      <c r="N135" s="1202">
        <f t="shared" si="39"/>
        <v>20000</v>
      </c>
      <c r="O135" s="1202">
        <f t="shared" si="39"/>
        <v>130000</v>
      </c>
      <c r="P135" s="1202">
        <f t="shared" si="39"/>
        <v>15000</v>
      </c>
    </row>
    <row r="136" spans="1:16" s="324" customFormat="1" ht="25.5" customHeight="1">
      <c r="A136" s="1185"/>
      <c r="B136" s="787">
        <v>71014</v>
      </c>
      <c r="C136" s="653" t="s">
        <v>438</v>
      </c>
      <c r="D136" s="822">
        <f t="shared" si="17"/>
        <v>850000</v>
      </c>
      <c r="E136" s="822">
        <v>1000</v>
      </c>
      <c r="F136" s="822">
        <v>4000</v>
      </c>
      <c r="G136" s="822">
        <v>500000</v>
      </c>
      <c r="H136" s="822">
        <v>30000</v>
      </c>
      <c r="I136" s="822">
        <v>30000</v>
      </c>
      <c r="J136" s="822">
        <v>30000</v>
      </c>
      <c r="K136" s="822">
        <v>30000</v>
      </c>
      <c r="L136" s="822">
        <v>30000</v>
      </c>
      <c r="M136" s="822">
        <v>30000</v>
      </c>
      <c r="N136" s="822">
        <v>20000</v>
      </c>
      <c r="O136" s="822">
        <v>130000</v>
      </c>
      <c r="P136" s="822">
        <v>15000</v>
      </c>
    </row>
    <row r="137" spans="1:16" s="324" customFormat="1" ht="34.5" customHeight="1">
      <c r="A137" s="815">
        <v>900</v>
      </c>
      <c r="B137" s="815"/>
      <c r="C137" s="801" t="s">
        <v>1109</v>
      </c>
      <c r="D137" s="1198">
        <f t="shared" si="17"/>
        <v>7290500</v>
      </c>
      <c r="E137" s="1202">
        <f aca="true" t="shared" si="40" ref="E137:P137">E138+E139</f>
        <v>740000</v>
      </c>
      <c r="F137" s="1202">
        <f t="shared" si="40"/>
        <v>540000</v>
      </c>
      <c r="G137" s="1202">
        <f t="shared" si="40"/>
        <v>440000</v>
      </c>
      <c r="H137" s="1202">
        <f t="shared" si="40"/>
        <v>450000</v>
      </c>
      <c r="I137" s="1202">
        <f t="shared" si="40"/>
        <v>630000</v>
      </c>
      <c r="J137" s="1202">
        <f t="shared" si="40"/>
        <v>1390500</v>
      </c>
      <c r="K137" s="1202">
        <f t="shared" si="40"/>
        <v>400000</v>
      </c>
      <c r="L137" s="1202">
        <f t="shared" si="40"/>
        <v>500000</v>
      </c>
      <c r="M137" s="1202">
        <f t="shared" si="40"/>
        <v>800000</v>
      </c>
      <c r="N137" s="1202">
        <f t="shared" si="40"/>
        <v>700000</v>
      </c>
      <c r="O137" s="1202">
        <f t="shared" si="40"/>
        <v>500000</v>
      </c>
      <c r="P137" s="1202">
        <f t="shared" si="40"/>
        <v>200000</v>
      </c>
    </row>
    <row r="138" spans="1:16" s="324" customFormat="1" ht="21.75" customHeight="1">
      <c r="A138" s="816"/>
      <c r="B138" s="787">
        <v>90001</v>
      </c>
      <c r="C138" s="684" t="s">
        <v>1110</v>
      </c>
      <c r="D138" s="822">
        <f t="shared" si="17"/>
        <v>1500000</v>
      </c>
      <c r="E138" s="1084">
        <v>140000</v>
      </c>
      <c r="F138" s="1084">
        <v>140000</v>
      </c>
      <c r="G138" s="1084">
        <v>140000</v>
      </c>
      <c r="H138" s="1084">
        <v>150000</v>
      </c>
      <c r="I138" s="1084">
        <v>230000</v>
      </c>
      <c r="J138" s="1084">
        <v>200000</v>
      </c>
      <c r="K138" s="1084"/>
      <c r="L138" s="1084"/>
      <c r="M138" s="1084">
        <v>300000</v>
      </c>
      <c r="N138" s="1084">
        <v>200000</v>
      </c>
      <c r="O138" s="1084"/>
      <c r="P138" s="1084"/>
    </row>
    <row r="139" spans="1:16" s="324" customFormat="1" ht="21.75" customHeight="1">
      <c r="A139" s="816"/>
      <c r="B139" s="787">
        <v>90095</v>
      </c>
      <c r="C139" s="1005" t="s">
        <v>100</v>
      </c>
      <c r="D139" s="809">
        <f t="shared" si="17"/>
        <v>5790500</v>
      </c>
      <c r="E139" s="817">
        <v>600000</v>
      </c>
      <c r="F139" s="817">
        <v>400000</v>
      </c>
      <c r="G139" s="817">
        <v>300000</v>
      </c>
      <c r="H139" s="817">
        <v>300000</v>
      </c>
      <c r="I139" s="817">
        <v>400000</v>
      </c>
      <c r="J139" s="817">
        <f>400000+790500</f>
        <v>1190500</v>
      </c>
      <c r="K139" s="817">
        <v>400000</v>
      </c>
      <c r="L139" s="817">
        <v>500000</v>
      </c>
      <c r="M139" s="817">
        <v>500000</v>
      </c>
      <c r="N139" s="817">
        <v>500000</v>
      </c>
      <c r="O139" s="817">
        <v>500000</v>
      </c>
      <c r="P139" s="817">
        <v>200000</v>
      </c>
    </row>
    <row r="140" spans="1:16" s="324" customFormat="1" ht="37.5" customHeight="1" thickBot="1">
      <c r="A140" s="818"/>
      <c r="B140" s="787"/>
      <c r="C140" s="677" t="s">
        <v>1021</v>
      </c>
      <c r="D140" s="819">
        <f aca="true" t="shared" si="41" ref="D140:D205">SUM(E140:P140)</f>
        <v>205000</v>
      </c>
      <c r="E140" s="820">
        <f aca="true" t="shared" si="42" ref="E140:P140">E141+E143</f>
        <v>4000</v>
      </c>
      <c r="F140" s="820">
        <f t="shared" si="42"/>
        <v>8500</v>
      </c>
      <c r="G140" s="820">
        <f t="shared" si="42"/>
        <v>11500</v>
      </c>
      <c r="H140" s="820">
        <f t="shared" si="42"/>
        <v>8000</v>
      </c>
      <c r="I140" s="820">
        <f t="shared" si="42"/>
        <v>11500</v>
      </c>
      <c r="J140" s="820">
        <f t="shared" si="42"/>
        <v>8000</v>
      </c>
      <c r="K140" s="820">
        <f t="shared" si="42"/>
        <v>6000</v>
      </c>
      <c r="L140" s="820">
        <f t="shared" si="42"/>
        <v>6000</v>
      </c>
      <c r="M140" s="820">
        <f t="shared" si="42"/>
        <v>11000</v>
      </c>
      <c r="N140" s="820">
        <f t="shared" si="42"/>
        <v>11000</v>
      </c>
      <c r="O140" s="820">
        <f t="shared" si="42"/>
        <v>111000</v>
      </c>
      <c r="P140" s="820">
        <f t="shared" si="42"/>
        <v>8500</v>
      </c>
    </row>
    <row r="141" spans="1:16" s="324" customFormat="1" ht="21" customHeight="1" thickTop="1">
      <c r="A141" s="1199" t="s">
        <v>287</v>
      </c>
      <c r="B141" s="1197"/>
      <c r="C141" s="801" t="s">
        <v>433</v>
      </c>
      <c r="D141" s="1202">
        <f t="shared" si="41"/>
        <v>105000</v>
      </c>
      <c r="E141" s="1202">
        <f aca="true" t="shared" si="43" ref="E141:P141">E142</f>
        <v>4000</v>
      </c>
      <c r="F141" s="1202">
        <f t="shared" si="43"/>
        <v>8500</v>
      </c>
      <c r="G141" s="1202">
        <f t="shared" si="43"/>
        <v>11500</v>
      </c>
      <c r="H141" s="1202">
        <f t="shared" si="43"/>
        <v>8000</v>
      </c>
      <c r="I141" s="1202">
        <f t="shared" si="43"/>
        <v>11500</v>
      </c>
      <c r="J141" s="1202">
        <f t="shared" si="43"/>
        <v>8000</v>
      </c>
      <c r="K141" s="1202">
        <f t="shared" si="43"/>
        <v>6000</v>
      </c>
      <c r="L141" s="1202">
        <f t="shared" si="43"/>
        <v>6000</v>
      </c>
      <c r="M141" s="1202">
        <f t="shared" si="43"/>
        <v>11000</v>
      </c>
      <c r="N141" s="1202">
        <f t="shared" si="43"/>
        <v>11000</v>
      </c>
      <c r="O141" s="1202">
        <f t="shared" si="43"/>
        <v>11000</v>
      </c>
      <c r="P141" s="1202">
        <f t="shared" si="43"/>
        <v>8500</v>
      </c>
    </row>
    <row r="142" spans="1:16" s="324" customFormat="1" ht="21.75" customHeight="1">
      <c r="A142" s="787"/>
      <c r="B142" s="787">
        <v>70005</v>
      </c>
      <c r="C142" s="653" t="s">
        <v>435</v>
      </c>
      <c r="D142" s="821">
        <f t="shared" si="41"/>
        <v>105000</v>
      </c>
      <c r="E142" s="822">
        <v>4000</v>
      </c>
      <c r="F142" s="822">
        <v>8500</v>
      </c>
      <c r="G142" s="822">
        <v>11500</v>
      </c>
      <c r="H142" s="822">
        <v>8000</v>
      </c>
      <c r="I142" s="822">
        <v>11500</v>
      </c>
      <c r="J142" s="822">
        <v>8000</v>
      </c>
      <c r="K142" s="822">
        <v>6000</v>
      </c>
      <c r="L142" s="822">
        <v>6000</v>
      </c>
      <c r="M142" s="822">
        <v>11000</v>
      </c>
      <c r="N142" s="822">
        <v>11000</v>
      </c>
      <c r="O142" s="822">
        <v>11000</v>
      </c>
      <c r="P142" s="822">
        <v>8500</v>
      </c>
    </row>
    <row r="143" spans="1:16" s="324" customFormat="1" ht="21.75" customHeight="1">
      <c r="A143" s="1203">
        <v>710</v>
      </c>
      <c r="B143" s="1203"/>
      <c r="C143" s="1204" t="s">
        <v>436</v>
      </c>
      <c r="D143" s="1206">
        <f t="shared" si="41"/>
        <v>100000</v>
      </c>
      <c r="E143" s="1206"/>
      <c r="F143" s="1206"/>
      <c r="G143" s="1206"/>
      <c r="H143" s="1206"/>
      <c r="I143" s="1206"/>
      <c r="J143" s="1206"/>
      <c r="K143" s="1206"/>
      <c r="L143" s="1206"/>
      <c r="M143" s="1206"/>
      <c r="N143" s="1206"/>
      <c r="O143" s="1206">
        <f>O144</f>
        <v>100000</v>
      </c>
      <c r="P143" s="1206"/>
    </row>
    <row r="144" spans="1:16" s="324" customFormat="1" ht="31.5" customHeight="1">
      <c r="A144" s="786"/>
      <c r="B144" s="787">
        <v>71013</v>
      </c>
      <c r="C144" s="653" t="s">
        <v>490</v>
      </c>
      <c r="D144" s="822">
        <f t="shared" si="41"/>
        <v>100000</v>
      </c>
      <c r="E144" s="822"/>
      <c r="F144" s="822"/>
      <c r="G144" s="822"/>
      <c r="H144" s="822"/>
      <c r="I144" s="822"/>
      <c r="J144" s="822"/>
      <c r="K144" s="822"/>
      <c r="L144" s="822"/>
      <c r="M144" s="822"/>
      <c r="N144" s="822"/>
      <c r="O144" s="822">
        <v>100000</v>
      </c>
      <c r="P144" s="822"/>
    </row>
    <row r="145" spans="1:16" s="324" customFormat="1" ht="25.5" customHeight="1">
      <c r="A145" s="816"/>
      <c r="B145" s="816"/>
      <c r="C145" s="640" t="s">
        <v>863</v>
      </c>
      <c r="D145" s="1172">
        <f t="shared" si="41"/>
        <v>36606004</v>
      </c>
      <c r="E145" s="1173">
        <f aca="true" t="shared" si="44" ref="E145:P145">E146+E160</f>
        <v>1899750</v>
      </c>
      <c r="F145" s="1173">
        <f t="shared" si="44"/>
        <v>2001538</v>
      </c>
      <c r="G145" s="1173">
        <f t="shared" si="44"/>
        <v>2918021</v>
      </c>
      <c r="H145" s="1173">
        <f t="shared" si="44"/>
        <v>2600056</v>
      </c>
      <c r="I145" s="1173">
        <f t="shared" si="44"/>
        <v>2869079</v>
      </c>
      <c r="J145" s="1173">
        <f t="shared" si="44"/>
        <v>3701168</v>
      </c>
      <c r="K145" s="1173">
        <f t="shared" si="44"/>
        <v>3636684</v>
      </c>
      <c r="L145" s="1173">
        <f t="shared" si="44"/>
        <v>4422143</v>
      </c>
      <c r="M145" s="1173">
        <f t="shared" si="44"/>
        <v>2929192</v>
      </c>
      <c r="N145" s="1173">
        <f t="shared" si="44"/>
        <v>3228943</v>
      </c>
      <c r="O145" s="1173">
        <f t="shared" si="44"/>
        <v>3178993</v>
      </c>
      <c r="P145" s="1173">
        <f t="shared" si="44"/>
        <v>3220437</v>
      </c>
    </row>
    <row r="146" spans="1:16" s="324" customFormat="1" ht="21.75" customHeight="1" thickBot="1">
      <c r="A146" s="818"/>
      <c r="B146" s="818"/>
      <c r="C146" s="739" t="s">
        <v>646</v>
      </c>
      <c r="D146" s="1174">
        <f t="shared" si="41"/>
        <v>36009854</v>
      </c>
      <c r="E146" s="1175">
        <f aca="true" t="shared" si="45" ref="E146:P146">E147+E149+E152+E156+E158</f>
        <v>1895700</v>
      </c>
      <c r="F146" s="1175">
        <f t="shared" si="45"/>
        <v>1992488</v>
      </c>
      <c r="G146" s="1175">
        <f t="shared" si="45"/>
        <v>2855421</v>
      </c>
      <c r="H146" s="1175">
        <f t="shared" si="45"/>
        <v>2578956</v>
      </c>
      <c r="I146" s="1175">
        <f t="shared" si="45"/>
        <v>2856529</v>
      </c>
      <c r="J146" s="1175">
        <f t="shared" si="45"/>
        <v>3462568</v>
      </c>
      <c r="K146" s="1175">
        <f t="shared" si="45"/>
        <v>3629084</v>
      </c>
      <c r="L146" s="1175">
        <f t="shared" si="45"/>
        <v>4240893</v>
      </c>
      <c r="M146" s="1175">
        <f t="shared" si="45"/>
        <v>2916092</v>
      </c>
      <c r="N146" s="1175">
        <f t="shared" si="45"/>
        <v>3210893</v>
      </c>
      <c r="O146" s="1175">
        <f t="shared" si="45"/>
        <v>3160893</v>
      </c>
      <c r="P146" s="1175">
        <f t="shared" si="45"/>
        <v>3210337</v>
      </c>
    </row>
    <row r="147" spans="1:16" s="324" customFormat="1" ht="21.75" customHeight="1" thickTop="1">
      <c r="A147" s="1199" t="s">
        <v>1072</v>
      </c>
      <c r="B147" s="1197"/>
      <c r="C147" s="801" t="s">
        <v>645</v>
      </c>
      <c r="D147" s="1198">
        <f t="shared" si="41"/>
        <v>4800</v>
      </c>
      <c r="E147" s="1202">
        <f aca="true" t="shared" si="46" ref="E147:P147">E148</f>
        <v>400</v>
      </c>
      <c r="F147" s="1202">
        <f t="shared" si="46"/>
        <v>400</v>
      </c>
      <c r="G147" s="1202">
        <f t="shared" si="46"/>
        <v>400</v>
      </c>
      <c r="H147" s="1202">
        <f t="shared" si="46"/>
        <v>400</v>
      </c>
      <c r="I147" s="1202">
        <f t="shared" si="46"/>
        <v>400</v>
      </c>
      <c r="J147" s="1202">
        <f t="shared" si="46"/>
        <v>400</v>
      </c>
      <c r="K147" s="1202">
        <f t="shared" si="46"/>
        <v>400</v>
      </c>
      <c r="L147" s="1202">
        <f t="shared" si="46"/>
        <v>400</v>
      </c>
      <c r="M147" s="1202">
        <f t="shared" si="46"/>
        <v>400</v>
      </c>
      <c r="N147" s="1202">
        <f t="shared" si="46"/>
        <v>400</v>
      </c>
      <c r="O147" s="1202">
        <f t="shared" si="46"/>
        <v>400</v>
      </c>
      <c r="P147" s="1202">
        <f t="shared" si="46"/>
        <v>400</v>
      </c>
    </row>
    <row r="148" spans="1:16" s="324" customFormat="1" ht="21.75" customHeight="1">
      <c r="A148" s="787"/>
      <c r="B148" s="1178" t="s">
        <v>1073</v>
      </c>
      <c r="C148" s="653" t="s">
        <v>100</v>
      </c>
      <c r="D148" s="822">
        <f t="shared" si="41"/>
        <v>4800</v>
      </c>
      <c r="E148" s="822">
        <v>400</v>
      </c>
      <c r="F148" s="822">
        <v>400</v>
      </c>
      <c r="G148" s="822">
        <v>400</v>
      </c>
      <c r="H148" s="822">
        <v>400</v>
      </c>
      <c r="I148" s="822">
        <v>400</v>
      </c>
      <c r="J148" s="822">
        <v>400</v>
      </c>
      <c r="K148" s="822">
        <v>400</v>
      </c>
      <c r="L148" s="822">
        <v>400</v>
      </c>
      <c r="M148" s="822">
        <v>400</v>
      </c>
      <c r="N148" s="822">
        <v>400</v>
      </c>
      <c r="O148" s="822">
        <v>400</v>
      </c>
      <c r="P148" s="822">
        <v>400</v>
      </c>
    </row>
    <row r="149" spans="1:16" s="1195" customFormat="1" ht="21.75" customHeight="1">
      <c r="A149" s="1203">
        <v>600</v>
      </c>
      <c r="B149" s="1208"/>
      <c r="C149" s="1204" t="s">
        <v>525</v>
      </c>
      <c r="D149" s="1205">
        <f t="shared" si="41"/>
        <v>22377576</v>
      </c>
      <c r="E149" s="1205">
        <f aca="true" t="shared" si="47" ref="E149:P149">E150</f>
        <v>1500000</v>
      </c>
      <c r="F149" s="1205">
        <f t="shared" si="47"/>
        <v>1500000</v>
      </c>
      <c r="G149" s="1205">
        <f t="shared" si="47"/>
        <v>2000000</v>
      </c>
      <c r="H149" s="1205">
        <f t="shared" si="47"/>
        <v>2000000</v>
      </c>
      <c r="I149" s="1205">
        <f t="shared" si="47"/>
        <v>2000000</v>
      </c>
      <c r="J149" s="1205">
        <f t="shared" si="47"/>
        <v>2000000</v>
      </c>
      <c r="K149" s="1205">
        <f t="shared" si="47"/>
        <v>2000000</v>
      </c>
      <c r="L149" s="1205">
        <f>L150+L151</f>
        <v>3000000</v>
      </c>
      <c r="M149" s="1205">
        <f t="shared" si="47"/>
        <v>1500000</v>
      </c>
      <c r="N149" s="1205">
        <f t="shared" si="47"/>
        <v>1500000</v>
      </c>
      <c r="O149" s="1205">
        <f t="shared" si="47"/>
        <v>1500000</v>
      </c>
      <c r="P149" s="1205">
        <f t="shared" si="47"/>
        <v>1877576</v>
      </c>
    </row>
    <row r="150" spans="1:16" s="324" customFormat="1" ht="21.75" customHeight="1">
      <c r="A150" s="816"/>
      <c r="B150" s="1185">
        <v>60004</v>
      </c>
      <c r="C150" s="759" t="s">
        <v>647</v>
      </c>
      <c r="D150" s="821">
        <f t="shared" si="41"/>
        <v>21377576</v>
      </c>
      <c r="E150" s="822">
        <v>1500000</v>
      </c>
      <c r="F150" s="822">
        <v>1500000</v>
      </c>
      <c r="G150" s="822">
        <v>2000000</v>
      </c>
      <c r="H150" s="822">
        <v>2000000</v>
      </c>
      <c r="I150" s="822">
        <v>2000000</v>
      </c>
      <c r="J150" s="822">
        <v>2000000</v>
      </c>
      <c r="K150" s="822">
        <f>2000000</f>
        <v>2000000</v>
      </c>
      <c r="L150" s="822">
        <f>2000000</f>
        <v>2000000</v>
      </c>
      <c r="M150" s="822">
        <f>1500000</f>
        <v>1500000</v>
      </c>
      <c r="N150" s="822">
        <f>1500000</f>
        <v>1500000</v>
      </c>
      <c r="O150" s="822">
        <f>1500000</f>
        <v>1500000</v>
      </c>
      <c r="P150" s="822">
        <f>1877576</f>
        <v>1877576</v>
      </c>
    </row>
    <row r="151" spans="1:16" s="324" customFormat="1" ht="21.75" customHeight="1">
      <c r="A151" s="818"/>
      <c r="B151" s="814">
        <v>60095</v>
      </c>
      <c r="C151" s="767" t="s">
        <v>100</v>
      </c>
      <c r="D151" s="1145">
        <f>SUM(E151:P151)</f>
        <v>1000000</v>
      </c>
      <c r="E151" s="809"/>
      <c r="F151" s="809"/>
      <c r="G151" s="809"/>
      <c r="H151" s="809"/>
      <c r="I151" s="809"/>
      <c r="J151" s="809"/>
      <c r="K151" s="809"/>
      <c r="L151" s="809">
        <v>1000000</v>
      </c>
      <c r="M151" s="809"/>
      <c r="N151" s="809"/>
      <c r="O151" s="809"/>
      <c r="P151" s="809"/>
    </row>
    <row r="152" spans="1:16" s="324" customFormat="1" ht="21.75" customHeight="1">
      <c r="A152" s="1203">
        <v>700</v>
      </c>
      <c r="B152" s="1197"/>
      <c r="C152" s="801" t="s">
        <v>433</v>
      </c>
      <c r="D152" s="1198">
        <f t="shared" si="41"/>
        <v>12900200</v>
      </c>
      <c r="E152" s="1198">
        <f>E154+E155+E153</f>
        <v>360300</v>
      </c>
      <c r="F152" s="1198">
        <f aca="true" t="shared" si="48" ref="F152:P152">F154+F155+F153</f>
        <v>452026</v>
      </c>
      <c r="G152" s="1198">
        <f t="shared" si="48"/>
        <v>537800</v>
      </c>
      <c r="H152" s="1198">
        <f t="shared" si="48"/>
        <v>541334</v>
      </c>
      <c r="I152" s="1198">
        <f t="shared" si="48"/>
        <v>818907</v>
      </c>
      <c r="J152" s="1198">
        <f t="shared" si="48"/>
        <v>1424947</v>
      </c>
      <c r="K152" s="1198">
        <f t="shared" si="48"/>
        <v>1591462</v>
      </c>
      <c r="L152" s="1198">
        <f t="shared" si="48"/>
        <v>1203271</v>
      </c>
      <c r="M152" s="1198">
        <f t="shared" si="48"/>
        <v>1378471</v>
      </c>
      <c r="N152" s="1198">
        <f t="shared" si="48"/>
        <v>1673271</v>
      </c>
      <c r="O152" s="1198">
        <f t="shared" si="48"/>
        <v>1623271</v>
      </c>
      <c r="P152" s="1198">
        <f t="shared" si="48"/>
        <v>1295140</v>
      </c>
    </row>
    <row r="153" spans="1:16" s="324" customFormat="1" ht="21.75" customHeight="1">
      <c r="A153" s="786"/>
      <c r="B153" s="787">
        <v>70001</v>
      </c>
      <c r="C153" s="653" t="s">
        <v>434</v>
      </c>
      <c r="D153" s="664">
        <f t="shared" si="41"/>
        <v>10000000</v>
      </c>
      <c r="E153" s="664">
        <v>300000</v>
      </c>
      <c r="F153" s="664">
        <v>413826</v>
      </c>
      <c r="G153" s="664">
        <v>500000</v>
      </c>
      <c r="H153" s="664">
        <f>505734</f>
        <v>505734</v>
      </c>
      <c r="I153" s="664">
        <f>530012</f>
        <v>530012</v>
      </c>
      <c r="J153" s="664">
        <f>539988+1309</f>
        <v>541297</v>
      </c>
      <c r="K153" s="664">
        <f>650000-1309+700000</f>
        <v>1348691</v>
      </c>
      <c r="L153" s="664">
        <f>600000+500000</f>
        <v>1100000</v>
      </c>
      <c r="M153" s="664">
        <f>700000+500000</f>
        <v>1200000</v>
      </c>
      <c r="N153" s="664">
        <f>800000+500000</f>
        <v>1300000</v>
      </c>
      <c r="O153" s="664">
        <f>700000+500000</f>
        <v>1200000</v>
      </c>
      <c r="P153" s="664">
        <f>760440+300000</f>
        <v>1060440</v>
      </c>
    </row>
    <row r="154" spans="1:16" s="324" customFormat="1" ht="29.25" customHeight="1">
      <c r="A154" s="816"/>
      <c r="B154" s="814">
        <v>70004</v>
      </c>
      <c r="C154" s="668" t="s">
        <v>953</v>
      </c>
      <c r="D154" s="1145">
        <f t="shared" si="41"/>
        <v>500000</v>
      </c>
      <c r="E154" s="809">
        <v>15000</v>
      </c>
      <c r="F154" s="809"/>
      <c r="G154" s="809"/>
      <c r="H154" s="809"/>
      <c r="I154" s="809">
        <v>135000</v>
      </c>
      <c r="J154" s="809">
        <v>150000</v>
      </c>
      <c r="K154" s="809">
        <v>170000</v>
      </c>
      <c r="L154" s="809">
        <v>30000</v>
      </c>
      <c r="M154" s="809"/>
      <c r="N154" s="809"/>
      <c r="O154" s="809"/>
      <c r="P154" s="809"/>
    </row>
    <row r="155" spans="1:16" s="324" customFormat="1" ht="21.75" customHeight="1">
      <c r="A155" s="818"/>
      <c r="B155" s="814">
        <v>70005</v>
      </c>
      <c r="C155" s="668" t="s">
        <v>435</v>
      </c>
      <c r="D155" s="1145">
        <f t="shared" si="41"/>
        <v>2400200</v>
      </c>
      <c r="E155" s="809">
        <v>45300</v>
      </c>
      <c r="F155" s="809">
        <v>38200</v>
      </c>
      <c r="G155" s="809">
        <v>37800</v>
      </c>
      <c r="H155" s="809">
        <v>35600</v>
      </c>
      <c r="I155" s="809">
        <v>153895</v>
      </c>
      <c r="J155" s="809">
        <v>733650</v>
      </c>
      <c r="K155" s="809">
        <v>72771</v>
      </c>
      <c r="L155" s="809">
        <v>73271</v>
      </c>
      <c r="M155" s="809">
        <v>178471</v>
      </c>
      <c r="N155" s="809">
        <v>373271</v>
      </c>
      <c r="O155" s="809">
        <v>423271</v>
      </c>
      <c r="P155" s="809">
        <v>234700</v>
      </c>
    </row>
    <row r="156" spans="1:16" s="324" customFormat="1" ht="21.75" customHeight="1">
      <c r="A156" s="815">
        <v>852</v>
      </c>
      <c r="B156" s="815"/>
      <c r="C156" s="801" t="s">
        <v>129</v>
      </c>
      <c r="D156" s="1202">
        <f t="shared" si="41"/>
        <v>280000</v>
      </c>
      <c r="E156" s="1202"/>
      <c r="F156" s="1202"/>
      <c r="G156" s="1202">
        <f>G157</f>
        <v>280000</v>
      </c>
      <c r="H156" s="1202"/>
      <c r="I156" s="1202"/>
      <c r="J156" s="1202"/>
      <c r="K156" s="1202"/>
      <c r="L156" s="1202"/>
      <c r="M156" s="1202"/>
      <c r="N156" s="1202"/>
      <c r="O156" s="1202"/>
      <c r="P156" s="1202"/>
    </row>
    <row r="157" spans="1:16" s="324" customFormat="1" ht="21.75" customHeight="1">
      <c r="A157" s="818"/>
      <c r="B157" s="787">
        <v>85201</v>
      </c>
      <c r="C157" s="653" t="s">
        <v>55</v>
      </c>
      <c r="D157" s="822">
        <f t="shared" si="41"/>
        <v>280000</v>
      </c>
      <c r="E157" s="822"/>
      <c r="F157" s="822"/>
      <c r="G157" s="822">
        <v>280000</v>
      </c>
      <c r="H157" s="822"/>
      <c r="I157" s="822"/>
      <c r="J157" s="822"/>
      <c r="K157" s="822"/>
      <c r="L157" s="822"/>
      <c r="M157" s="822"/>
      <c r="N157" s="822"/>
      <c r="O157" s="822"/>
      <c r="P157" s="822"/>
    </row>
    <row r="158" spans="1:16" s="324" customFormat="1" ht="34.5" customHeight="1">
      <c r="A158" s="815">
        <v>900</v>
      </c>
      <c r="B158" s="815"/>
      <c r="C158" s="801" t="s">
        <v>1109</v>
      </c>
      <c r="D158" s="1198">
        <f t="shared" si="41"/>
        <v>447278</v>
      </c>
      <c r="E158" s="1202">
        <f aca="true" t="shared" si="49" ref="E158:P158">E159</f>
        <v>35000</v>
      </c>
      <c r="F158" s="1202">
        <f t="shared" si="49"/>
        <v>40062</v>
      </c>
      <c r="G158" s="1202">
        <f t="shared" si="49"/>
        <v>37221</v>
      </c>
      <c r="H158" s="1202">
        <f t="shared" si="49"/>
        <v>37222</v>
      </c>
      <c r="I158" s="1202">
        <f t="shared" si="49"/>
        <v>37222</v>
      </c>
      <c r="J158" s="1202">
        <f t="shared" si="49"/>
        <v>37221</v>
      </c>
      <c r="K158" s="1202">
        <f t="shared" si="49"/>
        <v>37222</v>
      </c>
      <c r="L158" s="1202">
        <f t="shared" si="49"/>
        <v>37222</v>
      </c>
      <c r="M158" s="1202">
        <f t="shared" si="49"/>
        <v>37221</v>
      </c>
      <c r="N158" s="1202">
        <f t="shared" si="49"/>
        <v>37222</v>
      </c>
      <c r="O158" s="1202">
        <f t="shared" si="49"/>
        <v>37222</v>
      </c>
      <c r="P158" s="1202">
        <f t="shared" si="49"/>
        <v>37221</v>
      </c>
    </row>
    <row r="159" spans="1:16" s="324" customFormat="1" ht="21.75" customHeight="1">
      <c r="A159" s="816"/>
      <c r="B159" s="787">
        <v>90002</v>
      </c>
      <c r="C159" s="653" t="s">
        <v>176</v>
      </c>
      <c r="D159" s="822">
        <f t="shared" si="41"/>
        <v>447278</v>
      </c>
      <c r="E159" s="822">
        <v>35000</v>
      </c>
      <c r="F159" s="822">
        <v>40062</v>
      </c>
      <c r="G159" s="822">
        <v>37221</v>
      </c>
      <c r="H159" s="822">
        <v>37222</v>
      </c>
      <c r="I159" s="822">
        <v>37222</v>
      </c>
      <c r="J159" s="822">
        <v>37221</v>
      </c>
      <c r="K159" s="822">
        <v>37222</v>
      </c>
      <c r="L159" s="822">
        <v>37222</v>
      </c>
      <c r="M159" s="822">
        <v>37221</v>
      </c>
      <c r="N159" s="822">
        <v>37222</v>
      </c>
      <c r="O159" s="822">
        <v>37222</v>
      </c>
      <c r="P159" s="822">
        <v>37221</v>
      </c>
    </row>
    <row r="160" spans="1:16" s="324" customFormat="1" ht="38.25" customHeight="1" thickBot="1">
      <c r="A160" s="818"/>
      <c r="B160" s="787"/>
      <c r="C160" s="677" t="s">
        <v>1021</v>
      </c>
      <c r="D160" s="819">
        <f t="shared" si="41"/>
        <v>596150</v>
      </c>
      <c r="E160" s="820">
        <f aca="true" t="shared" si="50" ref="E160:P161">E161</f>
        <v>4050</v>
      </c>
      <c r="F160" s="820">
        <f t="shared" si="50"/>
        <v>9050</v>
      </c>
      <c r="G160" s="820">
        <f t="shared" si="50"/>
        <v>62600</v>
      </c>
      <c r="H160" s="820">
        <f t="shared" si="50"/>
        <v>21100</v>
      </c>
      <c r="I160" s="820">
        <f t="shared" si="50"/>
        <v>12550</v>
      </c>
      <c r="J160" s="820">
        <f t="shared" si="50"/>
        <v>238600</v>
      </c>
      <c r="K160" s="820">
        <f t="shared" si="50"/>
        <v>7600</v>
      </c>
      <c r="L160" s="820">
        <f t="shared" si="50"/>
        <v>181250</v>
      </c>
      <c r="M160" s="820">
        <f t="shared" si="50"/>
        <v>13100</v>
      </c>
      <c r="N160" s="820">
        <f t="shared" si="50"/>
        <v>18050</v>
      </c>
      <c r="O160" s="820">
        <f t="shared" si="50"/>
        <v>18100</v>
      </c>
      <c r="P160" s="820">
        <f t="shared" si="50"/>
        <v>10100</v>
      </c>
    </row>
    <row r="161" spans="1:16" s="324" customFormat="1" ht="21.75" customHeight="1" thickTop="1">
      <c r="A161" s="1199" t="s">
        <v>287</v>
      </c>
      <c r="B161" s="1197"/>
      <c r="C161" s="801" t="s">
        <v>433</v>
      </c>
      <c r="D161" s="1202">
        <f t="shared" si="41"/>
        <v>596150</v>
      </c>
      <c r="E161" s="1202">
        <f t="shared" si="50"/>
        <v>4050</v>
      </c>
      <c r="F161" s="1202">
        <f t="shared" si="50"/>
        <v>9050</v>
      </c>
      <c r="G161" s="1202">
        <f t="shared" si="50"/>
        <v>62600</v>
      </c>
      <c r="H161" s="1202">
        <f t="shared" si="50"/>
        <v>21100</v>
      </c>
      <c r="I161" s="1202">
        <f t="shared" si="50"/>
        <v>12550</v>
      </c>
      <c r="J161" s="1202">
        <f t="shared" si="50"/>
        <v>238600</v>
      </c>
      <c r="K161" s="1202">
        <f t="shared" si="50"/>
        <v>7600</v>
      </c>
      <c r="L161" s="1202">
        <f t="shared" si="50"/>
        <v>181250</v>
      </c>
      <c r="M161" s="1202">
        <f t="shared" si="50"/>
        <v>13100</v>
      </c>
      <c r="N161" s="1202">
        <f t="shared" si="50"/>
        <v>18050</v>
      </c>
      <c r="O161" s="1202">
        <f t="shared" si="50"/>
        <v>18100</v>
      </c>
      <c r="P161" s="1202">
        <f t="shared" si="50"/>
        <v>10100</v>
      </c>
    </row>
    <row r="162" spans="1:16" s="324" customFormat="1" ht="21.75" customHeight="1">
      <c r="A162" s="786"/>
      <c r="B162" s="787">
        <v>70005</v>
      </c>
      <c r="C162" s="653" t="s">
        <v>435</v>
      </c>
      <c r="D162" s="821">
        <f t="shared" si="41"/>
        <v>596150</v>
      </c>
      <c r="E162" s="822">
        <v>4050</v>
      </c>
      <c r="F162" s="822">
        <v>9050</v>
      </c>
      <c r="G162" s="822">
        <v>62600</v>
      </c>
      <c r="H162" s="822">
        <v>21100</v>
      </c>
      <c r="I162" s="822">
        <v>12550</v>
      </c>
      <c r="J162" s="822">
        <v>238600</v>
      </c>
      <c r="K162" s="822">
        <v>7600</v>
      </c>
      <c r="L162" s="822">
        <v>181250</v>
      </c>
      <c r="M162" s="822">
        <v>13100</v>
      </c>
      <c r="N162" s="822">
        <v>18050</v>
      </c>
      <c r="O162" s="822">
        <v>18100</v>
      </c>
      <c r="P162" s="822">
        <v>10100</v>
      </c>
    </row>
    <row r="163" spans="1:16" s="324" customFormat="1" ht="26.25" customHeight="1">
      <c r="A163" s="816"/>
      <c r="B163" s="1180"/>
      <c r="C163" s="1181" t="s">
        <v>26</v>
      </c>
      <c r="D163" s="1186">
        <f t="shared" si="41"/>
        <v>-85375983</v>
      </c>
      <c r="E163" s="1187">
        <f aca="true" t="shared" si="51" ref="E163:P163">E164</f>
        <v>-805291</v>
      </c>
      <c r="F163" s="1187">
        <f t="shared" si="51"/>
        <v>-1090835</v>
      </c>
      <c r="G163" s="1187">
        <f t="shared" si="51"/>
        <v>-1479373</v>
      </c>
      <c r="H163" s="1187">
        <f t="shared" si="51"/>
        <v>-2707409</v>
      </c>
      <c r="I163" s="1187">
        <f t="shared" si="51"/>
        <v>-6684931</v>
      </c>
      <c r="J163" s="1187">
        <f t="shared" si="51"/>
        <v>-10971679</v>
      </c>
      <c r="K163" s="1187">
        <f t="shared" si="51"/>
        <v>-7559817</v>
      </c>
      <c r="L163" s="1187">
        <f t="shared" si="51"/>
        <v>-10272847</v>
      </c>
      <c r="M163" s="1187">
        <f t="shared" si="51"/>
        <v>-12868847</v>
      </c>
      <c r="N163" s="1187">
        <f t="shared" si="51"/>
        <v>-5835643</v>
      </c>
      <c r="O163" s="1187">
        <f t="shared" si="51"/>
        <v>-19475820</v>
      </c>
      <c r="P163" s="1187">
        <f t="shared" si="51"/>
        <v>-5623491</v>
      </c>
    </row>
    <row r="164" spans="1:16" s="324" customFormat="1" ht="21.75" customHeight="1" thickBot="1">
      <c r="A164" s="818"/>
      <c r="B164" s="818"/>
      <c r="C164" s="645" t="s">
        <v>646</v>
      </c>
      <c r="D164" s="647">
        <f t="shared" si="41"/>
        <v>-85375983</v>
      </c>
      <c r="E164" s="647">
        <f aca="true" t="shared" si="52" ref="E164:P164">E165+E172+E174+E170</f>
        <v>-805291</v>
      </c>
      <c r="F164" s="647">
        <f t="shared" si="52"/>
        <v>-1090835</v>
      </c>
      <c r="G164" s="647">
        <f t="shared" si="52"/>
        <v>-1479373</v>
      </c>
      <c r="H164" s="647">
        <f t="shared" si="52"/>
        <v>-2707409</v>
      </c>
      <c r="I164" s="647">
        <f t="shared" si="52"/>
        <v>-6684931</v>
      </c>
      <c r="J164" s="647">
        <f t="shared" si="52"/>
        <v>-10971679</v>
      </c>
      <c r="K164" s="647">
        <f t="shared" si="52"/>
        <v>-7559817</v>
      </c>
      <c r="L164" s="647">
        <f t="shared" si="52"/>
        <v>-10272847</v>
      </c>
      <c r="M164" s="647">
        <f t="shared" si="52"/>
        <v>-12868847</v>
      </c>
      <c r="N164" s="647">
        <f t="shared" si="52"/>
        <v>-5835643</v>
      </c>
      <c r="O164" s="647">
        <f t="shared" si="52"/>
        <v>-19475820</v>
      </c>
      <c r="P164" s="647">
        <f t="shared" si="52"/>
        <v>-5623491</v>
      </c>
    </row>
    <row r="165" spans="1:16" s="1195" customFormat="1" ht="21" customHeight="1" thickTop="1">
      <c r="A165" s="1203">
        <v>600</v>
      </c>
      <c r="B165" s="1208"/>
      <c r="C165" s="1204" t="s">
        <v>525</v>
      </c>
      <c r="D165" s="1205">
        <f t="shared" si="41"/>
        <v>-80856983</v>
      </c>
      <c r="E165" s="1205">
        <f aca="true" t="shared" si="53" ref="E165:P165">E166+E167+E168+E169</f>
        <v>-779500</v>
      </c>
      <c r="F165" s="1205">
        <f t="shared" si="53"/>
        <v>-1064268</v>
      </c>
      <c r="G165" s="1205">
        <f t="shared" si="53"/>
        <v>-1413546</v>
      </c>
      <c r="H165" s="1205">
        <f t="shared" si="53"/>
        <v>-2638410</v>
      </c>
      <c r="I165" s="1205">
        <f t="shared" si="53"/>
        <v>-6545540</v>
      </c>
      <c r="J165" s="1205">
        <f t="shared" si="53"/>
        <v>-10700220</v>
      </c>
      <c r="K165" s="1205">
        <f t="shared" si="53"/>
        <v>-7232178</v>
      </c>
      <c r="L165" s="1205">
        <f t="shared" si="53"/>
        <v>-9705869</v>
      </c>
      <c r="M165" s="1205">
        <f t="shared" si="53"/>
        <v>-12520869</v>
      </c>
      <c r="N165" s="1205">
        <f t="shared" si="53"/>
        <v>-5224841</v>
      </c>
      <c r="O165" s="1205">
        <f t="shared" si="53"/>
        <v>-18253242</v>
      </c>
      <c r="P165" s="1205">
        <f t="shared" si="53"/>
        <v>-4778500</v>
      </c>
    </row>
    <row r="166" spans="1:16" s="324" customFormat="1" ht="21" customHeight="1">
      <c r="A166" s="786"/>
      <c r="B166" s="787">
        <v>60004</v>
      </c>
      <c r="C166" s="653" t="s">
        <v>647</v>
      </c>
      <c r="D166" s="664">
        <f t="shared" si="41"/>
        <v>-28755432</v>
      </c>
      <c r="E166" s="664">
        <v>-500000</v>
      </c>
      <c r="F166" s="664">
        <v>-659858</v>
      </c>
      <c r="G166" s="664">
        <v>-717136</v>
      </c>
      <c r="H166" s="664">
        <v>-500000</v>
      </c>
      <c r="I166" s="664">
        <v>-2540130</v>
      </c>
      <c r="J166" s="664">
        <v>-1118780</v>
      </c>
      <c r="K166" s="664">
        <v>-1558228</v>
      </c>
      <c r="L166" s="664">
        <v>-1646369</v>
      </c>
      <c r="M166" s="664">
        <v>-2146369</v>
      </c>
      <c r="N166" s="664">
        <v>-2387606</v>
      </c>
      <c r="O166" s="664">
        <v>-13330956</v>
      </c>
      <c r="P166" s="664">
        <v>-1650000</v>
      </c>
    </row>
    <row r="167" spans="1:16" s="324" customFormat="1" ht="28.5" customHeight="1">
      <c r="A167" s="786"/>
      <c r="B167" s="787">
        <v>60015</v>
      </c>
      <c r="C167" s="653" t="s">
        <v>1113</v>
      </c>
      <c r="D167" s="748">
        <f t="shared" si="41"/>
        <v>-44291551</v>
      </c>
      <c r="E167" s="664">
        <v>-222000</v>
      </c>
      <c r="F167" s="664">
        <v>-256910</v>
      </c>
      <c r="G167" s="664">
        <v>-492910</v>
      </c>
      <c r="H167" s="664">
        <v>-1708910</v>
      </c>
      <c r="I167" s="664">
        <v>-3303910</v>
      </c>
      <c r="J167" s="664">
        <v>-9039940</v>
      </c>
      <c r="K167" s="664">
        <v>-5033450</v>
      </c>
      <c r="L167" s="664">
        <f>-6291000-200000</f>
        <v>-6491000</v>
      </c>
      <c r="M167" s="664">
        <f>-8032000-200000</f>
        <v>-8232000</v>
      </c>
      <c r="N167" s="664">
        <v>-2145735</v>
      </c>
      <c r="O167" s="664">
        <v>-4353786</v>
      </c>
      <c r="P167" s="664">
        <v>-3011000</v>
      </c>
    </row>
    <row r="168" spans="1:16" s="324" customFormat="1" ht="21" customHeight="1">
      <c r="A168" s="786"/>
      <c r="B168" s="1146">
        <v>60016</v>
      </c>
      <c r="C168" s="668" t="s">
        <v>1114</v>
      </c>
      <c r="D168" s="748">
        <f t="shared" si="41"/>
        <v>-6400000</v>
      </c>
      <c r="E168" s="748">
        <v>-56500</v>
      </c>
      <c r="F168" s="748">
        <v>-136500</v>
      </c>
      <c r="G168" s="748">
        <v>-156500</v>
      </c>
      <c r="H168" s="748">
        <v>-387500</v>
      </c>
      <c r="I168" s="748">
        <v>-549500</v>
      </c>
      <c r="J168" s="748">
        <v>-354500</v>
      </c>
      <c r="K168" s="748">
        <v>-588500</v>
      </c>
      <c r="L168" s="748">
        <f>-1291500-200000</f>
        <v>-1491500</v>
      </c>
      <c r="M168" s="748">
        <f>-1565500-300000</f>
        <v>-1865500</v>
      </c>
      <c r="N168" s="748">
        <v>-419500</v>
      </c>
      <c r="O168" s="748">
        <v>-317500</v>
      </c>
      <c r="P168" s="748">
        <v>-76500</v>
      </c>
    </row>
    <row r="169" spans="1:16" s="324" customFormat="1" ht="21" customHeight="1">
      <c r="A169" s="787"/>
      <c r="B169" s="787">
        <v>60017</v>
      </c>
      <c r="C169" s="653" t="s">
        <v>481</v>
      </c>
      <c r="D169" s="748">
        <f t="shared" si="41"/>
        <v>-1410000</v>
      </c>
      <c r="E169" s="664">
        <v>-1000</v>
      </c>
      <c r="F169" s="664">
        <v>-11000</v>
      </c>
      <c r="G169" s="664">
        <v>-47000</v>
      </c>
      <c r="H169" s="664">
        <v>-42000</v>
      </c>
      <c r="I169" s="664">
        <v>-152000</v>
      </c>
      <c r="J169" s="664">
        <v>-187000</v>
      </c>
      <c r="K169" s="664">
        <v>-52000</v>
      </c>
      <c r="L169" s="664">
        <v>-77000</v>
      </c>
      <c r="M169" s="664">
        <v>-277000</v>
      </c>
      <c r="N169" s="664">
        <v>-272000</v>
      </c>
      <c r="O169" s="664">
        <v>-251000</v>
      </c>
      <c r="P169" s="664">
        <v>-41000</v>
      </c>
    </row>
    <row r="170" spans="1:16" s="324" customFormat="1" ht="21" customHeight="1">
      <c r="A170" s="1197">
        <v>630</v>
      </c>
      <c r="B170" s="1197"/>
      <c r="C170" s="801" t="s">
        <v>430</v>
      </c>
      <c r="D170" s="1198">
        <f t="shared" si="41"/>
        <v>-100000</v>
      </c>
      <c r="E170" s="1198"/>
      <c r="F170" s="1198"/>
      <c r="G170" s="1198">
        <f aca="true" t="shared" si="54" ref="G170:P170">G171</f>
        <v>-10000</v>
      </c>
      <c r="H170" s="1198">
        <f t="shared" si="54"/>
        <v>-10000</v>
      </c>
      <c r="I170" s="1198">
        <f t="shared" si="54"/>
        <v>-10000</v>
      </c>
      <c r="J170" s="1198">
        <f t="shared" si="54"/>
        <v>-10000</v>
      </c>
      <c r="K170" s="1198">
        <f t="shared" si="54"/>
        <v>-10000</v>
      </c>
      <c r="L170" s="1198">
        <f t="shared" si="54"/>
        <v>-10000</v>
      </c>
      <c r="M170" s="1198">
        <f t="shared" si="54"/>
        <v>-10000</v>
      </c>
      <c r="N170" s="1198">
        <f t="shared" si="54"/>
        <v>-10000</v>
      </c>
      <c r="O170" s="1198">
        <f t="shared" si="54"/>
        <v>-10000</v>
      </c>
      <c r="P170" s="1198">
        <f t="shared" si="54"/>
        <v>-10000</v>
      </c>
    </row>
    <row r="171" spans="1:16" s="324" customFormat="1" ht="25.5" customHeight="1">
      <c r="A171" s="787"/>
      <c r="B171" s="787">
        <v>63003</v>
      </c>
      <c r="C171" s="653" t="s">
        <v>432</v>
      </c>
      <c r="D171" s="664">
        <f t="shared" si="41"/>
        <v>-100000</v>
      </c>
      <c r="E171" s="664"/>
      <c r="F171" s="664"/>
      <c r="G171" s="664">
        <v>-10000</v>
      </c>
      <c r="H171" s="664">
        <v>-10000</v>
      </c>
      <c r="I171" s="664">
        <v>-10000</v>
      </c>
      <c r="J171" s="664">
        <v>-10000</v>
      </c>
      <c r="K171" s="664">
        <v>-10000</v>
      </c>
      <c r="L171" s="664">
        <v>-10000</v>
      </c>
      <c r="M171" s="664">
        <v>-10000</v>
      </c>
      <c r="N171" s="664">
        <v>-10000</v>
      </c>
      <c r="O171" s="664">
        <v>-10000</v>
      </c>
      <c r="P171" s="664">
        <v>-10000</v>
      </c>
    </row>
    <row r="172" spans="1:16" s="324" customFormat="1" ht="21" customHeight="1">
      <c r="A172" s="1197">
        <v>710</v>
      </c>
      <c r="B172" s="1197"/>
      <c r="C172" s="801" t="s">
        <v>436</v>
      </c>
      <c r="D172" s="1198">
        <f t="shared" si="41"/>
        <v>-800000</v>
      </c>
      <c r="E172" s="1198"/>
      <c r="F172" s="1198"/>
      <c r="G172" s="1198"/>
      <c r="H172" s="1198"/>
      <c r="I172" s="1198"/>
      <c r="J172" s="1198"/>
      <c r="K172" s="1198">
        <f>K173</f>
        <v>-200000</v>
      </c>
      <c r="L172" s="1198"/>
      <c r="M172" s="1198"/>
      <c r="N172" s="1198"/>
      <c r="O172" s="1198">
        <f>O173</f>
        <v>-400000</v>
      </c>
      <c r="P172" s="1198">
        <f>P173</f>
        <v>-200000</v>
      </c>
    </row>
    <row r="173" spans="1:16" s="324" customFormat="1" ht="21" customHeight="1">
      <c r="A173" s="787"/>
      <c r="B173" s="787">
        <v>71035</v>
      </c>
      <c r="C173" s="653" t="s">
        <v>191</v>
      </c>
      <c r="D173" s="664">
        <f t="shared" si="41"/>
        <v>-800000</v>
      </c>
      <c r="E173" s="664"/>
      <c r="F173" s="664"/>
      <c r="G173" s="664"/>
      <c r="H173" s="664"/>
      <c r="I173" s="664"/>
      <c r="J173" s="664"/>
      <c r="K173" s="664">
        <v>-200000</v>
      </c>
      <c r="L173" s="664"/>
      <c r="M173" s="664"/>
      <c r="N173" s="664"/>
      <c r="O173" s="664">
        <v>-400000</v>
      </c>
      <c r="P173" s="664">
        <v>-200000</v>
      </c>
    </row>
    <row r="174" spans="1:17" s="324" customFormat="1" ht="36" customHeight="1">
      <c r="A174" s="1203">
        <v>900</v>
      </c>
      <c r="B174" s="1203"/>
      <c r="C174" s="1204" t="s">
        <v>1109</v>
      </c>
      <c r="D174" s="1205">
        <f t="shared" si="41"/>
        <v>-3619000</v>
      </c>
      <c r="E174" s="1205">
        <f aca="true" t="shared" si="55" ref="E174:P174">E175+E176+E177+E178+E179</f>
        <v>-25791</v>
      </c>
      <c r="F174" s="1205">
        <f t="shared" si="55"/>
        <v>-26567</v>
      </c>
      <c r="G174" s="1205">
        <f t="shared" si="55"/>
        <v>-55827</v>
      </c>
      <c r="H174" s="1205">
        <f t="shared" si="55"/>
        <v>-58999</v>
      </c>
      <c r="I174" s="1205">
        <f t="shared" si="55"/>
        <v>-129391</v>
      </c>
      <c r="J174" s="1205">
        <f t="shared" si="55"/>
        <v>-261459</v>
      </c>
      <c r="K174" s="1205">
        <f t="shared" si="55"/>
        <v>-117639</v>
      </c>
      <c r="L174" s="1205">
        <f t="shared" si="55"/>
        <v>-556978</v>
      </c>
      <c r="M174" s="1205">
        <f t="shared" si="55"/>
        <v>-337978</v>
      </c>
      <c r="N174" s="1205">
        <f t="shared" si="55"/>
        <v>-600802</v>
      </c>
      <c r="O174" s="1205">
        <f t="shared" si="55"/>
        <v>-812578</v>
      </c>
      <c r="P174" s="1205">
        <f t="shared" si="55"/>
        <v>-634991</v>
      </c>
      <c r="Q174" s="1188"/>
    </row>
    <row r="175" spans="1:16" s="1195" customFormat="1" ht="19.5" customHeight="1">
      <c r="A175" s="780"/>
      <c r="B175" s="787">
        <v>90001</v>
      </c>
      <c r="C175" s="653" t="s">
        <v>1110</v>
      </c>
      <c r="D175" s="664">
        <f t="shared" si="41"/>
        <v>-665000</v>
      </c>
      <c r="E175" s="664"/>
      <c r="F175" s="664"/>
      <c r="G175" s="664"/>
      <c r="H175" s="664">
        <v>-13600</v>
      </c>
      <c r="I175" s="664">
        <v>-3600</v>
      </c>
      <c r="J175" s="664">
        <v>-33000</v>
      </c>
      <c r="K175" s="664">
        <v>-10000</v>
      </c>
      <c r="L175" s="664">
        <v>-374400</v>
      </c>
      <c r="M175" s="664">
        <v>-16400</v>
      </c>
      <c r="N175" s="664">
        <v>-50000</v>
      </c>
      <c r="O175" s="664">
        <v>-164000</v>
      </c>
      <c r="P175" s="664"/>
    </row>
    <row r="176" spans="1:16" s="1195" customFormat="1" ht="19.5" customHeight="1">
      <c r="A176" s="780"/>
      <c r="B176" s="787">
        <v>90003</v>
      </c>
      <c r="C176" s="653" t="s">
        <v>1111</v>
      </c>
      <c r="D176" s="748">
        <f t="shared" si="41"/>
        <v>-294000</v>
      </c>
      <c r="E176" s="664"/>
      <c r="F176" s="664"/>
      <c r="G176" s="664">
        <v>-30036</v>
      </c>
      <c r="H176" s="664">
        <v>-19608</v>
      </c>
      <c r="I176" s="664"/>
      <c r="J176" s="664">
        <v>-46881</v>
      </c>
      <c r="K176" s="664">
        <v>-13061</v>
      </c>
      <c r="L176" s="664">
        <v>-51000</v>
      </c>
      <c r="M176" s="664">
        <v>-90000</v>
      </c>
      <c r="N176" s="664">
        <v>-20000</v>
      </c>
      <c r="O176" s="664">
        <v>-20000</v>
      </c>
      <c r="P176" s="664">
        <v>-3414</v>
      </c>
    </row>
    <row r="177" spans="1:16" s="1195" customFormat="1" ht="19.5" customHeight="1">
      <c r="A177" s="780"/>
      <c r="B177" s="787">
        <v>90004</v>
      </c>
      <c r="C177" s="653" t="s">
        <v>1000</v>
      </c>
      <c r="D177" s="748">
        <f t="shared" si="41"/>
        <v>-1000000</v>
      </c>
      <c r="E177" s="664"/>
      <c r="F177" s="664"/>
      <c r="G177" s="664"/>
      <c r="H177" s="664"/>
      <c r="I177" s="664"/>
      <c r="J177" s="664">
        <v>-100000</v>
      </c>
      <c r="K177" s="664"/>
      <c r="L177" s="664">
        <v>-100000</v>
      </c>
      <c r="M177" s="664">
        <v>-200000</v>
      </c>
      <c r="N177" s="664">
        <v>-200000</v>
      </c>
      <c r="O177" s="664">
        <v>-200000</v>
      </c>
      <c r="P177" s="664">
        <v>-200000</v>
      </c>
    </row>
    <row r="178" spans="1:16" s="1195" customFormat="1" ht="19.5" customHeight="1">
      <c r="A178" s="780"/>
      <c r="B178" s="787">
        <v>90013</v>
      </c>
      <c r="C178" s="653" t="s">
        <v>1001</v>
      </c>
      <c r="D178" s="748">
        <f t="shared" si="41"/>
        <v>-600000</v>
      </c>
      <c r="E178" s="664">
        <v>-25791</v>
      </c>
      <c r="F178" s="664">
        <v>-25791</v>
      </c>
      <c r="G178" s="664">
        <v>-25791</v>
      </c>
      <c r="H178" s="664">
        <v>-25791</v>
      </c>
      <c r="I178" s="664">
        <v>-125791</v>
      </c>
      <c r="J178" s="664">
        <v>-31578</v>
      </c>
      <c r="K178" s="664">
        <v>-31578</v>
      </c>
      <c r="L178" s="664">
        <v>-31578</v>
      </c>
      <c r="M178" s="664">
        <v>-31578</v>
      </c>
      <c r="N178" s="664">
        <f>-31578-50000</f>
        <v>-81578</v>
      </c>
      <c r="O178" s="664">
        <f>-31578-50000</f>
        <v>-81578</v>
      </c>
      <c r="P178" s="664">
        <f>-31577-50000</f>
        <v>-81577</v>
      </c>
    </row>
    <row r="179" spans="1:16" s="1195" customFormat="1" ht="19.5" customHeight="1">
      <c r="A179" s="1176"/>
      <c r="B179" s="787">
        <v>90015</v>
      </c>
      <c r="C179" s="653" t="s">
        <v>1002</v>
      </c>
      <c r="D179" s="748">
        <f t="shared" si="41"/>
        <v>-1060000</v>
      </c>
      <c r="E179" s="664"/>
      <c r="F179" s="664">
        <v>-776</v>
      </c>
      <c r="G179" s="664"/>
      <c r="H179" s="664"/>
      <c r="I179" s="664"/>
      <c r="J179" s="664">
        <v>-50000</v>
      </c>
      <c r="K179" s="664">
        <v>-63000</v>
      </c>
      <c r="L179" s="664"/>
      <c r="M179" s="664"/>
      <c r="N179" s="664">
        <v>-249224</v>
      </c>
      <c r="O179" s="664">
        <v>-347000</v>
      </c>
      <c r="P179" s="664">
        <v>-350000</v>
      </c>
    </row>
    <row r="180" spans="1:16" s="324" customFormat="1" ht="26.25" customHeight="1">
      <c r="A180" s="1180"/>
      <c r="B180" s="1180"/>
      <c r="C180" s="1181" t="s">
        <v>27</v>
      </c>
      <c r="D180" s="1186">
        <f t="shared" si="41"/>
        <v>7394000</v>
      </c>
      <c r="E180" s="1187">
        <f aca="true" t="shared" si="56" ref="E180:P180">E181</f>
        <v>500000</v>
      </c>
      <c r="F180" s="1187">
        <f t="shared" si="56"/>
        <v>500000</v>
      </c>
      <c r="G180" s="1187">
        <f t="shared" si="56"/>
        <v>577626</v>
      </c>
      <c r="H180" s="1187">
        <f t="shared" si="56"/>
        <v>519608</v>
      </c>
      <c r="I180" s="1187">
        <f t="shared" si="56"/>
        <v>500000</v>
      </c>
      <c r="J180" s="1187">
        <f t="shared" si="56"/>
        <v>546881</v>
      </c>
      <c r="K180" s="1187">
        <f t="shared" si="56"/>
        <v>1013061</v>
      </c>
      <c r="L180" s="1187">
        <f t="shared" si="56"/>
        <v>1051000</v>
      </c>
      <c r="M180" s="1187">
        <f t="shared" si="56"/>
        <v>590000</v>
      </c>
      <c r="N180" s="1187">
        <f t="shared" si="56"/>
        <v>520000</v>
      </c>
      <c r="O180" s="1187">
        <f t="shared" si="56"/>
        <v>572410</v>
      </c>
      <c r="P180" s="1187">
        <f t="shared" si="56"/>
        <v>503414</v>
      </c>
    </row>
    <row r="181" spans="1:16" s="324" customFormat="1" ht="21.75" customHeight="1" thickBot="1">
      <c r="A181" s="818"/>
      <c r="B181" s="818"/>
      <c r="C181" s="645" t="s">
        <v>646</v>
      </c>
      <c r="D181" s="647">
        <f t="shared" si="41"/>
        <v>7394000</v>
      </c>
      <c r="E181" s="647">
        <f aca="true" t="shared" si="57" ref="E181:P181">E182+E184</f>
        <v>500000</v>
      </c>
      <c r="F181" s="647">
        <f t="shared" si="57"/>
        <v>500000</v>
      </c>
      <c r="G181" s="647">
        <f t="shared" si="57"/>
        <v>577626</v>
      </c>
      <c r="H181" s="647">
        <f t="shared" si="57"/>
        <v>519608</v>
      </c>
      <c r="I181" s="647">
        <f t="shared" si="57"/>
        <v>500000</v>
      </c>
      <c r="J181" s="647">
        <f t="shared" si="57"/>
        <v>546881</v>
      </c>
      <c r="K181" s="647">
        <f t="shared" si="57"/>
        <v>1013061</v>
      </c>
      <c r="L181" s="647">
        <f t="shared" si="57"/>
        <v>1051000</v>
      </c>
      <c r="M181" s="647">
        <f t="shared" si="57"/>
        <v>590000</v>
      </c>
      <c r="N181" s="647">
        <f t="shared" si="57"/>
        <v>520000</v>
      </c>
      <c r="O181" s="647">
        <f t="shared" si="57"/>
        <v>572410</v>
      </c>
      <c r="P181" s="647">
        <f t="shared" si="57"/>
        <v>503414</v>
      </c>
    </row>
    <row r="182" spans="1:16" s="1195" customFormat="1" ht="21" customHeight="1" thickTop="1">
      <c r="A182" s="1203">
        <v>600</v>
      </c>
      <c r="B182" s="1208"/>
      <c r="C182" s="1204" t="s">
        <v>525</v>
      </c>
      <c r="D182" s="1205">
        <f t="shared" si="41"/>
        <v>7100000</v>
      </c>
      <c r="E182" s="1205">
        <f aca="true" t="shared" si="58" ref="E182:P182">E183</f>
        <v>500000</v>
      </c>
      <c r="F182" s="1205">
        <f t="shared" si="58"/>
        <v>500000</v>
      </c>
      <c r="G182" s="1205">
        <f t="shared" si="58"/>
        <v>547590</v>
      </c>
      <c r="H182" s="1205">
        <f t="shared" si="58"/>
        <v>500000</v>
      </c>
      <c r="I182" s="1205">
        <f t="shared" si="58"/>
        <v>500000</v>
      </c>
      <c r="J182" s="1205">
        <f t="shared" si="58"/>
        <v>500000</v>
      </c>
      <c r="K182" s="1205">
        <f t="shared" si="58"/>
        <v>1000000</v>
      </c>
      <c r="L182" s="1205">
        <f t="shared" si="58"/>
        <v>1000000</v>
      </c>
      <c r="M182" s="1205">
        <f t="shared" si="58"/>
        <v>500000</v>
      </c>
      <c r="N182" s="1205">
        <f t="shared" si="58"/>
        <v>500000</v>
      </c>
      <c r="O182" s="1205">
        <f t="shared" si="58"/>
        <v>552410</v>
      </c>
      <c r="P182" s="1205">
        <f t="shared" si="58"/>
        <v>500000</v>
      </c>
    </row>
    <row r="183" spans="1:16" s="324" customFormat="1" ht="21" customHeight="1">
      <c r="A183" s="786"/>
      <c r="B183" s="787">
        <v>60004</v>
      </c>
      <c r="C183" s="653" t="s">
        <v>647</v>
      </c>
      <c r="D183" s="664">
        <f t="shared" si="41"/>
        <v>7100000</v>
      </c>
      <c r="E183" s="664">
        <v>500000</v>
      </c>
      <c r="F183" s="664">
        <v>500000</v>
      </c>
      <c r="G183" s="664">
        <v>547590</v>
      </c>
      <c r="H183" s="664">
        <v>500000</v>
      </c>
      <c r="I183" s="664">
        <v>500000</v>
      </c>
      <c r="J183" s="664">
        <v>500000</v>
      </c>
      <c r="K183" s="664">
        <v>1000000</v>
      </c>
      <c r="L183" s="664">
        <v>1000000</v>
      </c>
      <c r="M183" s="664">
        <v>500000</v>
      </c>
      <c r="N183" s="664">
        <v>500000</v>
      </c>
      <c r="O183" s="664">
        <v>552410</v>
      </c>
      <c r="P183" s="664">
        <v>500000</v>
      </c>
    </row>
    <row r="184" spans="1:17" s="324" customFormat="1" ht="36" customHeight="1">
      <c r="A184" s="1203">
        <v>900</v>
      </c>
      <c r="B184" s="1203"/>
      <c r="C184" s="1204" t="s">
        <v>1109</v>
      </c>
      <c r="D184" s="1205">
        <f t="shared" si="41"/>
        <v>294000</v>
      </c>
      <c r="E184" s="1205"/>
      <c r="F184" s="1205"/>
      <c r="G184" s="1205">
        <f>G185</f>
        <v>30036</v>
      </c>
      <c r="H184" s="1205">
        <f>H185</f>
        <v>19608</v>
      </c>
      <c r="I184" s="1205"/>
      <c r="J184" s="1205">
        <f aca="true" t="shared" si="59" ref="J184:P184">J185</f>
        <v>46881</v>
      </c>
      <c r="K184" s="1205">
        <f t="shared" si="59"/>
        <v>13061</v>
      </c>
      <c r="L184" s="1205">
        <f t="shared" si="59"/>
        <v>51000</v>
      </c>
      <c r="M184" s="1205">
        <f t="shared" si="59"/>
        <v>90000</v>
      </c>
      <c r="N184" s="1205">
        <f t="shared" si="59"/>
        <v>20000</v>
      </c>
      <c r="O184" s="1205">
        <f t="shared" si="59"/>
        <v>20000</v>
      </c>
      <c r="P184" s="1205">
        <f t="shared" si="59"/>
        <v>3414</v>
      </c>
      <c r="Q184" s="1188"/>
    </row>
    <row r="185" spans="1:16" s="1195" customFormat="1" ht="19.5" customHeight="1">
      <c r="A185" s="780"/>
      <c r="B185" s="787">
        <v>90003</v>
      </c>
      <c r="C185" s="653" t="s">
        <v>1111</v>
      </c>
      <c r="D185" s="664">
        <f t="shared" si="41"/>
        <v>294000</v>
      </c>
      <c r="E185" s="664"/>
      <c r="F185" s="664"/>
      <c r="G185" s="664">
        <v>30036</v>
      </c>
      <c r="H185" s="664">
        <v>19608</v>
      </c>
      <c r="I185" s="664"/>
      <c r="J185" s="664">
        <v>46881</v>
      </c>
      <c r="K185" s="664">
        <v>13061</v>
      </c>
      <c r="L185" s="664">
        <v>51000</v>
      </c>
      <c r="M185" s="664">
        <v>90000</v>
      </c>
      <c r="N185" s="664">
        <v>20000</v>
      </c>
      <c r="O185" s="664">
        <v>20000</v>
      </c>
      <c r="P185" s="664">
        <v>3414</v>
      </c>
    </row>
    <row r="186" spans="1:16" s="324" customFormat="1" ht="26.25" customHeight="1">
      <c r="A186" s="816"/>
      <c r="B186" s="1180"/>
      <c r="C186" s="1181" t="s">
        <v>28</v>
      </c>
      <c r="D186" s="1186">
        <f t="shared" si="41"/>
        <v>18750000</v>
      </c>
      <c r="E186" s="1187"/>
      <c r="F186" s="1187">
        <f aca="true" t="shared" si="60" ref="F186:P186">F187</f>
        <v>364986</v>
      </c>
      <c r="G186" s="1187">
        <f t="shared" si="60"/>
        <v>670810</v>
      </c>
      <c r="H186" s="1187">
        <f t="shared" si="60"/>
        <v>250020</v>
      </c>
      <c r="I186" s="1187">
        <f t="shared" si="60"/>
        <v>708678</v>
      </c>
      <c r="J186" s="1187">
        <f t="shared" si="60"/>
        <v>1287927</v>
      </c>
      <c r="K186" s="1187">
        <f t="shared" si="60"/>
        <v>2430100</v>
      </c>
      <c r="L186" s="1187">
        <f t="shared" si="60"/>
        <v>3457017</v>
      </c>
      <c r="M186" s="1187">
        <f t="shared" si="60"/>
        <v>2867064</v>
      </c>
      <c r="N186" s="1187">
        <f t="shared" si="60"/>
        <v>2358910</v>
      </c>
      <c r="O186" s="1187">
        <f t="shared" si="60"/>
        <v>1914100</v>
      </c>
      <c r="P186" s="1187">
        <f t="shared" si="60"/>
        <v>2440388</v>
      </c>
    </row>
    <row r="187" spans="1:16" s="324" customFormat="1" ht="21.75" customHeight="1" thickBot="1">
      <c r="A187" s="818"/>
      <c r="B187" s="818"/>
      <c r="C187" s="645" t="s">
        <v>646</v>
      </c>
      <c r="D187" s="647">
        <f t="shared" si="41"/>
        <v>18750000</v>
      </c>
      <c r="E187" s="647"/>
      <c r="F187" s="647">
        <f aca="true" t="shared" si="61" ref="F187:P187">F188+F192</f>
        <v>364986</v>
      </c>
      <c r="G187" s="647">
        <f t="shared" si="61"/>
        <v>670810</v>
      </c>
      <c r="H187" s="647">
        <f t="shared" si="61"/>
        <v>250020</v>
      </c>
      <c r="I187" s="647">
        <f t="shared" si="61"/>
        <v>708678</v>
      </c>
      <c r="J187" s="647">
        <f t="shared" si="61"/>
        <v>1287927</v>
      </c>
      <c r="K187" s="647">
        <f t="shared" si="61"/>
        <v>2430100</v>
      </c>
      <c r="L187" s="647">
        <f t="shared" si="61"/>
        <v>3457017</v>
      </c>
      <c r="M187" s="647">
        <f t="shared" si="61"/>
        <v>2867064</v>
      </c>
      <c r="N187" s="647">
        <f t="shared" si="61"/>
        <v>2358910</v>
      </c>
      <c r="O187" s="647">
        <f t="shared" si="61"/>
        <v>1914100</v>
      </c>
      <c r="P187" s="647">
        <f t="shared" si="61"/>
        <v>2440388</v>
      </c>
    </row>
    <row r="188" spans="1:16" s="1195" customFormat="1" ht="21" customHeight="1" thickTop="1">
      <c r="A188" s="1203">
        <v>600</v>
      </c>
      <c r="B188" s="1208"/>
      <c r="C188" s="1204" t="s">
        <v>525</v>
      </c>
      <c r="D188" s="1205">
        <f t="shared" si="41"/>
        <v>18200000</v>
      </c>
      <c r="E188" s="1205"/>
      <c r="F188" s="1205">
        <f aca="true" t="shared" si="62" ref="F188:P188">F189+F190+F191</f>
        <v>364986</v>
      </c>
      <c r="G188" s="1205">
        <f t="shared" si="62"/>
        <v>669073</v>
      </c>
      <c r="H188" s="1205">
        <f t="shared" si="62"/>
        <v>235624</v>
      </c>
      <c r="I188" s="1205">
        <f t="shared" si="62"/>
        <v>702648</v>
      </c>
      <c r="J188" s="1205">
        <f t="shared" si="62"/>
        <v>1285900</v>
      </c>
      <c r="K188" s="1205">
        <f t="shared" si="62"/>
        <v>2410100</v>
      </c>
      <c r="L188" s="1205">
        <f t="shared" si="62"/>
        <v>3107017</v>
      </c>
      <c r="M188" s="1205">
        <f t="shared" si="62"/>
        <v>2855064</v>
      </c>
      <c r="N188" s="1205">
        <f t="shared" si="62"/>
        <v>2305100</v>
      </c>
      <c r="O188" s="1205">
        <f t="shared" si="62"/>
        <v>1824100</v>
      </c>
      <c r="P188" s="1205">
        <f t="shared" si="62"/>
        <v>2440388</v>
      </c>
    </row>
    <row r="189" spans="1:16" s="324" customFormat="1" ht="28.5" customHeight="1">
      <c r="A189" s="786"/>
      <c r="B189" s="787">
        <v>60015</v>
      </c>
      <c r="C189" s="653" t="s">
        <v>1113</v>
      </c>
      <c r="D189" s="664">
        <f t="shared" si="41"/>
        <v>11900000</v>
      </c>
      <c r="E189" s="664"/>
      <c r="F189" s="664">
        <v>238672</v>
      </c>
      <c r="G189" s="664">
        <v>514017</v>
      </c>
      <c r="H189" s="664">
        <v>161843</v>
      </c>
      <c r="I189" s="664">
        <v>372051</v>
      </c>
      <c r="J189" s="664">
        <v>781500</v>
      </c>
      <c r="K189" s="664">
        <v>1644500</v>
      </c>
      <c r="L189" s="664">
        <v>1916417</v>
      </c>
      <c r="M189" s="664">
        <v>1538500</v>
      </c>
      <c r="N189" s="664">
        <v>1511500</v>
      </c>
      <c r="O189" s="664">
        <v>1234500</v>
      </c>
      <c r="P189" s="664">
        <v>1986500</v>
      </c>
    </row>
    <row r="190" spans="1:16" s="324" customFormat="1" ht="21" customHeight="1">
      <c r="A190" s="786"/>
      <c r="B190" s="1146">
        <v>60016</v>
      </c>
      <c r="C190" s="668" t="s">
        <v>1114</v>
      </c>
      <c r="D190" s="748">
        <f t="shared" si="41"/>
        <v>5150000</v>
      </c>
      <c r="E190" s="748"/>
      <c r="F190" s="748">
        <v>124944</v>
      </c>
      <c r="G190" s="748">
        <v>141896</v>
      </c>
      <c r="H190" s="748">
        <v>63150</v>
      </c>
      <c r="I190" s="748">
        <v>269046</v>
      </c>
      <c r="J190" s="748">
        <v>354400</v>
      </c>
      <c r="K190" s="748">
        <v>688600</v>
      </c>
      <c r="L190" s="748">
        <v>1091600</v>
      </c>
      <c r="M190" s="748">
        <v>1137564</v>
      </c>
      <c r="N190" s="748">
        <v>619600</v>
      </c>
      <c r="O190" s="748">
        <v>382600</v>
      </c>
      <c r="P190" s="748">
        <v>276600</v>
      </c>
    </row>
    <row r="191" spans="1:16" s="324" customFormat="1" ht="21" customHeight="1">
      <c r="A191" s="787"/>
      <c r="B191" s="787">
        <v>60017</v>
      </c>
      <c r="C191" s="653" t="s">
        <v>481</v>
      </c>
      <c r="D191" s="748">
        <f t="shared" si="41"/>
        <v>1150000</v>
      </c>
      <c r="E191" s="664"/>
      <c r="F191" s="664">
        <v>1370</v>
      </c>
      <c r="G191" s="664">
        <v>13160</v>
      </c>
      <c r="H191" s="664">
        <v>10631</v>
      </c>
      <c r="I191" s="664">
        <v>61551</v>
      </c>
      <c r="J191" s="664">
        <v>150000</v>
      </c>
      <c r="K191" s="664">
        <v>77000</v>
      </c>
      <c r="L191" s="664">
        <v>99000</v>
      </c>
      <c r="M191" s="664">
        <v>179000</v>
      </c>
      <c r="N191" s="664">
        <v>174000</v>
      </c>
      <c r="O191" s="664">
        <v>207000</v>
      </c>
      <c r="P191" s="664">
        <v>177288</v>
      </c>
    </row>
    <row r="192" spans="1:17" s="324" customFormat="1" ht="36" customHeight="1">
      <c r="A192" s="1203">
        <v>900</v>
      </c>
      <c r="B192" s="1203"/>
      <c r="C192" s="1204" t="s">
        <v>1109</v>
      </c>
      <c r="D192" s="1205">
        <f t="shared" si="41"/>
        <v>550000</v>
      </c>
      <c r="E192" s="1205"/>
      <c r="F192" s="1205"/>
      <c r="G192" s="1205">
        <f aca="true" t="shared" si="63" ref="G192:O192">G193+G194</f>
        <v>1737</v>
      </c>
      <c r="H192" s="1205">
        <f t="shared" si="63"/>
        <v>14396</v>
      </c>
      <c r="I192" s="1205">
        <f t="shared" si="63"/>
        <v>6030</v>
      </c>
      <c r="J192" s="1205">
        <f t="shared" si="63"/>
        <v>2027</v>
      </c>
      <c r="K192" s="1205">
        <f t="shared" si="63"/>
        <v>20000</v>
      </c>
      <c r="L192" s="1205">
        <f t="shared" si="63"/>
        <v>350000</v>
      </c>
      <c r="M192" s="1205">
        <f t="shared" si="63"/>
        <v>12000</v>
      </c>
      <c r="N192" s="1205">
        <f t="shared" si="63"/>
        <v>53810</v>
      </c>
      <c r="O192" s="1205">
        <f t="shared" si="63"/>
        <v>90000</v>
      </c>
      <c r="P192" s="1205"/>
      <c r="Q192" s="1188"/>
    </row>
    <row r="193" spans="1:16" s="1195" customFormat="1" ht="19.5" customHeight="1">
      <c r="A193" s="780"/>
      <c r="B193" s="787">
        <v>90001</v>
      </c>
      <c r="C193" s="653" t="s">
        <v>1110</v>
      </c>
      <c r="D193" s="664">
        <f t="shared" si="41"/>
        <v>500000</v>
      </c>
      <c r="E193" s="664"/>
      <c r="F193" s="664"/>
      <c r="G193" s="664"/>
      <c r="H193" s="664"/>
      <c r="I193" s="664"/>
      <c r="J193" s="1189"/>
      <c r="K193" s="664">
        <v>10000</v>
      </c>
      <c r="L193" s="664">
        <v>350000</v>
      </c>
      <c r="M193" s="664"/>
      <c r="N193" s="664">
        <v>50000</v>
      </c>
      <c r="O193" s="664">
        <v>90000</v>
      </c>
      <c r="P193" s="664"/>
    </row>
    <row r="194" spans="1:16" s="1195" customFormat="1" ht="19.5" customHeight="1">
      <c r="A194" s="780"/>
      <c r="B194" s="787">
        <v>90015</v>
      </c>
      <c r="C194" s="653" t="s">
        <v>1002</v>
      </c>
      <c r="D194" s="748">
        <f t="shared" si="41"/>
        <v>50000</v>
      </c>
      <c r="E194" s="664"/>
      <c r="F194" s="664"/>
      <c r="G194" s="664">
        <v>1737</v>
      </c>
      <c r="H194" s="664">
        <v>14396</v>
      </c>
      <c r="I194" s="664">
        <v>6030</v>
      </c>
      <c r="J194" s="664">
        <v>2027</v>
      </c>
      <c r="K194" s="664">
        <v>10000</v>
      </c>
      <c r="L194" s="664"/>
      <c r="M194" s="664">
        <v>12000</v>
      </c>
      <c r="N194" s="664">
        <v>3810</v>
      </c>
      <c r="O194" s="664"/>
      <c r="P194" s="664"/>
    </row>
    <row r="195" spans="1:16" s="324" customFormat="1" ht="27.75" customHeight="1">
      <c r="A195" s="786"/>
      <c r="B195" s="786"/>
      <c r="C195" s="640" t="s">
        <v>29</v>
      </c>
      <c r="D195" s="1190">
        <f t="shared" si="41"/>
        <v>600000</v>
      </c>
      <c r="E195" s="1190">
        <f aca="true" t="shared" si="64" ref="E195:P197">E196</f>
        <v>25791</v>
      </c>
      <c r="F195" s="1190">
        <f t="shared" si="64"/>
        <v>25791</v>
      </c>
      <c r="G195" s="1190">
        <f t="shared" si="64"/>
        <v>25790</v>
      </c>
      <c r="H195" s="1190">
        <f t="shared" si="64"/>
        <v>25791</v>
      </c>
      <c r="I195" s="1190">
        <f t="shared" si="64"/>
        <v>28091</v>
      </c>
      <c r="J195" s="1190">
        <f t="shared" si="64"/>
        <v>23491</v>
      </c>
      <c r="K195" s="1190">
        <f t="shared" si="64"/>
        <v>157000</v>
      </c>
      <c r="L195" s="1190">
        <f t="shared" si="64"/>
        <v>57000</v>
      </c>
      <c r="M195" s="1190">
        <f t="shared" si="64"/>
        <v>57000</v>
      </c>
      <c r="N195" s="1190">
        <f t="shared" si="64"/>
        <v>57000</v>
      </c>
      <c r="O195" s="1190">
        <f t="shared" si="64"/>
        <v>58628</v>
      </c>
      <c r="P195" s="1190">
        <f t="shared" si="64"/>
        <v>58627</v>
      </c>
    </row>
    <row r="196" spans="1:16" s="324" customFormat="1" ht="19.5" customHeight="1" thickBot="1">
      <c r="A196" s="787"/>
      <c r="B196" s="787"/>
      <c r="C196" s="739" t="s">
        <v>646</v>
      </c>
      <c r="D196" s="725">
        <f t="shared" si="41"/>
        <v>600000</v>
      </c>
      <c r="E196" s="725">
        <f t="shared" si="64"/>
        <v>25791</v>
      </c>
      <c r="F196" s="725">
        <f t="shared" si="64"/>
        <v>25791</v>
      </c>
      <c r="G196" s="725">
        <f t="shared" si="64"/>
        <v>25790</v>
      </c>
      <c r="H196" s="725">
        <f t="shared" si="64"/>
        <v>25791</v>
      </c>
      <c r="I196" s="725">
        <f t="shared" si="64"/>
        <v>28091</v>
      </c>
      <c r="J196" s="725">
        <f t="shared" si="64"/>
        <v>23491</v>
      </c>
      <c r="K196" s="725">
        <f t="shared" si="64"/>
        <v>157000</v>
      </c>
      <c r="L196" s="725">
        <f t="shared" si="64"/>
        <v>57000</v>
      </c>
      <c r="M196" s="725">
        <f t="shared" si="64"/>
        <v>57000</v>
      </c>
      <c r="N196" s="725">
        <f t="shared" si="64"/>
        <v>57000</v>
      </c>
      <c r="O196" s="725">
        <f t="shared" si="64"/>
        <v>58628</v>
      </c>
      <c r="P196" s="725">
        <f t="shared" si="64"/>
        <v>58627</v>
      </c>
    </row>
    <row r="197" spans="1:16" s="324" customFormat="1" ht="37.5" customHeight="1" thickTop="1">
      <c r="A197" s="1197">
        <v>900</v>
      </c>
      <c r="B197" s="1197"/>
      <c r="C197" s="801" t="s">
        <v>1109</v>
      </c>
      <c r="D197" s="1198">
        <f t="shared" si="41"/>
        <v>600000</v>
      </c>
      <c r="E197" s="1198">
        <f t="shared" si="64"/>
        <v>25791</v>
      </c>
      <c r="F197" s="1198">
        <f t="shared" si="64"/>
        <v>25791</v>
      </c>
      <c r="G197" s="1198">
        <f t="shared" si="64"/>
        <v>25790</v>
      </c>
      <c r="H197" s="1198">
        <f t="shared" si="64"/>
        <v>25791</v>
      </c>
      <c r="I197" s="1198">
        <f t="shared" si="64"/>
        <v>28091</v>
      </c>
      <c r="J197" s="1198">
        <f t="shared" si="64"/>
        <v>23491</v>
      </c>
      <c r="K197" s="1198">
        <f t="shared" si="64"/>
        <v>157000</v>
      </c>
      <c r="L197" s="1198">
        <f t="shared" si="64"/>
        <v>57000</v>
      </c>
      <c r="M197" s="1198">
        <f t="shared" si="64"/>
        <v>57000</v>
      </c>
      <c r="N197" s="1198">
        <f t="shared" si="64"/>
        <v>57000</v>
      </c>
      <c r="O197" s="1198">
        <f t="shared" si="64"/>
        <v>58628</v>
      </c>
      <c r="P197" s="1198">
        <f t="shared" si="64"/>
        <v>58627</v>
      </c>
    </row>
    <row r="198" spans="1:16" s="1195" customFormat="1" ht="22.5" customHeight="1">
      <c r="A198" s="780"/>
      <c r="B198" s="787">
        <v>90013</v>
      </c>
      <c r="C198" s="653" t="s">
        <v>1001</v>
      </c>
      <c r="D198" s="664">
        <f t="shared" si="41"/>
        <v>600000</v>
      </c>
      <c r="E198" s="664">
        <v>25791</v>
      </c>
      <c r="F198" s="664">
        <v>25791</v>
      </c>
      <c r="G198" s="664">
        <v>25790</v>
      </c>
      <c r="H198" s="664">
        <v>25791</v>
      </c>
      <c r="I198" s="664">
        <v>28091</v>
      </c>
      <c r="J198" s="664">
        <v>23491</v>
      </c>
      <c r="K198" s="664">
        <v>157000</v>
      </c>
      <c r="L198" s="664">
        <v>57000</v>
      </c>
      <c r="M198" s="664">
        <v>57000</v>
      </c>
      <c r="N198" s="664">
        <v>57000</v>
      </c>
      <c r="O198" s="664">
        <v>58628</v>
      </c>
      <c r="P198" s="664">
        <v>58627</v>
      </c>
    </row>
    <row r="199" spans="1:16" s="324" customFormat="1" ht="26.25" customHeight="1">
      <c r="A199" s="786"/>
      <c r="B199" s="786"/>
      <c r="C199" s="640" t="s">
        <v>30</v>
      </c>
      <c r="D199" s="1190">
        <f t="shared" si="41"/>
        <v>-105908482</v>
      </c>
      <c r="E199" s="1190">
        <f>E200+E240+E243</f>
        <v>-4536085</v>
      </c>
      <c r="F199" s="1190">
        <f aca="true" t="shared" si="65" ref="F199:P199">F200+F240+F243</f>
        <v>-7702481</v>
      </c>
      <c r="G199" s="1190">
        <f t="shared" si="65"/>
        <v>-6172806</v>
      </c>
      <c r="H199" s="1190">
        <f t="shared" si="65"/>
        <v>-7249787</v>
      </c>
      <c r="I199" s="1190">
        <f t="shared" si="65"/>
        <v>-8444477</v>
      </c>
      <c r="J199" s="1190">
        <f t="shared" si="65"/>
        <v>-11851398</v>
      </c>
      <c r="K199" s="1190">
        <f t="shared" si="65"/>
        <v>-8382855</v>
      </c>
      <c r="L199" s="1190">
        <f t="shared" si="65"/>
        <v>-8791909</v>
      </c>
      <c r="M199" s="1190">
        <f t="shared" si="65"/>
        <v>-14021809</v>
      </c>
      <c r="N199" s="1190">
        <f t="shared" si="65"/>
        <v>-12210001</v>
      </c>
      <c r="O199" s="1190">
        <f t="shared" si="65"/>
        <v>-7178055</v>
      </c>
      <c r="P199" s="1190">
        <f t="shared" si="65"/>
        <v>-9366819</v>
      </c>
    </row>
    <row r="200" spans="1:16" s="324" customFormat="1" ht="19.5" customHeight="1" thickBot="1">
      <c r="A200" s="787"/>
      <c r="B200" s="787"/>
      <c r="C200" s="739" t="s">
        <v>646</v>
      </c>
      <c r="D200" s="725">
        <f t="shared" si="41"/>
        <v>-103483142</v>
      </c>
      <c r="E200" s="725">
        <f aca="true" t="shared" si="66" ref="E200:P200">E201+E203+E209+E217+E219+E224+E228+E236+E238+E234+E206</f>
        <v>-4137885</v>
      </c>
      <c r="F200" s="725">
        <f t="shared" si="66"/>
        <v>-7303281</v>
      </c>
      <c r="G200" s="725">
        <f t="shared" si="66"/>
        <v>-5765965</v>
      </c>
      <c r="H200" s="725">
        <f t="shared" si="66"/>
        <v>-6848040</v>
      </c>
      <c r="I200" s="725">
        <f t="shared" si="66"/>
        <v>-8043465</v>
      </c>
      <c r="J200" s="725">
        <f t="shared" si="66"/>
        <v>-11438558</v>
      </c>
      <c r="K200" s="725">
        <f t="shared" si="66"/>
        <v>-8381965</v>
      </c>
      <c r="L200" s="725">
        <f t="shared" si="66"/>
        <v>-8791019</v>
      </c>
      <c r="M200" s="725">
        <f t="shared" si="66"/>
        <v>-14020919</v>
      </c>
      <c r="N200" s="725">
        <f t="shared" si="66"/>
        <v>-12209111</v>
      </c>
      <c r="O200" s="725">
        <f t="shared" si="66"/>
        <v>-7177165</v>
      </c>
      <c r="P200" s="725">
        <f t="shared" si="66"/>
        <v>-9365769</v>
      </c>
    </row>
    <row r="201" spans="1:16" s="324" customFormat="1" ht="19.5" customHeight="1" thickTop="1">
      <c r="A201" s="1197">
        <v>700</v>
      </c>
      <c r="B201" s="1197"/>
      <c r="C201" s="801" t="s">
        <v>433</v>
      </c>
      <c r="D201" s="1198">
        <f t="shared" si="41"/>
        <v>-4800</v>
      </c>
      <c r="E201" s="1198">
        <f aca="true" t="shared" si="67" ref="E201:P201">E202</f>
        <v>-400</v>
      </c>
      <c r="F201" s="1198">
        <f t="shared" si="67"/>
        <v>-400</v>
      </c>
      <c r="G201" s="1198">
        <f t="shared" si="67"/>
        <v>-400</v>
      </c>
      <c r="H201" s="1198">
        <f t="shared" si="67"/>
        <v>-400</v>
      </c>
      <c r="I201" s="1198">
        <f t="shared" si="67"/>
        <v>-400</v>
      </c>
      <c r="J201" s="1198">
        <f t="shared" si="67"/>
        <v>-400</v>
      </c>
      <c r="K201" s="1198">
        <f t="shared" si="67"/>
        <v>-400</v>
      </c>
      <c r="L201" s="1198">
        <f t="shared" si="67"/>
        <v>-400</v>
      </c>
      <c r="M201" s="1198">
        <f t="shared" si="67"/>
        <v>-400</v>
      </c>
      <c r="N201" s="1198">
        <f t="shared" si="67"/>
        <v>-400</v>
      </c>
      <c r="O201" s="1198">
        <f t="shared" si="67"/>
        <v>-400</v>
      </c>
      <c r="P201" s="1198">
        <f t="shared" si="67"/>
        <v>-400</v>
      </c>
    </row>
    <row r="202" spans="1:16" s="324" customFormat="1" ht="19.5" customHeight="1">
      <c r="A202" s="786"/>
      <c r="B202" s="787">
        <v>70005</v>
      </c>
      <c r="C202" s="653" t="s">
        <v>435</v>
      </c>
      <c r="D202" s="664">
        <f t="shared" si="41"/>
        <v>-4800</v>
      </c>
      <c r="E202" s="664">
        <v>-400</v>
      </c>
      <c r="F202" s="664">
        <v>-400</v>
      </c>
      <c r="G202" s="664">
        <v>-400</v>
      </c>
      <c r="H202" s="664">
        <v>-400</v>
      </c>
      <c r="I202" s="664">
        <v>-400</v>
      </c>
      <c r="J202" s="664">
        <v>-400</v>
      </c>
      <c r="K202" s="664">
        <v>-400</v>
      </c>
      <c r="L202" s="664">
        <v>-400</v>
      </c>
      <c r="M202" s="664">
        <v>-400</v>
      </c>
      <c r="N202" s="664">
        <v>-400</v>
      </c>
      <c r="O202" s="664">
        <v>-400</v>
      </c>
      <c r="P202" s="664">
        <v>-400</v>
      </c>
    </row>
    <row r="203" spans="1:16" s="324" customFormat="1" ht="19.5" customHeight="1">
      <c r="A203" s="1203">
        <v>750</v>
      </c>
      <c r="B203" s="1197"/>
      <c r="C203" s="801" t="s">
        <v>439</v>
      </c>
      <c r="D203" s="1198">
        <f t="shared" si="41"/>
        <v>-65708000</v>
      </c>
      <c r="E203" s="1198">
        <f aca="true" t="shared" si="68" ref="E203:P203">E204+E205</f>
        <v>-4109815</v>
      </c>
      <c r="F203" s="1198">
        <f t="shared" si="68"/>
        <v>-7269131</v>
      </c>
      <c r="G203" s="1198">
        <f t="shared" si="68"/>
        <v>-4666815</v>
      </c>
      <c r="H203" s="1198">
        <f t="shared" si="68"/>
        <v>-5233890</v>
      </c>
      <c r="I203" s="1198">
        <f t="shared" si="68"/>
        <v>-5367315</v>
      </c>
      <c r="J203" s="1198">
        <f t="shared" si="68"/>
        <v>-5515815</v>
      </c>
      <c r="K203" s="1198">
        <f t="shared" si="68"/>
        <v>-5167815</v>
      </c>
      <c r="L203" s="1198">
        <f t="shared" si="68"/>
        <v>-5721815</v>
      </c>
      <c r="M203" s="1198">
        <f t="shared" si="68"/>
        <v>-6154940</v>
      </c>
      <c r="N203" s="1198">
        <f t="shared" si="68"/>
        <v>-5119815</v>
      </c>
      <c r="O203" s="1198">
        <f t="shared" si="68"/>
        <v>-5319815</v>
      </c>
      <c r="P203" s="1198">
        <f t="shared" si="68"/>
        <v>-6061019</v>
      </c>
    </row>
    <row r="204" spans="1:16" s="324" customFormat="1" ht="19.5" customHeight="1">
      <c r="A204" s="786"/>
      <c r="B204" s="787">
        <v>75022</v>
      </c>
      <c r="C204" s="653" t="s">
        <v>440</v>
      </c>
      <c r="D204" s="664">
        <f t="shared" si="41"/>
        <v>-390000</v>
      </c>
      <c r="E204" s="664">
        <v>-29815</v>
      </c>
      <c r="F204" s="664">
        <v>-29831</v>
      </c>
      <c r="G204" s="664">
        <v>-29815</v>
      </c>
      <c r="H204" s="664">
        <v>-46890</v>
      </c>
      <c r="I204" s="664">
        <v>-29815</v>
      </c>
      <c r="J204" s="664">
        <v>-37815</v>
      </c>
      <c r="K204" s="664">
        <v>-29815</v>
      </c>
      <c r="L204" s="664">
        <v>-29815</v>
      </c>
      <c r="M204" s="664">
        <v>-36940</v>
      </c>
      <c r="N204" s="664">
        <v>-29815</v>
      </c>
      <c r="O204" s="664">
        <v>-29815</v>
      </c>
      <c r="P204" s="664">
        <v>-29819</v>
      </c>
    </row>
    <row r="205" spans="1:16" s="324" customFormat="1" ht="19.5" customHeight="1">
      <c r="A205" s="787"/>
      <c r="B205" s="787">
        <v>75023</v>
      </c>
      <c r="C205" s="653" t="s">
        <v>1061</v>
      </c>
      <c r="D205" s="664">
        <f t="shared" si="41"/>
        <v>-65318000</v>
      </c>
      <c r="E205" s="664">
        <v>-4080000</v>
      </c>
      <c r="F205" s="664">
        <v>-7239300</v>
      </c>
      <c r="G205" s="664">
        <v>-4637000</v>
      </c>
      <c r="H205" s="664">
        <v>-5187000</v>
      </c>
      <c r="I205" s="664">
        <v>-5337500</v>
      </c>
      <c r="J205" s="664">
        <v>-5478000</v>
      </c>
      <c r="K205" s="664">
        <v>-5138000</v>
      </c>
      <c r="L205" s="664">
        <v>-5692000</v>
      </c>
      <c r="M205" s="664">
        <f>-5118000-1000000</f>
        <v>-6118000</v>
      </c>
      <c r="N205" s="664">
        <v>-5090000</v>
      </c>
      <c r="O205" s="664">
        <v>-5290000</v>
      </c>
      <c r="P205" s="664">
        <v>-6031200</v>
      </c>
    </row>
    <row r="206" spans="1:16" s="324" customFormat="1" ht="31.5">
      <c r="A206" s="1199" t="s">
        <v>954</v>
      </c>
      <c r="B206" s="1197"/>
      <c r="C206" s="801" t="s">
        <v>441</v>
      </c>
      <c r="D206" s="1198">
        <f aca="true" t="shared" si="69" ref="D206:D245">SUM(E206:P206)</f>
        <v>-58000</v>
      </c>
      <c r="E206" s="1202"/>
      <c r="F206" s="1202"/>
      <c r="G206" s="1202"/>
      <c r="H206" s="1202"/>
      <c r="I206" s="1202">
        <f>I207</f>
        <v>-38000</v>
      </c>
      <c r="J206" s="1202"/>
      <c r="K206" s="1202"/>
      <c r="L206" s="1202"/>
      <c r="M206" s="1202">
        <f>M208</f>
        <v>-20000</v>
      </c>
      <c r="N206" s="1202"/>
      <c r="O206" s="1202"/>
      <c r="P206" s="1202"/>
    </row>
    <row r="207" spans="1:16" s="324" customFormat="1" ht="21.75" customHeight="1">
      <c r="A207" s="1184"/>
      <c r="B207" s="787">
        <v>75412</v>
      </c>
      <c r="C207" s="653" t="s">
        <v>443</v>
      </c>
      <c r="D207" s="664">
        <f t="shared" si="69"/>
        <v>-38000</v>
      </c>
      <c r="E207" s="822"/>
      <c r="F207" s="822"/>
      <c r="G207" s="822"/>
      <c r="H207" s="822"/>
      <c r="I207" s="822">
        <v>-38000</v>
      </c>
      <c r="J207" s="822"/>
      <c r="K207" s="822"/>
      <c r="L207" s="822"/>
      <c r="M207" s="822"/>
      <c r="N207" s="822"/>
      <c r="O207" s="822"/>
      <c r="P207" s="822"/>
    </row>
    <row r="208" spans="1:16" s="324" customFormat="1" ht="21.75" customHeight="1">
      <c r="A208" s="1178"/>
      <c r="B208" s="787">
        <v>75495</v>
      </c>
      <c r="C208" s="653" t="s">
        <v>100</v>
      </c>
      <c r="D208" s="664">
        <f>SUM(E208:P208)</f>
        <v>-20000</v>
      </c>
      <c r="E208" s="822"/>
      <c r="F208" s="822"/>
      <c r="G208" s="822"/>
      <c r="H208" s="822"/>
      <c r="I208" s="822"/>
      <c r="J208" s="822"/>
      <c r="K208" s="822"/>
      <c r="L208" s="822"/>
      <c r="M208" s="822">
        <v>-20000</v>
      </c>
      <c r="N208" s="822"/>
      <c r="O208" s="822"/>
      <c r="P208" s="822"/>
    </row>
    <row r="209" spans="1:16" s="324" customFormat="1" ht="21.75" customHeight="1">
      <c r="A209" s="1203">
        <v>801</v>
      </c>
      <c r="B209" s="1197"/>
      <c r="C209" s="801" t="s">
        <v>448</v>
      </c>
      <c r="D209" s="1198">
        <f t="shared" si="69"/>
        <v>-28736398</v>
      </c>
      <c r="E209" s="1198">
        <f aca="true" t="shared" si="70" ref="E209:P209">E210+E211+E213+E214+E215+E216+E212</f>
        <v>-13820</v>
      </c>
      <c r="F209" s="1198">
        <f t="shared" si="70"/>
        <v>-30000</v>
      </c>
      <c r="G209" s="1198">
        <f t="shared" si="70"/>
        <v>-1050000</v>
      </c>
      <c r="H209" s="1198">
        <f t="shared" si="70"/>
        <v>-1010000</v>
      </c>
      <c r="I209" s="1198">
        <f t="shared" si="70"/>
        <v>-2054000</v>
      </c>
      <c r="J209" s="1198">
        <f t="shared" si="70"/>
        <v>-4510000</v>
      </c>
      <c r="K209" s="1198">
        <f t="shared" si="70"/>
        <v>-2010000</v>
      </c>
      <c r="L209" s="1198">
        <f t="shared" si="70"/>
        <v>-2775632</v>
      </c>
      <c r="M209" s="1198">
        <f t="shared" si="70"/>
        <v>-5645000</v>
      </c>
      <c r="N209" s="1198">
        <f t="shared" si="70"/>
        <v>-6234946</v>
      </c>
      <c r="O209" s="1198">
        <f t="shared" si="70"/>
        <v>-803000</v>
      </c>
      <c r="P209" s="1198">
        <f t="shared" si="70"/>
        <v>-2600000</v>
      </c>
    </row>
    <row r="210" spans="1:16" s="324" customFormat="1" ht="21.75" customHeight="1">
      <c r="A210" s="786"/>
      <c r="B210" s="652">
        <v>80101</v>
      </c>
      <c r="C210" s="653" t="s">
        <v>449</v>
      </c>
      <c r="D210" s="664">
        <f t="shared" si="69"/>
        <v>-16126572</v>
      </c>
      <c r="E210" s="664">
        <v>-13820</v>
      </c>
      <c r="F210" s="664">
        <v>-30000</v>
      </c>
      <c r="G210" s="664">
        <v>-535000</v>
      </c>
      <c r="H210" s="664">
        <v>-1000000</v>
      </c>
      <c r="I210" s="664">
        <v>-2000000</v>
      </c>
      <c r="J210" s="664">
        <v>-2000000</v>
      </c>
      <c r="K210" s="664">
        <v>-1700000</v>
      </c>
      <c r="L210" s="664">
        <f>-2200000-20000</f>
        <v>-2220000</v>
      </c>
      <c r="M210" s="664">
        <f>-2200000-20000</f>
        <v>-2220000</v>
      </c>
      <c r="N210" s="664">
        <f>-2864752-20000+17000</f>
        <v>-2867752</v>
      </c>
      <c r="O210" s="664">
        <v>-20000</v>
      </c>
      <c r="P210" s="664">
        <v>-1520000</v>
      </c>
    </row>
    <row r="211" spans="1:16" s="324" customFormat="1" ht="21.75" customHeight="1">
      <c r="A211" s="786"/>
      <c r="B211" s="652">
        <v>80104</v>
      </c>
      <c r="C211" s="653" t="s">
        <v>725</v>
      </c>
      <c r="D211" s="664">
        <f t="shared" si="69"/>
        <v>-300000</v>
      </c>
      <c r="E211" s="664"/>
      <c r="F211" s="664"/>
      <c r="G211" s="664"/>
      <c r="H211" s="664"/>
      <c r="I211" s="664"/>
      <c r="J211" s="664"/>
      <c r="K211" s="664"/>
      <c r="L211" s="664">
        <f>-200000-20000</f>
        <v>-220000</v>
      </c>
      <c r="M211" s="664">
        <v>-20000</v>
      </c>
      <c r="N211" s="664">
        <v>-20000</v>
      </c>
      <c r="O211" s="664">
        <v>-20000</v>
      </c>
      <c r="P211" s="664">
        <v>-20000</v>
      </c>
    </row>
    <row r="212" spans="1:16" s="324" customFormat="1" ht="21.75" customHeight="1">
      <c r="A212" s="786"/>
      <c r="B212" s="652">
        <v>80105</v>
      </c>
      <c r="C212" s="653" t="s">
        <v>248</v>
      </c>
      <c r="D212" s="664">
        <f t="shared" si="69"/>
        <v>-50000</v>
      </c>
      <c r="E212" s="664"/>
      <c r="F212" s="664"/>
      <c r="G212" s="664"/>
      <c r="H212" s="664"/>
      <c r="I212" s="664">
        <v>-50000</v>
      </c>
      <c r="J212" s="664"/>
      <c r="K212" s="664"/>
      <c r="L212" s="664"/>
      <c r="M212" s="664"/>
      <c r="N212" s="664"/>
      <c r="O212" s="664"/>
      <c r="P212" s="664"/>
    </row>
    <row r="213" spans="1:16" s="324" customFormat="1" ht="21.75" customHeight="1">
      <c r="A213" s="786"/>
      <c r="B213" s="652">
        <v>80110</v>
      </c>
      <c r="C213" s="653" t="s">
        <v>450</v>
      </c>
      <c r="D213" s="664">
        <f t="shared" si="69"/>
        <v>-3257360</v>
      </c>
      <c r="E213" s="664"/>
      <c r="F213" s="664"/>
      <c r="G213" s="664">
        <v>-15000</v>
      </c>
      <c r="H213" s="664"/>
      <c r="I213" s="664"/>
      <c r="J213" s="664"/>
      <c r="K213" s="664"/>
      <c r="L213" s="664">
        <f>-266360-20000</f>
        <v>-286360</v>
      </c>
      <c r="M213" s="664">
        <f>-565000-20000</f>
        <v>-585000</v>
      </c>
      <c r="N213" s="664">
        <f>-200000-1131000</f>
        <v>-1331000</v>
      </c>
      <c r="O213" s="664">
        <v>-20000</v>
      </c>
      <c r="P213" s="664">
        <v>-1020000</v>
      </c>
    </row>
    <row r="214" spans="1:16" s="324" customFormat="1" ht="21.75" customHeight="1">
      <c r="A214" s="786"/>
      <c r="B214" s="652">
        <v>80120</v>
      </c>
      <c r="C214" s="653" t="s">
        <v>814</v>
      </c>
      <c r="D214" s="664">
        <f t="shared" si="69"/>
        <v>-889272</v>
      </c>
      <c r="E214" s="664"/>
      <c r="F214" s="664"/>
      <c r="G214" s="664"/>
      <c r="H214" s="664"/>
      <c r="I214" s="664"/>
      <c r="J214" s="664"/>
      <c r="K214" s="664">
        <f>-300000</f>
        <v>-300000</v>
      </c>
      <c r="L214" s="664">
        <f>-118000+108728-20000</f>
        <v>-29272</v>
      </c>
      <c r="M214" s="664">
        <f>-280000-20000</f>
        <v>-300000</v>
      </c>
      <c r="N214" s="664">
        <f>-200000-20000</f>
        <v>-220000</v>
      </c>
      <c r="O214" s="664">
        <v>-20000</v>
      </c>
      <c r="P214" s="664">
        <v>-20000</v>
      </c>
    </row>
    <row r="215" spans="1:16" s="324" customFormat="1" ht="21.75" customHeight="1">
      <c r="A215" s="786"/>
      <c r="B215" s="652">
        <v>80130</v>
      </c>
      <c r="C215" s="653" t="s">
        <v>494</v>
      </c>
      <c r="D215" s="664">
        <f t="shared" si="69"/>
        <v>-7579194</v>
      </c>
      <c r="E215" s="664"/>
      <c r="F215" s="664"/>
      <c r="G215" s="664">
        <v>-500000</v>
      </c>
      <c r="H215" s="664"/>
      <c r="I215" s="664"/>
      <c r="J215" s="664">
        <v>-2500000</v>
      </c>
      <c r="K215" s="664"/>
      <c r="L215" s="664">
        <f>-203992-20000+203992</f>
        <v>-20000</v>
      </c>
      <c r="M215" s="664">
        <f>-2500000-20000</f>
        <v>-2520000</v>
      </c>
      <c r="N215" s="664">
        <f>-1776194-20000</f>
        <v>-1796194</v>
      </c>
      <c r="O215" s="664">
        <f>-20000-203000</f>
        <v>-223000</v>
      </c>
      <c r="P215" s="664">
        <v>-20000</v>
      </c>
    </row>
    <row r="216" spans="1:16" s="324" customFormat="1" ht="35.25" customHeight="1">
      <c r="A216" s="787"/>
      <c r="B216" s="652">
        <v>80140</v>
      </c>
      <c r="C216" s="653" t="s">
        <v>43</v>
      </c>
      <c r="D216" s="664">
        <f t="shared" si="69"/>
        <v>-534000</v>
      </c>
      <c r="E216" s="664"/>
      <c r="F216" s="664"/>
      <c r="G216" s="664"/>
      <c r="H216" s="664">
        <v>-10000</v>
      </c>
      <c r="I216" s="664">
        <v>-4000</v>
      </c>
      <c r="J216" s="664">
        <v>-10000</v>
      </c>
      <c r="K216" s="664">
        <v>-10000</v>
      </c>
      <c r="L216" s="664"/>
      <c r="M216" s="664"/>
      <c r="N216" s="664"/>
      <c r="O216" s="664">
        <v>-500000</v>
      </c>
      <c r="P216" s="664"/>
    </row>
    <row r="217" spans="1:16" s="324" customFormat="1" ht="22.5" customHeight="1">
      <c r="A217" s="1203">
        <v>851</v>
      </c>
      <c r="B217" s="1203"/>
      <c r="C217" s="1204" t="s">
        <v>106</v>
      </c>
      <c r="D217" s="1205">
        <f t="shared" si="69"/>
        <v>-1026000</v>
      </c>
      <c r="E217" s="1205">
        <f aca="true" t="shared" si="71" ref="E217:P217">E218</f>
        <v>-2150</v>
      </c>
      <c r="F217" s="1205">
        <f t="shared" si="71"/>
        <v>-2150</v>
      </c>
      <c r="G217" s="1205">
        <f t="shared" si="71"/>
        <v>-2150</v>
      </c>
      <c r="H217" s="1205">
        <f t="shared" si="71"/>
        <v>-402150</v>
      </c>
      <c r="I217" s="1205">
        <f t="shared" si="71"/>
        <v>-2150</v>
      </c>
      <c r="J217" s="1205">
        <f t="shared" si="71"/>
        <v>-602150</v>
      </c>
      <c r="K217" s="1205">
        <f t="shared" si="71"/>
        <v>-2150</v>
      </c>
      <c r="L217" s="1205">
        <f t="shared" si="71"/>
        <v>-2150</v>
      </c>
      <c r="M217" s="1205">
        <f t="shared" si="71"/>
        <v>-2150</v>
      </c>
      <c r="N217" s="1205">
        <f t="shared" si="71"/>
        <v>-2150</v>
      </c>
      <c r="O217" s="1205">
        <f t="shared" si="71"/>
        <v>-2150</v>
      </c>
      <c r="P217" s="1205">
        <f t="shared" si="71"/>
        <v>-2350</v>
      </c>
    </row>
    <row r="218" spans="1:16" s="324" customFormat="1" ht="19.5" customHeight="1">
      <c r="A218" s="787"/>
      <c r="B218" s="652">
        <v>85154</v>
      </c>
      <c r="C218" s="653" t="s">
        <v>124</v>
      </c>
      <c r="D218" s="664">
        <f t="shared" si="69"/>
        <v>-1026000</v>
      </c>
      <c r="E218" s="664">
        <v>-2150</v>
      </c>
      <c r="F218" s="664">
        <v>-2150</v>
      </c>
      <c r="G218" s="664">
        <v>-2150</v>
      </c>
      <c r="H218" s="664">
        <f>-400000-2150</f>
        <v>-402150</v>
      </c>
      <c r="I218" s="664">
        <v>-2150</v>
      </c>
      <c r="J218" s="664">
        <f>-600000-2150</f>
        <v>-602150</v>
      </c>
      <c r="K218" s="664">
        <v>-2150</v>
      </c>
      <c r="L218" s="664">
        <v>-2150</v>
      </c>
      <c r="M218" s="664">
        <v>-2150</v>
      </c>
      <c r="N218" s="664">
        <v>-2150</v>
      </c>
      <c r="O218" s="664">
        <v>-2150</v>
      </c>
      <c r="P218" s="664">
        <v>-2350</v>
      </c>
    </row>
    <row r="219" spans="1:16" s="324" customFormat="1" ht="19.5" customHeight="1">
      <c r="A219" s="1197">
        <v>852</v>
      </c>
      <c r="B219" s="1197"/>
      <c r="C219" s="801" t="s">
        <v>129</v>
      </c>
      <c r="D219" s="1198">
        <f t="shared" si="69"/>
        <v>-4213353</v>
      </c>
      <c r="E219" s="1198">
        <f aca="true" t="shared" si="72" ref="E219:P219">E220+E221+E222+E223</f>
        <v>-9760</v>
      </c>
      <c r="F219" s="1198">
        <f t="shared" si="72"/>
        <v>0</v>
      </c>
      <c r="G219" s="1198">
        <f t="shared" si="72"/>
        <v>-35000</v>
      </c>
      <c r="H219" s="1198">
        <f t="shared" si="72"/>
        <v>-200000</v>
      </c>
      <c r="I219" s="1198">
        <f t="shared" si="72"/>
        <v>-270000</v>
      </c>
      <c r="J219" s="1198">
        <f t="shared" si="72"/>
        <v>-283593</v>
      </c>
      <c r="K219" s="1198">
        <f t="shared" si="72"/>
        <v>-1000000</v>
      </c>
      <c r="L219" s="1198">
        <f t="shared" si="72"/>
        <v>-200000</v>
      </c>
      <c r="M219" s="1198">
        <f t="shared" si="72"/>
        <v>-965000</v>
      </c>
      <c r="N219" s="1198">
        <f t="shared" si="72"/>
        <v>-450000</v>
      </c>
      <c r="O219" s="1198">
        <f t="shared" si="72"/>
        <v>-200000</v>
      </c>
      <c r="P219" s="1198">
        <f t="shared" si="72"/>
        <v>-600000</v>
      </c>
    </row>
    <row r="220" spans="1:16" s="324" customFormat="1" ht="19.5" customHeight="1">
      <c r="A220" s="786"/>
      <c r="B220" s="652">
        <v>85201</v>
      </c>
      <c r="C220" s="653" t="s">
        <v>55</v>
      </c>
      <c r="D220" s="664">
        <f t="shared" si="69"/>
        <v>-600000</v>
      </c>
      <c r="E220" s="664"/>
      <c r="F220" s="664"/>
      <c r="G220" s="664">
        <v>-35000</v>
      </c>
      <c r="H220" s="664"/>
      <c r="I220" s="664"/>
      <c r="J220" s="664"/>
      <c r="K220" s="664">
        <v>-300000</v>
      </c>
      <c r="L220" s="664"/>
      <c r="M220" s="664">
        <v>-265000</v>
      </c>
      <c r="N220" s="664"/>
      <c r="O220" s="664"/>
      <c r="P220" s="664"/>
    </row>
    <row r="221" spans="1:16" s="324" customFormat="1" ht="19.5" customHeight="1">
      <c r="A221" s="786"/>
      <c r="B221" s="652">
        <v>85202</v>
      </c>
      <c r="C221" s="653" t="s">
        <v>125</v>
      </c>
      <c r="D221" s="748">
        <f t="shared" si="69"/>
        <v>-2003500</v>
      </c>
      <c r="E221" s="664">
        <v>-9760</v>
      </c>
      <c r="F221" s="664"/>
      <c r="G221" s="664"/>
      <c r="H221" s="664">
        <v>-200000</v>
      </c>
      <c r="I221" s="664">
        <v>-270000</v>
      </c>
      <c r="J221" s="664">
        <f>-358740+85000</f>
        <v>-273740</v>
      </c>
      <c r="K221" s="664">
        <v>-200000</v>
      </c>
      <c r="L221" s="664">
        <v>-200000</v>
      </c>
      <c r="M221" s="664">
        <v>-200000</v>
      </c>
      <c r="N221" s="664">
        <f>-200000-250000</f>
        <v>-450000</v>
      </c>
      <c r="O221" s="664">
        <v>-200000</v>
      </c>
      <c r="P221" s="664"/>
    </row>
    <row r="222" spans="1:16" s="324" customFormat="1" ht="19.5" customHeight="1">
      <c r="A222" s="786"/>
      <c r="B222" s="652">
        <v>85219</v>
      </c>
      <c r="C222" s="653" t="s">
        <v>1020</v>
      </c>
      <c r="D222" s="748">
        <f t="shared" si="69"/>
        <v>-1600000</v>
      </c>
      <c r="E222" s="664"/>
      <c r="F222" s="664"/>
      <c r="G222" s="664"/>
      <c r="H222" s="664"/>
      <c r="I222" s="664"/>
      <c r="J222" s="664"/>
      <c r="K222" s="664">
        <v>-500000</v>
      </c>
      <c r="L222" s="664"/>
      <c r="M222" s="664">
        <v>-500000</v>
      </c>
      <c r="N222" s="664"/>
      <c r="O222" s="664"/>
      <c r="P222" s="664">
        <v>-600000</v>
      </c>
    </row>
    <row r="223" spans="1:16" s="324" customFormat="1" ht="19.5" customHeight="1">
      <c r="A223" s="787"/>
      <c r="B223" s="652">
        <v>85295</v>
      </c>
      <c r="C223" s="653" t="s">
        <v>100</v>
      </c>
      <c r="D223" s="748">
        <f t="shared" si="69"/>
        <v>-9853</v>
      </c>
      <c r="E223" s="664"/>
      <c r="F223" s="664"/>
      <c r="G223" s="664"/>
      <c r="H223" s="664"/>
      <c r="I223" s="664"/>
      <c r="J223" s="664">
        <f>-24670+14817</f>
        <v>-9853</v>
      </c>
      <c r="K223" s="664"/>
      <c r="L223" s="664"/>
      <c r="M223" s="664"/>
      <c r="N223" s="664"/>
      <c r="O223" s="664"/>
      <c r="P223" s="664"/>
    </row>
    <row r="224" spans="1:16" s="324" customFormat="1" ht="34.5" customHeight="1">
      <c r="A224" s="1197">
        <v>853</v>
      </c>
      <c r="B224" s="1197"/>
      <c r="C224" s="801" t="s">
        <v>277</v>
      </c>
      <c r="D224" s="1198">
        <f t="shared" si="69"/>
        <v>-1240442</v>
      </c>
      <c r="E224" s="1198">
        <f aca="true" t="shared" si="73" ref="E224:P224">E225+E226+E227</f>
        <v>-1600</v>
      </c>
      <c r="F224" s="1198">
        <f t="shared" si="73"/>
        <v>-1600</v>
      </c>
      <c r="G224" s="1198">
        <f t="shared" si="73"/>
        <v>-11600</v>
      </c>
      <c r="H224" s="1198">
        <f t="shared" si="73"/>
        <v>-1600</v>
      </c>
      <c r="I224" s="1198">
        <f t="shared" si="73"/>
        <v>-301600</v>
      </c>
      <c r="J224" s="1198">
        <f t="shared" si="73"/>
        <v>-1600</v>
      </c>
      <c r="K224" s="1198">
        <f t="shared" si="73"/>
        <v>-201600</v>
      </c>
      <c r="L224" s="1198">
        <f t="shared" si="73"/>
        <v>-71022</v>
      </c>
      <c r="M224" s="1198">
        <f t="shared" si="73"/>
        <v>-642620</v>
      </c>
      <c r="N224" s="1198">
        <f t="shared" si="73"/>
        <v>-1800</v>
      </c>
      <c r="O224" s="1198">
        <f t="shared" si="73"/>
        <v>-1800</v>
      </c>
      <c r="P224" s="1198">
        <f t="shared" si="73"/>
        <v>-2000</v>
      </c>
    </row>
    <row r="225" spans="1:16" s="324" customFormat="1" ht="19.5" customHeight="1">
      <c r="A225" s="786"/>
      <c r="B225" s="652">
        <v>85305</v>
      </c>
      <c r="C225" s="653" t="s">
        <v>127</v>
      </c>
      <c r="D225" s="664">
        <f t="shared" si="69"/>
        <v>-790442</v>
      </c>
      <c r="E225" s="664"/>
      <c r="F225" s="664"/>
      <c r="G225" s="664"/>
      <c r="H225" s="664"/>
      <c r="I225" s="664">
        <v>-300000</v>
      </c>
      <c r="J225" s="664"/>
      <c r="K225" s="664"/>
      <c r="L225" s="664">
        <v>-69422</v>
      </c>
      <c r="M225" s="664">
        <v>-421020</v>
      </c>
      <c r="N225" s="664"/>
      <c r="O225" s="664"/>
      <c r="P225" s="664"/>
    </row>
    <row r="226" spans="1:16" s="324" customFormat="1" ht="19.5" customHeight="1">
      <c r="A226" s="786"/>
      <c r="B226" s="652">
        <v>85333</v>
      </c>
      <c r="C226" s="653" t="s">
        <v>955</v>
      </c>
      <c r="D226" s="748">
        <f t="shared" si="69"/>
        <v>-430000</v>
      </c>
      <c r="E226" s="664"/>
      <c r="F226" s="664"/>
      <c r="G226" s="664">
        <v>-10000</v>
      </c>
      <c r="H226" s="664"/>
      <c r="I226" s="664"/>
      <c r="J226" s="664"/>
      <c r="K226" s="664">
        <v>-200000</v>
      </c>
      <c r="L226" s="664"/>
      <c r="M226" s="664">
        <v>-220000</v>
      </c>
      <c r="N226" s="664"/>
      <c r="O226" s="664"/>
      <c r="P226" s="664"/>
    </row>
    <row r="227" spans="1:16" s="324" customFormat="1" ht="22.5" customHeight="1">
      <c r="A227" s="787"/>
      <c r="B227" s="652">
        <v>85334</v>
      </c>
      <c r="C227" s="653" t="s">
        <v>885</v>
      </c>
      <c r="D227" s="748">
        <f t="shared" si="69"/>
        <v>-20000</v>
      </c>
      <c r="E227" s="664">
        <v>-1600</v>
      </c>
      <c r="F227" s="664">
        <v>-1600</v>
      </c>
      <c r="G227" s="664">
        <v>-1600</v>
      </c>
      <c r="H227" s="664">
        <v>-1600</v>
      </c>
      <c r="I227" s="664">
        <v>-1600</v>
      </c>
      <c r="J227" s="664">
        <v>-1600</v>
      </c>
      <c r="K227" s="664">
        <v>-1600</v>
      </c>
      <c r="L227" s="664">
        <v>-1600</v>
      </c>
      <c r="M227" s="664">
        <v>-1600</v>
      </c>
      <c r="N227" s="664">
        <v>-1800</v>
      </c>
      <c r="O227" s="664">
        <v>-1800</v>
      </c>
      <c r="P227" s="664">
        <v>-2000</v>
      </c>
    </row>
    <row r="228" spans="1:16" s="324" customFormat="1" ht="19.5" customHeight="1">
      <c r="A228" s="1197">
        <v>854</v>
      </c>
      <c r="B228" s="1197"/>
      <c r="C228" s="801" t="s">
        <v>618</v>
      </c>
      <c r="D228" s="1198">
        <f t="shared" si="69"/>
        <v>-2000809</v>
      </c>
      <c r="E228" s="1198"/>
      <c r="F228" s="1198"/>
      <c r="G228" s="1198"/>
      <c r="H228" s="1198"/>
      <c r="I228" s="1198">
        <f aca="true" t="shared" si="74" ref="I228:P228">I229+I230+I231+I232+I233</f>
        <v>-10000</v>
      </c>
      <c r="J228" s="1198">
        <f t="shared" si="74"/>
        <v>-30000</v>
      </c>
      <c r="K228" s="1198"/>
      <c r="L228" s="1198">
        <f t="shared" si="74"/>
        <v>-20000</v>
      </c>
      <c r="M228" s="1198">
        <f t="shared" si="74"/>
        <v>-590809</v>
      </c>
      <c r="N228" s="1198">
        <f t="shared" si="74"/>
        <v>-400000</v>
      </c>
      <c r="O228" s="1198">
        <f t="shared" si="74"/>
        <v>-850000</v>
      </c>
      <c r="P228" s="1198">
        <f t="shared" si="74"/>
        <v>-100000</v>
      </c>
    </row>
    <row r="229" spans="1:16" s="324" customFormat="1" ht="19.5" customHeight="1">
      <c r="A229" s="786"/>
      <c r="B229" s="652">
        <v>85403</v>
      </c>
      <c r="C229" s="653" t="s">
        <v>956</v>
      </c>
      <c r="D229" s="664">
        <f t="shared" si="69"/>
        <v>-1750000</v>
      </c>
      <c r="E229" s="664"/>
      <c r="F229" s="664"/>
      <c r="G229" s="664"/>
      <c r="H229" s="664"/>
      <c r="I229" s="664"/>
      <c r="J229" s="664"/>
      <c r="K229" s="664"/>
      <c r="L229" s="664"/>
      <c r="M229" s="664">
        <v>-400000</v>
      </c>
      <c r="N229" s="664">
        <v>-400000</v>
      </c>
      <c r="O229" s="664">
        <v>-850000</v>
      </c>
      <c r="P229" s="664">
        <v>-100000</v>
      </c>
    </row>
    <row r="230" spans="1:16" s="324" customFormat="1" ht="19.5" customHeight="1">
      <c r="A230" s="786"/>
      <c r="B230" s="652">
        <v>85407</v>
      </c>
      <c r="C230" s="668" t="s">
        <v>982</v>
      </c>
      <c r="D230" s="748">
        <f t="shared" si="69"/>
        <v>-113000</v>
      </c>
      <c r="E230" s="748"/>
      <c r="F230" s="748"/>
      <c r="G230" s="748"/>
      <c r="H230" s="748"/>
      <c r="I230" s="748"/>
      <c r="J230" s="748">
        <v>-10000</v>
      </c>
      <c r="K230" s="748"/>
      <c r="L230" s="748"/>
      <c r="M230" s="748">
        <v>-103000</v>
      </c>
      <c r="N230" s="748"/>
      <c r="O230" s="748"/>
      <c r="P230" s="748"/>
    </row>
    <row r="231" spans="1:16" s="324" customFormat="1" ht="19.5" customHeight="1">
      <c r="A231" s="786"/>
      <c r="B231" s="652">
        <v>85410</v>
      </c>
      <c r="C231" s="668" t="s">
        <v>983</v>
      </c>
      <c r="D231" s="748">
        <f t="shared" si="69"/>
        <v>-107809</v>
      </c>
      <c r="E231" s="748"/>
      <c r="F231" s="748"/>
      <c r="G231" s="748"/>
      <c r="H231" s="748"/>
      <c r="I231" s="748"/>
      <c r="J231" s="748"/>
      <c r="K231" s="748"/>
      <c r="L231" s="748">
        <v>-20000</v>
      </c>
      <c r="M231" s="748">
        <v>-87809</v>
      </c>
      <c r="N231" s="748"/>
      <c r="O231" s="748"/>
      <c r="P231" s="748"/>
    </row>
    <row r="232" spans="1:16" s="324" customFormat="1" ht="19.5" customHeight="1">
      <c r="A232" s="786"/>
      <c r="B232" s="652">
        <v>85417</v>
      </c>
      <c r="C232" s="668" t="s">
        <v>888</v>
      </c>
      <c r="D232" s="748">
        <f t="shared" si="69"/>
        <v>-10000</v>
      </c>
      <c r="E232" s="748"/>
      <c r="F232" s="748"/>
      <c r="G232" s="748"/>
      <c r="H232" s="748"/>
      <c r="I232" s="748">
        <v>-10000</v>
      </c>
      <c r="J232" s="748"/>
      <c r="K232" s="748"/>
      <c r="L232" s="748"/>
      <c r="M232" s="748"/>
      <c r="N232" s="748"/>
      <c r="O232" s="748"/>
      <c r="P232" s="748"/>
    </row>
    <row r="233" spans="1:16" s="324" customFormat="1" ht="19.5" customHeight="1">
      <c r="A233" s="787"/>
      <c r="B233" s="652">
        <v>85421</v>
      </c>
      <c r="C233" s="668" t="s">
        <v>889</v>
      </c>
      <c r="D233" s="748">
        <f t="shared" si="69"/>
        <v>-20000</v>
      </c>
      <c r="E233" s="748"/>
      <c r="F233" s="748"/>
      <c r="G233" s="748"/>
      <c r="H233" s="748"/>
      <c r="I233" s="748"/>
      <c r="J233" s="748">
        <v>-20000</v>
      </c>
      <c r="K233" s="748"/>
      <c r="L233" s="748"/>
      <c r="M233" s="748"/>
      <c r="N233" s="748"/>
      <c r="O233" s="748"/>
      <c r="P233" s="748"/>
    </row>
    <row r="234" spans="1:16" s="324" customFormat="1" ht="31.5">
      <c r="A234" s="1197">
        <v>900</v>
      </c>
      <c r="B234" s="1203"/>
      <c r="C234" s="1204" t="s">
        <v>1048</v>
      </c>
      <c r="D234" s="1205">
        <f t="shared" si="69"/>
        <v>-340</v>
      </c>
      <c r="E234" s="1205">
        <f>E235</f>
        <v>-340</v>
      </c>
      <c r="F234" s="1205"/>
      <c r="G234" s="1205"/>
      <c r="H234" s="1205"/>
      <c r="I234" s="1205"/>
      <c r="J234" s="1205"/>
      <c r="K234" s="1205"/>
      <c r="L234" s="1205"/>
      <c r="M234" s="1205"/>
      <c r="N234" s="1205"/>
      <c r="O234" s="1205"/>
      <c r="P234" s="1205"/>
    </row>
    <row r="235" spans="1:16" s="324" customFormat="1" ht="19.5" customHeight="1">
      <c r="A235" s="787"/>
      <c r="B235" s="652">
        <v>90002</v>
      </c>
      <c r="C235" s="653" t="s">
        <v>176</v>
      </c>
      <c r="D235" s="664">
        <f t="shared" si="69"/>
        <v>-340</v>
      </c>
      <c r="E235" s="664">
        <v>-340</v>
      </c>
      <c r="F235" s="664"/>
      <c r="G235" s="664"/>
      <c r="H235" s="664"/>
      <c r="I235" s="664"/>
      <c r="J235" s="664"/>
      <c r="K235" s="664"/>
      <c r="L235" s="664"/>
      <c r="M235" s="664"/>
      <c r="N235" s="664"/>
      <c r="O235" s="664"/>
      <c r="P235" s="664"/>
    </row>
    <row r="236" spans="1:16" s="324" customFormat="1" ht="24.75" customHeight="1">
      <c r="A236" s="1197">
        <v>921</v>
      </c>
      <c r="B236" s="1203"/>
      <c r="C236" s="1204" t="s">
        <v>401</v>
      </c>
      <c r="D236" s="1205">
        <f t="shared" si="69"/>
        <v>-350000</v>
      </c>
      <c r="E236" s="1205"/>
      <c r="F236" s="1205"/>
      <c r="G236" s="1205"/>
      <c r="H236" s="1205"/>
      <c r="I236" s="1205"/>
      <c r="J236" s="1205">
        <f>J237</f>
        <v>-350000</v>
      </c>
      <c r="K236" s="1205"/>
      <c r="L236" s="1205"/>
      <c r="M236" s="1205"/>
      <c r="N236" s="1205"/>
      <c r="O236" s="1205"/>
      <c r="P236" s="1205"/>
    </row>
    <row r="237" spans="1:16" s="324" customFormat="1" ht="19.5" customHeight="1">
      <c r="A237" s="787"/>
      <c r="B237" s="652">
        <v>92120</v>
      </c>
      <c r="C237" s="653" t="s">
        <v>97</v>
      </c>
      <c r="D237" s="664">
        <f t="shared" si="69"/>
        <v>-350000</v>
      </c>
      <c r="E237" s="664"/>
      <c r="F237" s="664"/>
      <c r="G237" s="664"/>
      <c r="H237" s="664"/>
      <c r="I237" s="664"/>
      <c r="J237" s="664">
        <v>-350000</v>
      </c>
      <c r="K237" s="664"/>
      <c r="L237" s="664"/>
      <c r="M237" s="664"/>
      <c r="N237" s="664"/>
      <c r="O237" s="664"/>
      <c r="P237" s="664"/>
    </row>
    <row r="238" spans="1:16" s="324" customFormat="1" ht="23.25" customHeight="1">
      <c r="A238" s="1197">
        <v>926</v>
      </c>
      <c r="B238" s="1203"/>
      <c r="C238" s="1204" t="s">
        <v>1045</v>
      </c>
      <c r="D238" s="1205">
        <f t="shared" si="69"/>
        <v>-145000</v>
      </c>
      <c r="E238" s="1205"/>
      <c r="F238" s="1205"/>
      <c r="G238" s="1205"/>
      <c r="H238" s="1205"/>
      <c r="I238" s="1205"/>
      <c r="J238" s="1205">
        <f>J239</f>
        <v>-145000</v>
      </c>
      <c r="K238" s="1205"/>
      <c r="L238" s="1205"/>
      <c r="M238" s="1205"/>
      <c r="N238" s="1205"/>
      <c r="O238" s="1205"/>
      <c r="P238" s="1205"/>
    </row>
    <row r="239" spans="1:16" s="324" customFormat="1" ht="19.5" customHeight="1">
      <c r="A239" s="786"/>
      <c r="B239" s="652">
        <v>92601</v>
      </c>
      <c r="C239" s="653" t="s">
        <v>1046</v>
      </c>
      <c r="D239" s="664">
        <f t="shared" si="69"/>
        <v>-145000</v>
      </c>
      <c r="E239" s="664"/>
      <c r="F239" s="664"/>
      <c r="G239" s="664"/>
      <c r="H239" s="664"/>
      <c r="I239" s="664"/>
      <c r="J239" s="664">
        <v>-145000</v>
      </c>
      <c r="K239" s="664"/>
      <c r="L239" s="664"/>
      <c r="M239" s="664"/>
      <c r="N239" s="664"/>
      <c r="O239" s="664"/>
      <c r="P239" s="664"/>
    </row>
    <row r="240" spans="1:16" s="643" customFormat="1" ht="32.25" customHeight="1" thickBot="1">
      <c r="A240" s="787"/>
      <c r="B240" s="787"/>
      <c r="C240" s="677" t="s">
        <v>523</v>
      </c>
      <c r="D240" s="763">
        <f t="shared" si="69"/>
        <v>-1568923</v>
      </c>
      <c r="E240" s="763">
        <f aca="true" t="shared" si="75" ref="E240:J241">E241</f>
        <v>-260000</v>
      </c>
      <c r="F240" s="763">
        <f t="shared" si="75"/>
        <v>-261000</v>
      </c>
      <c r="G240" s="763">
        <f t="shared" si="75"/>
        <v>-261000</v>
      </c>
      <c r="H240" s="763">
        <f t="shared" si="75"/>
        <v>-261000</v>
      </c>
      <c r="I240" s="763">
        <f t="shared" si="75"/>
        <v>-261000</v>
      </c>
      <c r="J240" s="763">
        <f t="shared" si="75"/>
        <v>-264923</v>
      </c>
      <c r="K240" s="763"/>
      <c r="L240" s="763"/>
      <c r="M240" s="763"/>
      <c r="N240" s="763"/>
      <c r="O240" s="763"/>
      <c r="P240" s="763"/>
    </row>
    <row r="241" spans="1:16" s="324" customFormat="1" ht="24" customHeight="1" thickTop="1">
      <c r="A241" s="1203">
        <v>750</v>
      </c>
      <c r="B241" s="1203"/>
      <c r="C241" s="801" t="s">
        <v>439</v>
      </c>
      <c r="D241" s="1198">
        <f t="shared" si="69"/>
        <v>-1568923</v>
      </c>
      <c r="E241" s="1198">
        <f t="shared" si="75"/>
        <v>-260000</v>
      </c>
      <c r="F241" s="1198">
        <f t="shared" si="75"/>
        <v>-261000</v>
      </c>
      <c r="G241" s="1198">
        <f t="shared" si="75"/>
        <v>-261000</v>
      </c>
      <c r="H241" s="1198">
        <f t="shared" si="75"/>
        <v>-261000</v>
      </c>
      <c r="I241" s="1198">
        <f t="shared" si="75"/>
        <v>-261000</v>
      </c>
      <c r="J241" s="1198">
        <f t="shared" si="75"/>
        <v>-264923</v>
      </c>
      <c r="K241" s="1198"/>
      <c r="L241" s="1198"/>
      <c r="M241" s="1198"/>
      <c r="N241" s="1198"/>
      <c r="O241" s="1198"/>
      <c r="P241" s="1198"/>
    </row>
    <row r="242" spans="1:16" s="324" customFormat="1" ht="19.5" customHeight="1">
      <c r="A242" s="780"/>
      <c r="B242" s="787">
        <v>75011</v>
      </c>
      <c r="C242" s="653" t="s">
        <v>1049</v>
      </c>
      <c r="D242" s="664">
        <f t="shared" si="69"/>
        <v>-1568923</v>
      </c>
      <c r="E242" s="664">
        <v>-260000</v>
      </c>
      <c r="F242" s="664">
        <v>-261000</v>
      </c>
      <c r="G242" s="664">
        <v>-261000</v>
      </c>
      <c r="H242" s="664">
        <v>-261000</v>
      </c>
      <c r="I242" s="664">
        <v>-261000</v>
      </c>
      <c r="J242" s="664">
        <v>-264923</v>
      </c>
      <c r="K242" s="664"/>
      <c r="L242" s="664"/>
      <c r="M242" s="664"/>
      <c r="N242" s="664"/>
      <c r="O242" s="664"/>
      <c r="P242" s="664"/>
    </row>
    <row r="243" spans="1:16" s="324" customFormat="1" ht="37.5" customHeight="1" thickBot="1">
      <c r="A243" s="787"/>
      <c r="B243" s="786"/>
      <c r="C243" s="677" t="s">
        <v>1021</v>
      </c>
      <c r="D243" s="763">
        <f t="shared" si="69"/>
        <v>-856417</v>
      </c>
      <c r="E243" s="763">
        <f>E244+E246</f>
        <v>-138200</v>
      </c>
      <c r="F243" s="763">
        <f aca="true" t="shared" si="76" ref="F243:P243">F244+F246</f>
        <v>-138200</v>
      </c>
      <c r="G243" s="763">
        <f t="shared" si="76"/>
        <v>-145841</v>
      </c>
      <c r="H243" s="763">
        <f t="shared" si="76"/>
        <v>-140747</v>
      </c>
      <c r="I243" s="763">
        <f t="shared" si="76"/>
        <v>-140012</v>
      </c>
      <c r="J243" s="763">
        <f t="shared" si="76"/>
        <v>-147917</v>
      </c>
      <c r="K243" s="763">
        <f t="shared" si="76"/>
        <v>-890</v>
      </c>
      <c r="L243" s="763">
        <f t="shared" si="76"/>
        <v>-890</v>
      </c>
      <c r="M243" s="763">
        <f t="shared" si="76"/>
        <v>-890</v>
      </c>
      <c r="N243" s="763">
        <f t="shared" si="76"/>
        <v>-890</v>
      </c>
      <c r="O243" s="763">
        <f t="shared" si="76"/>
        <v>-890</v>
      </c>
      <c r="P243" s="763">
        <f t="shared" si="76"/>
        <v>-1050</v>
      </c>
    </row>
    <row r="244" spans="1:16" s="324" customFormat="1" ht="26.25" customHeight="1" thickTop="1">
      <c r="A244" s="1210">
        <v>750</v>
      </c>
      <c r="B244" s="1203"/>
      <c r="C244" s="1211" t="s">
        <v>439</v>
      </c>
      <c r="D244" s="1198">
        <f t="shared" si="69"/>
        <v>-829596</v>
      </c>
      <c r="E244" s="1198">
        <f aca="true" t="shared" si="77" ref="E244:J244">E245</f>
        <v>-138200</v>
      </c>
      <c r="F244" s="1198">
        <f t="shared" si="77"/>
        <v>-138200</v>
      </c>
      <c r="G244" s="1198">
        <f t="shared" si="77"/>
        <v>-138200</v>
      </c>
      <c r="H244" s="1198">
        <f t="shared" si="77"/>
        <v>-138200</v>
      </c>
      <c r="I244" s="1198">
        <f t="shared" si="77"/>
        <v>-138200</v>
      </c>
      <c r="J244" s="1198">
        <f t="shared" si="77"/>
        <v>-138596</v>
      </c>
      <c r="K244" s="1198"/>
      <c r="L244" s="1198"/>
      <c r="M244" s="1198"/>
      <c r="N244" s="1198"/>
      <c r="O244" s="1198"/>
      <c r="P244" s="1198"/>
    </row>
    <row r="245" spans="1:16" s="324" customFormat="1" ht="24" customHeight="1">
      <c r="A245" s="793"/>
      <c r="B245" s="786">
        <v>75011</v>
      </c>
      <c r="C245" s="1194" t="s">
        <v>1049</v>
      </c>
      <c r="D245" s="664">
        <f t="shared" si="69"/>
        <v>-829596</v>
      </c>
      <c r="E245" s="664">
        <v>-138200</v>
      </c>
      <c r="F245" s="664">
        <v>-138200</v>
      </c>
      <c r="G245" s="664">
        <v>-138200</v>
      </c>
      <c r="H245" s="664">
        <v>-138200</v>
      </c>
      <c r="I245" s="664">
        <v>-138200</v>
      </c>
      <c r="J245" s="664">
        <v>-138596</v>
      </c>
      <c r="K245" s="664"/>
      <c r="L245" s="664"/>
      <c r="M245" s="664"/>
      <c r="N245" s="664"/>
      <c r="O245" s="664"/>
      <c r="P245" s="664"/>
    </row>
    <row r="246" spans="1:16" s="324" customFormat="1" ht="34.5" customHeight="1">
      <c r="A246" s="1203">
        <v>853</v>
      </c>
      <c r="B246" s="1203"/>
      <c r="C246" s="801" t="s">
        <v>277</v>
      </c>
      <c r="D246" s="1198">
        <f>SUM(E246:P246)</f>
        <v>-26821</v>
      </c>
      <c r="E246" s="1198"/>
      <c r="F246" s="1198"/>
      <c r="G246" s="1198">
        <f>G247</f>
        <v>-7641</v>
      </c>
      <c r="H246" s="1198">
        <f>H247</f>
        <v>-2547</v>
      </c>
      <c r="I246" s="1198">
        <f>I247</f>
        <v>-1812</v>
      </c>
      <c r="J246" s="1198">
        <f>J247</f>
        <v>-9321</v>
      </c>
      <c r="K246" s="1198">
        <f aca="true" t="shared" si="78" ref="K246:P246">K247</f>
        <v>-890</v>
      </c>
      <c r="L246" s="1198">
        <f t="shared" si="78"/>
        <v>-890</v>
      </c>
      <c r="M246" s="1198">
        <f t="shared" si="78"/>
        <v>-890</v>
      </c>
      <c r="N246" s="1198">
        <f t="shared" si="78"/>
        <v>-890</v>
      </c>
      <c r="O246" s="1198">
        <f t="shared" si="78"/>
        <v>-890</v>
      </c>
      <c r="P246" s="1198">
        <f t="shared" si="78"/>
        <v>-1050</v>
      </c>
    </row>
    <row r="247" spans="1:16" s="324" customFormat="1" ht="22.5" customHeight="1">
      <c r="A247" s="786"/>
      <c r="B247" s="652">
        <v>85334</v>
      </c>
      <c r="C247" s="653" t="s">
        <v>885</v>
      </c>
      <c r="D247" s="664">
        <f>SUM(E247:P247)</f>
        <v>-26821</v>
      </c>
      <c r="E247" s="664"/>
      <c r="F247" s="664"/>
      <c r="G247" s="664">
        <v>-7641</v>
      </c>
      <c r="H247" s="664">
        <v>-2547</v>
      </c>
      <c r="I247" s="664">
        <v>-1812</v>
      </c>
      <c r="J247" s="664">
        <v>-9321</v>
      </c>
      <c r="K247" s="664">
        <v>-890</v>
      </c>
      <c r="L247" s="664">
        <v>-890</v>
      </c>
      <c r="M247" s="664">
        <v>-890</v>
      </c>
      <c r="N247" s="664">
        <v>-890</v>
      </c>
      <c r="O247" s="664">
        <v>-890</v>
      </c>
      <c r="P247" s="664">
        <v>-1050</v>
      </c>
    </row>
    <row r="248" spans="1:16" s="324" customFormat="1" ht="26.25" customHeight="1">
      <c r="A248" s="786"/>
      <c r="B248" s="786"/>
      <c r="C248" s="640" t="s">
        <v>351</v>
      </c>
      <c r="D248" s="1190">
        <f aca="true" t="shared" si="79" ref="D248:D279">SUM(E248:P248)</f>
        <v>49194119</v>
      </c>
      <c r="E248" s="1190">
        <f aca="true" t="shared" si="80" ref="E248:P248">E249+E254+E257</f>
        <v>3872431</v>
      </c>
      <c r="F248" s="1190">
        <f t="shared" si="80"/>
        <v>4588796</v>
      </c>
      <c r="G248" s="1190">
        <f t="shared" si="80"/>
        <v>4871351</v>
      </c>
      <c r="H248" s="1190">
        <f t="shared" si="80"/>
        <v>3418103</v>
      </c>
      <c r="I248" s="1190">
        <f t="shared" si="80"/>
        <v>4001062</v>
      </c>
      <c r="J248" s="1190">
        <f t="shared" si="80"/>
        <v>3446747</v>
      </c>
      <c r="K248" s="1190">
        <f t="shared" si="80"/>
        <v>4218950</v>
      </c>
      <c r="L248" s="1190">
        <f t="shared" si="80"/>
        <v>4100400</v>
      </c>
      <c r="M248" s="1190">
        <f t="shared" si="80"/>
        <v>4100400</v>
      </c>
      <c r="N248" s="1190">
        <f t="shared" si="80"/>
        <v>4100400</v>
      </c>
      <c r="O248" s="1190">
        <f t="shared" si="80"/>
        <v>4100400</v>
      </c>
      <c r="P248" s="1190">
        <f t="shared" si="80"/>
        <v>4375079</v>
      </c>
    </row>
    <row r="249" spans="1:16" s="324" customFormat="1" ht="24.75" customHeight="1" thickBot="1">
      <c r="A249" s="787"/>
      <c r="B249" s="787"/>
      <c r="C249" s="739" t="s">
        <v>646</v>
      </c>
      <c r="D249" s="725">
        <f t="shared" si="79"/>
        <v>46795600</v>
      </c>
      <c r="E249" s="725">
        <f>E250+E252</f>
        <v>3500400</v>
      </c>
      <c r="F249" s="725">
        <f aca="true" t="shared" si="81" ref="F249:P249">F250+F252</f>
        <v>4216764</v>
      </c>
      <c r="G249" s="725">
        <f t="shared" si="81"/>
        <v>4418159</v>
      </c>
      <c r="H249" s="725">
        <f t="shared" si="81"/>
        <v>3027809</v>
      </c>
      <c r="I249" s="725">
        <f t="shared" si="81"/>
        <v>3536293</v>
      </c>
      <c r="J249" s="725">
        <f t="shared" si="81"/>
        <v>3219096</v>
      </c>
      <c r="K249" s="725">
        <f t="shared" si="81"/>
        <v>4100400</v>
      </c>
      <c r="L249" s="725">
        <f t="shared" si="81"/>
        <v>4100400</v>
      </c>
      <c r="M249" s="725">
        <f t="shared" si="81"/>
        <v>4100400</v>
      </c>
      <c r="N249" s="725">
        <f t="shared" si="81"/>
        <v>4100400</v>
      </c>
      <c r="O249" s="725">
        <f t="shared" si="81"/>
        <v>4100400</v>
      </c>
      <c r="P249" s="725">
        <f t="shared" si="81"/>
        <v>4375079</v>
      </c>
    </row>
    <row r="250" spans="1:16" s="324" customFormat="1" ht="21.75" customHeight="1" thickTop="1">
      <c r="A250" s="1197">
        <v>700</v>
      </c>
      <c r="B250" s="1197"/>
      <c r="C250" s="801" t="s">
        <v>433</v>
      </c>
      <c r="D250" s="1198">
        <f t="shared" si="79"/>
        <v>4800</v>
      </c>
      <c r="E250" s="1198">
        <f aca="true" t="shared" si="82" ref="E250:P250">E251</f>
        <v>400</v>
      </c>
      <c r="F250" s="1198">
        <f t="shared" si="82"/>
        <v>400</v>
      </c>
      <c r="G250" s="1198">
        <f t="shared" si="82"/>
        <v>400</v>
      </c>
      <c r="H250" s="1198">
        <f t="shared" si="82"/>
        <v>400</v>
      </c>
      <c r="I250" s="1198">
        <f t="shared" si="82"/>
        <v>400</v>
      </c>
      <c r="J250" s="1198">
        <f t="shared" si="82"/>
        <v>400</v>
      </c>
      <c r="K250" s="1198">
        <f t="shared" si="82"/>
        <v>400</v>
      </c>
      <c r="L250" s="1198">
        <f t="shared" si="82"/>
        <v>400</v>
      </c>
      <c r="M250" s="1198">
        <f t="shared" si="82"/>
        <v>400</v>
      </c>
      <c r="N250" s="1198">
        <f t="shared" si="82"/>
        <v>400</v>
      </c>
      <c r="O250" s="1198">
        <f t="shared" si="82"/>
        <v>400</v>
      </c>
      <c r="P250" s="1198">
        <f t="shared" si="82"/>
        <v>400</v>
      </c>
    </row>
    <row r="251" spans="1:16" s="324" customFormat="1" ht="21.75" customHeight="1">
      <c r="A251" s="786"/>
      <c r="B251" s="787">
        <v>70005</v>
      </c>
      <c r="C251" s="653" t="s">
        <v>435</v>
      </c>
      <c r="D251" s="664">
        <f t="shared" si="79"/>
        <v>4800</v>
      </c>
      <c r="E251" s="664">
        <v>400</v>
      </c>
      <c r="F251" s="664">
        <v>400</v>
      </c>
      <c r="G251" s="664">
        <v>400</v>
      </c>
      <c r="H251" s="664">
        <v>400</v>
      </c>
      <c r="I251" s="664">
        <v>400</v>
      </c>
      <c r="J251" s="664">
        <v>400</v>
      </c>
      <c r="K251" s="664">
        <v>400</v>
      </c>
      <c r="L251" s="664">
        <v>400</v>
      </c>
      <c r="M251" s="664">
        <v>400</v>
      </c>
      <c r="N251" s="664">
        <v>400</v>
      </c>
      <c r="O251" s="664">
        <v>400</v>
      </c>
      <c r="P251" s="664">
        <v>400</v>
      </c>
    </row>
    <row r="252" spans="1:16" s="324" customFormat="1" ht="21.75" customHeight="1">
      <c r="A252" s="1203">
        <v>750</v>
      </c>
      <c r="B252" s="1197"/>
      <c r="C252" s="801" t="s">
        <v>439</v>
      </c>
      <c r="D252" s="1198">
        <f t="shared" si="79"/>
        <v>46790800</v>
      </c>
      <c r="E252" s="1198">
        <f>E253</f>
        <v>3500000</v>
      </c>
      <c r="F252" s="1198">
        <f aca="true" t="shared" si="83" ref="F252:P252">F253</f>
        <v>4216364</v>
      </c>
      <c r="G252" s="1198">
        <f t="shared" si="83"/>
        <v>4417759</v>
      </c>
      <c r="H252" s="1198">
        <f t="shared" si="83"/>
        <v>3027409</v>
      </c>
      <c r="I252" s="1198">
        <f t="shared" si="83"/>
        <v>3535893</v>
      </c>
      <c r="J252" s="1198">
        <f t="shared" si="83"/>
        <v>3218696</v>
      </c>
      <c r="K252" s="1198">
        <f t="shared" si="83"/>
        <v>4100000</v>
      </c>
      <c r="L252" s="1198">
        <f t="shared" si="83"/>
        <v>4100000</v>
      </c>
      <c r="M252" s="1198">
        <f t="shared" si="83"/>
        <v>4100000</v>
      </c>
      <c r="N252" s="1198">
        <f t="shared" si="83"/>
        <v>4100000</v>
      </c>
      <c r="O252" s="1198">
        <f t="shared" si="83"/>
        <v>4100000</v>
      </c>
      <c r="P252" s="1198">
        <f t="shared" si="83"/>
        <v>4374679</v>
      </c>
    </row>
    <row r="253" spans="1:16" s="324" customFormat="1" ht="24.75" customHeight="1">
      <c r="A253" s="787"/>
      <c r="B253" s="787">
        <v>75023</v>
      </c>
      <c r="C253" s="653" t="s">
        <v>1061</v>
      </c>
      <c r="D253" s="664">
        <f t="shared" si="79"/>
        <v>46790800</v>
      </c>
      <c r="E253" s="664">
        <v>3500000</v>
      </c>
      <c r="F253" s="664">
        <v>4216364</v>
      </c>
      <c r="G253" s="664">
        <v>4417759</v>
      </c>
      <c r="H253" s="664">
        <v>3027409</v>
      </c>
      <c r="I253" s="664">
        <v>3535893</v>
      </c>
      <c r="J253" s="664">
        <v>3218696</v>
      </c>
      <c r="K253" s="664">
        <v>4100000</v>
      </c>
      <c r="L253" s="664">
        <v>4100000</v>
      </c>
      <c r="M253" s="664">
        <v>4100000</v>
      </c>
      <c r="N253" s="664">
        <v>4100000</v>
      </c>
      <c r="O253" s="664">
        <v>4100000</v>
      </c>
      <c r="P253" s="664">
        <v>4374679</v>
      </c>
    </row>
    <row r="254" spans="1:16" s="643" customFormat="1" ht="32.25" customHeight="1" thickBot="1">
      <c r="A254" s="1146"/>
      <c r="B254" s="1146"/>
      <c r="C254" s="677" t="s">
        <v>523</v>
      </c>
      <c r="D254" s="763">
        <f t="shared" si="79"/>
        <v>1568923</v>
      </c>
      <c r="E254" s="763">
        <f aca="true" t="shared" si="84" ref="E254:K255">E255</f>
        <v>224161</v>
      </c>
      <c r="F254" s="763">
        <f t="shared" si="84"/>
        <v>224162</v>
      </c>
      <c r="G254" s="763">
        <f t="shared" si="84"/>
        <v>268914</v>
      </c>
      <c r="H254" s="763">
        <f t="shared" si="84"/>
        <v>233358</v>
      </c>
      <c r="I254" s="763">
        <f t="shared" si="84"/>
        <v>283934</v>
      </c>
      <c r="J254" s="763">
        <f t="shared" si="84"/>
        <v>225097</v>
      </c>
      <c r="K254" s="763">
        <f t="shared" si="84"/>
        <v>109297</v>
      </c>
      <c r="L254" s="763"/>
      <c r="M254" s="763"/>
      <c r="N254" s="763"/>
      <c r="O254" s="763"/>
      <c r="P254" s="763"/>
    </row>
    <row r="255" spans="1:16" s="324" customFormat="1" ht="24" customHeight="1" thickTop="1">
      <c r="A255" s="1203">
        <v>750</v>
      </c>
      <c r="B255" s="1203"/>
      <c r="C255" s="801" t="s">
        <v>439</v>
      </c>
      <c r="D255" s="1198">
        <f t="shared" si="79"/>
        <v>1568923</v>
      </c>
      <c r="E255" s="1198">
        <f t="shared" si="84"/>
        <v>224161</v>
      </c>
      <c r="F255" s="1198">
        <f t="shared" si="84"/>
        <v>224162</v>
      </c>
      <c r="G255" s="1198">
        <f t="shared" si="84"/>
        <v>268914</v>
      </c>
      <c r="H255" s="1198">
        <f t="shared" si="84"/>
        <v>233358</v>
      </c>
      <c r="I255" s="1198">
        <f t="shared" si="84"/>
        <v>283934</v>
      </c>
      <c r="J255" s="1198">
        <f t="shared" si="84"/>
        <v>225097</v>
      </c>
      <c r="K255" s="1198">
        <f t="shared" si="84"/>
        <v>109297</v>
      </c>
      <c r="L255" s="1198"/>
      <c r="M255" s="1198"/>
      <c r="N255" s="1198"/>
      <c r="O255" s="1198"/>
      <c r="P255" s="1198"/>
    </row>
    <row r="256" spans="1:16" s="324" customFormat="1" ht="19.5" customHeight="1">
      <c r="A256" s="780"/>
      <c r="B256" s="787">
        <v>75011</v>
      </c>
      <c r="C256" s="653" t="s">
        <v>1049</v>
      </c>
      <c r="D256" s="664">
        <f t="shared" si="79"/>
        <v>1568923</v>
      </c>
      <c r="E256" s="664">
        <v>224161</v>
      </c>
      <c r="F256" s="664">
        <v>224162</v>
      </c>
      <c r="G256" s="664">
        <v>268914</v>
      </c>
      <c r="H256" s="664">
        <v>233358</v>
      </c>
      <c r="I256" s="664">
        <v>283934</v>
      </c>
      <c r="J256" s="664">
        <v>225097</v>
      </c>
      <c r="K256" s="664">
        <v>109297</v>
      </c>
      <c r="L256" s="664"/>
      <c r="M256" s="664"/>
      <c r="N256" s="664"/>
      <c r="O256" s="664"/>
      <c r="P256" s="664"/>
    </row>
    <row r="257" spans="1:16" s="324" customFormat="1" ht="36" customHeight="1" thickBot="1">
      <c r="A257" s="787"/>
      <c r="B257" s="786"/>
      <c r="C257" s="677" t="s">
        <v>1021</v>
      </c>
      <c r="D257" s="763">
        <f t="shared" si="79"/>
        <v>829596</v>
      </c>
      <c r="E257" s="763">
        <f aca="true" t="shared" si="85" ref="E257:K258">E258</f>
        <v>147870</v>
      </c>
      <c r="F257" s="763">
        <f t="shared" si="85"/>
        <v>147870</v>
      </c>
      <c r="G257" s="763">
        <f t="shared" si="85"/>
        <v>184278</v>
      </c>
      <c r="H257" s="763">
        <f t="shared" si="85"/>
        <v>156936</v>
      </c>
      <c r="I257" s="763">
        <f t="shared" si="85"/>
        <v>180835</v>
      </c>
      <c r="J257" s="763">
        <f t="shared" si="85"/>
        <v>2554</v>
      </c>
      <c r="K257" s="763">
        <f t="shared" si="85"/>
        <v>9253</v>
      </c>
      <c r="L257" s="763"/>
      <c r="M257" s="763"/>
      <c r="N257" s="763"/>
      <c r="O257" s="763"/>
      <c r="P257" s="763"/>
    </row>
    <row r="258" spans="1:16" s="324" customFormat="1" ht="19.5" customHeight="1" thickTop="1">
      <c r="A258" s="1210">
        <v>750</v>
      </c>
      <c r="B258" s="1203"/>
      <c r="C258" s="1211" t="s">
        <v>439</v>
      </c>
      <c r="D258" s="1198">
        <f t="shared" si="79"/>
        <v>829596</v>
      </c>
      <c r="E258" s="1198">
        <f t="shared" si="85"/>
        <v>147870</v>
      </c>
      <c r="F258" s="1198">
        <f t="shared" si="85"/>
        <v>147870</v>
      </c>
      <c r="G258" s="1198">
        <f t="shared" si="85"/>
        <v>184278</v>
      </c>
      <c r="H258" s="1198">
        <f t="shared" si="85"/>
        <v>156936</v>
      </c>
      <c r="I258" s="1198">
        <f t="shared" si="85"/>
        <v>180835</v>
      </c>
      <c r="J258" s="1198">
        <f t="shared" si="85"/>
        <v>2554</v>
      </c>
      <c r="K258" s="1198">
        <f t="shared" si="85"/>
        <v>9253</v>
      </c>
      <c r="L258" s="1198"/>
      <c r="M258" s="1198"/>
      <c r="N258" s="1198"/>
      <c r="O258" s="1198"/>
      <c r="P258" s="1198"/>
    </row>
    <row r="259" spans="1:16" s="324" customFormat="1" ht="19.5" customHeight="1">
      <c r="A259" s="793"/>
      <c r="B259" s="787">
        <v>75011</v>
      </c>
      <c r="C259" s="1194" t="s">
        <v>1049</v>
      </c>
      <c r="D259" s="664">
        <f t="shared" si="79"/>
        <v>829596</v>
      </c>
      <c r="E259" s="664">
        <v>147870</v>
      </c>
      <c r="F259" s="664">
        <v>147870</v>
      </c>
      <c r="G259" s="664">
        <v>184278</v>
      </c>
      <c r="H259" s="664">
        <v>156936</v>
      </c>
      <c r="I259" s="664">
        <v>180835</v>
      </c>
      <c r="J259" s="664">
        <v>2554</v>
      </c>
      <c r="K259" s="664">
        <v>9253</v>
      </c>
      <c r="L259" s="664"/>
      <c r="M259" s="664"/>
      <c r="N259" s="664"/>
      <c r="O259" s="664"/>
      <c r="P259" s="664"/>
    </row>
    <row r="260" spans="1:16" s="324" customFormat="1" ht="26.25" customHeight="1">
      <c r="A260" s="786"/>
      <c r="B260" s="786"/>
      <c r="C260" s="640" t="s">
        <v>935</v>
      </c>
      <c r="D260" s="1190">
        <f>SUM(E260:P260)</f>
        <v>1700000</v>
      </c>
      <c r="E260" s="1190">
        <f>E261</f>
        <v>160000</v>
      </c>
      <c r="F260" s="1190">
        <f aca="true" t="shared" si="86" ref="F260:P260">F261</f>
        <v>160000</v>
      </c>
      <c r="G260" s="1190">
        <f t="shared" si="86"/>
        <v>170000</v>
      </c>
      <c r="H260" s="1190">
        <f t="shared" si="86"/>
        <v>170000</v>
      </c>
      <c r="I260" s="1190">
        <f t="shared" si="86"/>
        <v>170000</v>
      </c>
      <c r="J260" s="1190">
        <f t="shared" si="86"/>
        <v>150000</v>
      </c>
      <c r="K260" s="1190">
        <f t="shared" si="86"/>
        <v>120000</v>
      </c>
      <c r="L260" s="1190">
        <f t="shared" si="86"/>
        <v>120000</v>
      </c>
      <c r="M260" s="1190">
        <f t="shared" si="86"/>
        <v>120000</v>
      </c>
      <c r="N260" s="1190">
        <f t="shared" si="86"/>
        <v>120000</v>
      </c>
      <c r="O260" s="1190">
        <f t="shared" si="86"/>
        <v>120000</v>
      </c>
      <c r="P260" s="1190">
        <f t="shared" si="86"/>
        <v>120000</v>
      </c>
    </row>
    <row r="261" spans="1:16" s="324" customFormat="1" ht="24.75" customHeight="1" thickBot="1">
      <c r="A261" s="787"/>
      <c r="B261" s="787"/>
      <c r="C261" s="739" t="s">
        <v>646</v>
      </c>
      <c r="D261" s="725">
        <f>SUM(E261:P261)</f>
        <v>1700000</v>
      </c>
      <c r="E261" s="725">
        <f>E262</f>
        <v>160000</v>
      </c>
      <c r="F261" s="725">
        <f aca="true" t="shared" si="87" ref="F261:P261">F262</f>
        <v>160000</v>
      </c>
      <c r="G261" s="725">
        <f t="shared" si="87"/>
        <v>170000</v>
      </c>
      <c r="H261" s="725">
        <f t="shared" si="87"/>
        <v>170000</v>
      </c>
      <c r="I261" s="725">
        <f t="shared" si="87"/>
        <v>170000</v>
      </c>
      <c r="J261" s="725">
        <f t="shared" si="87"/>
        <v>150000</v>
      </c>
      <c r="K261" s="725">
        <f t="shared" si="87"/>
        <v>120000</v>
      </c>
      <c r="L261" s="725">
        <f t="shared" si="87"/>
        <v>120000</v>
      </c>
      <c r="M261" s="725">
        <f t="shared" si="87"/>
        <v>120000</v>
      </c>
      <c r="N261" s="725">
        <f t="shared" si="87"/>
        <v>120000</v>
      </c>
      <c r="O261" s="725">
        <f t="shared" si="87"/>
        <v>120000</v>
      </c>
      <c r="P261" s="725">
        <f t="shared" si="87"/>
        <v>120000</v>
      </c>
    </row>
    <row r="262" spans="1:16" s="324" customFormat="1" ht="21.75" customHeight="1" thickTop="1">
      <c r="A262" s="1203">
        <v>750</v>
      </c>
      <c r="B262" s="1197"/>
      <c r="C262" s="801" t="s">
        <v>439</v>
      </c>
      <c r="D262" s="1198">
        <f>SUM(E262:P262)</f>
        <v>1700000</v>
      </c>
      <c r="E262" s="1198">
        <f>E263</f>
        <v>160000</v>
      </c>
      <c r="F262" s="1198">
        <f aca="true" t="shared" si="88" ref="F262:P262">F263</f>
        <v>160000</v>
      </c>
      <c r="G262" s="1198">
        <f t="shared" si="88"/>
        <v>170000</v>
      </c>
      <c r="H262" s="1198">
        <f t="shared" si="88"/>
        <v>170000</v>
      </c>
      <c r="I262" s="1198">
        <f t="shared" si="88"/>
        <v>170000</v>
      </c>
      <c r="J262" s="1198">
        <f t="shared" si="88"/>
        <v>150000</v>
      </c>
      <c r="K262" s="1198">
        <f t="shared" si="88"/>
        <v>120000</v>
      </c>
      <c r="L262" s="1198">
        <f t="shared" si="88"/>
        <v>120000</v>
      </c>
      <c r="M262" s="1198">
        <f t="shared" si="88"/>
        <v>120000</v>
      </c>
      <c r="N262" s="1198">
        <f t="shared" si="88"/>
        <v>120000</v>
      </c>
      <c r="O262" s="1198">
        <f t="shared" si="88"/>
        <v>120000</v>
      </c>
      <c r="P262" s="1198">
        <f t="shared" si="88"/>
        <v>120000</v>
      </c>
    </row>
    <row r="263" spans="1:16" s="324" customFormat="1" ht="24.75" customHeight="1">
      <c r="A263" s="786"/>
      <c r="B263" s="787">
        <v>75023</v>
      </c>
      <c r="C263" s="653" t="s">
        <v>1061</v>
      </c>
      <c r="D263" s="664">
        <f>SUM(E263:P263)</f>
        <v>1700000</v>
      </c>
      <c r="E263" s="664">
        <v>160000</v>
      </c>
      <c r="F263" s="664">
        <v>160000</v>
      </c>
      <c r="G263" s="664">
        <v>170000</v>
      </c>
      <c r="H263" s="664">
        <v>170000</v>
      </c>
      <c r="I263" s="664">
        <v>170000</v>
      </c>
      <c r="J263" s="664">
        <v>150000</v>
      </c>
      <c r="K263" s="664">
        <v>120000</v>
      </c>
      <c r="L263" s="664">
        <v>120000</v>
      </c>
      <c r="M263" s="664">
        <v>120000</v>
      </c>
      <c r="N263" s="664">
        <v>120000</v>
      </c>
      <c r="O263" s="664">
        <v>120000</v>
      </c>
      <c r="P263" s="664">
        <v>120000</v>
      </c>
    </row>
    <row r="264" spans="1:16" s="324" customFormat="1" ht="26.25" customHeight="1">
      <c r="A264" s="786"/>
      <c r="B264" s="786"/>
      <c r="C264" s="640" t="s">
        <v>936</v>
      </c>
      <c r="D264" s="1190">
        <f t="shared" si="79"/>
        <v>9945214</v>
      </c>
      <c r="E264" s="1190">
        <f>E265+E277</f>
        <v>669126</v>
      </c>
      <c r="F264" s="1190">
        <f aca="true" t="shared" si="89" ref="F264:P264">F265+F277</f>
        <v>939375</v>
      </c>
      <c r="G264" s="1190">
        <f t="shared" si="89"/>
        <v>837021</v>
      </c>
      <c r="H264" s="1190">
        <f t="shared" si="89"/>
        <v>495236</v>
      </c>
      <c r="I264" s="1190">
        <f t="shared" si="89"/>
        <v>581384</v>
      </c>
      <c r="J264" s="1190">
        <f t="shared" si="89"/>
        <v>443427</v>
      </c>
      <c r="K264" s="1190">
        <f t="shared" si="89"/>
        <v>988440</v>
      </c>
      <c r="L264" s="1190">
        <f t="shared" si="89"/>
        <v>988440</v>
      </c>
      <c r="M264" s="1190">
        <f t="shared" si="89"/>
        <v>1021199</v>
      </c>
      <c r="N264" s="1190">
        <f t="shared" si="89"/>
        <v>988440</v>
      </c>
      <c r="O264" s="1190">
        <f t="shared" si="89"/>
        <v>1004219</v>
      </c>
      <c r="P264" s="1190">
        <f t="shared" si="89"/>
        <v>988907</v>
      </c>
    </row>
    <row r="265" spans="1:16" s="324" customFormat="1" ht="19.5" customHeight="1" thickBot="1">
      <c r="A265" s="787"/>
      <c r="B265" s="787"/>
      <c r="C265" s="739" t="s">
        <v>646</v>
      </c>
      <c r="D265" s="725">
        <f t="shared" si="79"/>
        <v>9918393</v>
      </c>
      <c r="E265" s="725">
        <f>E266+E271+E273+E275+E269</f>
        <v>669126</v>
      </c>
      <c r="F265" s="725">
        <f aca="true" t="shared" si="90" ref="F265:P265">F266+F271+F273+F275+F269</f>
        <v>939375</v>
      </c>
      <c r="G265" s="725">
        <f t="shared" si="90"/>
        <v>829380</v>
      </c>
      <c r="H265" s="725">
        <f t="shared" si="90"/>
        <v>492689</v>
      </c>
      <c r="I265" s="725">
        <f t="shared" si="90"/>
        <v>579572</v>
      </c>
      <c r="J265" s="725">
        <f t="shared" si="90"/>
        <v>434106</v>
      </c>
      <c r="K265" s="725">
        <f t="shared" si="90"/>
        <v>987550</v>
      </c>
      <c r="L265" s="725">
        <f t="shared" si="90"/>
        <v>987550</v>
      </c>
      <c r="M265" s="725">
        <f t="shared" si="90"/>
        <v>1020309</v>
      </c>
      <c r="N265" s="725">
        <f t="shared" si="90"/>
        <v>987550</v>
      </c>
      <c r="O265" s="725">
        <f t="shared" si="90"/>
        <v>1003329</v>
      </c>
      <c r="P265" s="725">
        <f t="shared" si="90"/>
        <v>987857</v>
      </c>
    </row>
    <row r="266" spans="1:16" s="324" customFormat="1" ht="19.5" customHeight="1" thickTop="1">
      <c r="A266" s="1203">
        <v>750</v>
      </c>
      <c r="B266" s="1197"/>
      <c r="C266" s="801" t="s">
        <v>439</v>
      </c>
      <c r="D266" s="1198">
        <f t="shared" si="79"/>
        <v>9862200</v>
      </c>
      <c r="E266" s="1198">
        <f aca="true" t="shared" si="91" ref="E266:P266">E267+E268</f>
        <v>665036</v>
      </c>
      <c r="F266" s="1198">
        <f t="shared" si="91"/>
        <v>933731</v>
      </c>
      <c r="G266" s="1198">
        <f t="shared" si="91"/>
        <v>827230</v>
      </c>
      <c r="H266" s="1198">
        <f t="shared" si="91"/>
        <v>490539</v>
      </c>
      <c r="I266" s="1198">
        <f t="shared" si="91"/>
        <v>577422</v>
      </c>
      <c r="J266" s="1198">
        <f t="shared" si="91"/>
        <v>431956</v>
      </c>
      <c r="K266" s="1198">
        <f t="shared" si="91"/>
        <v>985400</v>
      </c>
      <c r="L266" s="1198">
        <f t="shared" si="91"/>
        <v>985400</v>
      </c>
      <c r="M266" s="1198">
        <f t="shared" si="91"/>
        <v>993400</v>
      </c>
      <c r="N266" s="1198">
        <f t="shared" si="91"/>
        <v>985400</v>
      </c>
      <c r="O266" s="1198">
        <f t="shared" si="91"/>
        <v>1001179</v>
      </c>
      <c r="P266" s="1198">
        <f t="shared" si="91"/>
        <v>985507</v>
      </c>
    </row>
    <row r="267" spans="1:16" s="324" customFormat="1" ht="19.5" customHeight="1">
      <c r="A267" s="786"/>
      <c r="B267" s="787">
        <v>75022</v>
      </c>
      <c r="C267" s="653" t="s">
        <v>440</v>
      </c>
      <c r="D267" s="664">
        <f t="shared" si="79"/>
        <v>373000</v>
      </c>
      <c r="E267" s="664">
        <v>29815</v>
      </c>
      <c r="F267" s="664">
        <v>14809</v>
      </c>
      <c r="G267" s="664">
        <v>26311</v>
      </c>
      <c r="H267" s="664">
        <v>28125</v>
      </c>
      <c r="I267" s="664">
        <v>28975</v>
      </c>
      <c r="J267" s="664">
        <v>24458</v>
      </c>
      <c r="K267" s="664">
        <v>35400</v>
      </c>
      <c r="L267" s="664">
        <v>35400</v>
      </c>
      <c r="M267" s="664">
        <v>43400</v>
      </c>
      <c r="N267" s="664">
        <v>35400</v>
      </c>
      <c r="O267" s="664">
        <v>35400</v>
      </c>
      <c r="P267" s="664">
        <v>35507</v>
      </c>
    </row>
    <row r="268" spans="1:16" s="324" customFormat="1" ht="19.5" customHeight="1">
      <c r="A268" s="787"/>
      <c r="B268" s="787">
        <v>75023</v>
      </c>
      <c r="C268" s="653" t="s">
        <v>1061</v>
      </c>
      <c r="D268" s="664">
        <f t="shared" si="79"/>
        <v>9489200</v>
      </c>
      <c r="E268" s="664">
        <v>635221</v>
      </c>
      <c r="F268" s="664">
        <v>918922</v>
      </c>
      <c r="G268" s="664">
        <v>800919</v>
      </c>
      <c r="H268" s="664">
        <v>462414</v>
      </c>
      <c r="I268" s="664">
        <v>548447</v>
      </c>
      <c r="J268" s="664">
        <v>407498</v>
      </c>
      <c r="K268" s="664">
        <v>950000</v>
      </c>
      <c r="L268" s="664">
        <v>950000</v>
      </c>
      <c r="M268" s="664">
        <v>950000</v>
      </c>
      <c r="N268" s="664">
        <v>950000</v>
      </c>
      <c r="O268" s="664">
        <v>965779</v>
      </c>
      <c r="P268" s="664">
        <v>950000</v>
      </c>
    </row>
    <row r="269" spans="1:16" s="324" customFormat="1" ht="19.5" customHeight="1">
      <c r="A269" s="1197">
        <v>851</v>
      </c>
      <c r="B269" s="1203"/>
      <c r="C269" s="1204" t="s">
        <v>106</v>
      </c>
      <c r="D269" s="1205">
        <f>SUM(E269:P269)</f>
        <v>26000</v>
      </c>
      <c r="E269" s="1205">
        <f aca="true" t="shared" si="92" ref="E269:P269">E270</f>
        <v>2150</v>
      </c>
      <c r="F269" s="1205">
        <f t="shared" si="92"/>
        <v>2150</v>
      </c>
      <c r="G269" s="1205">
        <f t="shared" si="92"/>
        <v>2150</v>
      </c>
      <c r="H269" s="1205">
        <f t="shared" si="92"/>
        <v>2150</v>
      </c>
      <c r="I269" s="1205">
        <f t="shared" si="92"/>
        <v>2150</v>
      </c>
      <c r="J269" s="1205">
        <f t="shared" si="92"/>
        <v>2150</v>
      </c>
      <c r="K269" s="1205">
        <f t="shared" si="92"/>
        <v>2150</v>
      </c>
      <c r="L269" s="1205">
        <f t="shared" si="92"/>
        <v>2150</v>
      </c>
      <c r="M269" s="1205">
        <f t="shared" si="92"/>
        <v>2150</v>
      </c>
      <c r="N269" s="1205">
        <f t="shared" si="92"/>
        <v>2150</v>
      </c>
      <c r="O269" s="1205">
        <f t="shared" si="92"/>
        <v>2150</v>
      </c>
      <c r="P269" s="1205">
        <f t="shared" si="92"/>
        <v>2350</v>
      </c>
    </row>
    <row r="270" spans="1:16" s="324" customFormat="1" ht="19.5" customHeight="1">
      <c r="A270" s="787"/>
      <c r="B270" s="652">
        <v>85154</v>
      </c>
      <c r="C270" s="653" t="s">
        <v>124</v>
      </c>
      <c r="D270" s="664">
        <f>SUM(E270:P270)</f>
        <v>26000</v>
      </c>
      <c r="E270" s="664">
        <v>2150</v>
      </c>
      <c r="F270" s="664">
        <v>2150</v>
      </c>
      <c r="G270" s="664">
        <v>2150</v>
      </c>
      <c r="H270" s="664">
        <f>2150</f>
        <v>2150</v>
      </c>
      <c r="I270" s="664">
        <v>2150</v>
      </c>
      <c r="J270" s="664">
        <f>2150</f>
        <v>2150</v>
      </c>
      <c r="K270" s="664">
        <v>2150</v>
      </c>
      <c r="L270" s="664">
        <v>2150</v>
      </c>
      <c r="M270" s="664">
        <v>2150</v>
      </c>
      <c r="N270" s="664">
        <v>2150</v>
      </c>
      <c r="O270" s="664">
        <v>2150</v>
      </c>
      <c r="P270" s="664">
        <v>2350</v>
      </c>
    </row>
    <row r="271" spans="1:16" s="324" customFormat="1" ht="19.5" customHeight="1">
      <c r="A271" s="1197">
        <v>852</v>
      </c>
      <c r="B271" s="1197"/>
      <c r="C271" s="801" t="s">
        <v>129</v>
      </c>
      <c r="D271" s="1198">
        <f t="shared" si="79"/>
        <v>9853</v>
      </c>
      <c r="E271" s="1198"/>
      <c r="F271" s="1198"/>
      <c r="G271" s="1198"/>
      <c r="H271" s="1198"/>
      <c r="I271" s="1198"/>
      <c r="J271" s="1198"/>
      <c r="K271" s="1198"/>
      <c r="L271" s="1198"/>
      <c r="M271" s="1198">
        <f>M272</f>
        <v>9853</v>
      </c>
      <c r="N271" s="1198"/>
      <c r="O271" s="1198"/>
      <c r="P271" s="1198"/>
    </row>
    <row r="272" spans="1:16" s="324" customFormat="1" ht="19.5" customHeight="1">
      <c r="A272" s="787"/>
      <c r="B272" s="652">
        <v>85295</v>
      </c>
      <c r="C272" s="653" t="s">
        <v>100</v>
      </c>
      <c r="D272" s="664">
        <f t="shared" si="79"/>
        <v>9853</v>
      </c>
      <c r="E272" s="664"/>
      <c r="F272" s="664"/>
      <c r="G272" s="664"/>
      <c r="H272" s="664"/>
      <c r="I272" s="664"/>
      <c r="J272" s="664"/>
      <c r="K272" s="664"/>
      <c r="L272" s="664"/>
      <c r="M272" s="664">
        <v>9853</v>
      </c>
      <c r="N272" s="664"/>
      <c r="O272" s="664"/>
      <c r="P272" s="664"/>
    </row>
    <row r="273" spans="1:16" s="324" customFormat="1" ht="34.5" customHeight="1">
      <c r="A273" s="1197">
        <v>853</v>
      </c>
      <c r="B273" s="1197"/>
      <c r="C273" s="801" t="s">
        <v>277</v>
      </c>
      <c r="D273" s="1198">
        <f t="shared" si="79"/>
        <v>20000</v>
      </c>
      <c r="E273" s="1198">
        <f>E274</f>
        <v>1600</v>
      </c>
      <c r="F273" s="1198">
        <f>F274</f>
        <v>3494</v>
      </c>
      <c r="G273" s="1198"/>
      <c r="H273" s="1198"/>
      <c r="I273" s="1198"/>
      <c r="J273" s="1198"/>
      <c r="K273" s="1198"/>
      <c r="L273" s="1198"/>
      <c r="M273" s="1198">
        <f>M274</f>
        <v>14906</v>
      </c>
      <c r="N273" s="1198"/>
      <c r="O273" s="1198"/>
      <c r="P273" s="1198"/>
    </row>
    <row r="274" spans="1:16" s="324" customFormat="1" ht="22.5" customHeight="1">
      <c r="A274" s="787"/>
      <c r="B274" s="652">
        <v>85334</v>
      </c>
      <c r="C274" s="653" t="s">
        <v>885</v>
      </c>
      <c r="D274" s="664">
        <f t="shared" si="79"/>
        <v>20000</v>
      </c>
      <c r="E274" s="664">
        <v>1600</v>
      </c>
      <c r="F274" s="664">
        <v>3494</v>
      </c>
      <c r="G274" s="664"/>
      <c r="H274" s="664"/>
      <c r="I274" s="664"/>
      <c r="J274" s="664"/>
      <c r="K274" s="664"/>
      <c r="L274" s="664"/>
      <c r="M274" s="664">
        <v>14906</v>
      </c>
      <c r="N274" s="664"/>
      <c r="O274" s="664"/>
      <c r="P274" s="664"/>
    </row>
    <row r="275" spans="1:16" s="324" customFormat="1" ht="31.5">
      <c r="A275" s="1197">
        <v>900</v>
      </c>
      <c r="B275" s="1203"/>
      <c r="C275" s="1204" t="s">
        <v>1048</v>
      </c>
      <c r="D275" s="1205">
        <f t="shared" si="79"/>
        <v>340</v>
      </c>
      <c r="E275" s="1205">
        <f>E276</f>
        <v>340</v>
      </c>
      <c r="F275" s="1205"/>
      <c r="G275" s="1205"/>
      <c r="H275" s="1205"/>
      <c r="I275" s="1205"/>
      <c r="J275" s="1205"/>
      <c r="K275" s="1205"/>
      <c r="L275" s="1205"/>
      <c r="M275" s="1205"/>
      <c r="N275" s="1205"/>
      <c r="O275" s="1205"/>
      <c r="P275" s="1205"/>
    </row>
    <row r="276" spans="1:16" s="324" customFormat="1" ht="19.5" customHeight="1">
      <c r="A276" s="786"/>
      <c r="B276" s="652">
        <v>90002</v>
      </c>
      <c r="C276" s="653" t="s">
        <v>176</v>
      </c>
      <c r="D276" s="664">
        <f t="shared" si="79"/>
        <v>340</v>
      </c>
      <c r="E276" s="664">
        <v>340</v>
      </c>
      <c r="F276" s="664"/>
      <c r="G276" s="664"/>
      <c r="H276" s="664"/>
      <c r="I276" s="664"/>
      <c r="J276" s="664"/>
      <c r="K276" s="664"/>
      <c r="L276" s="664"/>
      <c r="M276" s="664"/>
      <c r="N276" s="664"/>
      <c r="O276" s="664"/>
      <c r="P276" s="664"/>
    </row>
    <row r="277" spans="1:16" s="324" customFormat="1" ht="39.75" customHeight="1" thickBot="1">
      <c r="A277" s="787"/>
      <c r="B277" s="786"/>
      <c r="C277" s="677" t="s">
        <v>1021</v>
      </c>
      <c r="D277" s="763">
        <f t="shared" si="79"/>
        <v>26821</v>
      </c>
      <c r="E277" s="763"/>
      <c r="F277" s="763"/>
      <c r="G277" s="763">
        <f aca="true" t="shared" si="93" ref="G277:P278">G278</f>
        <v>7641</v>
      </c>
      <c r="H277" s="763">
        <f t="shared" si="93"/>
        <v>2547</v>
      </c>
      <c r="I277" s="763">
        <f t="shared" si="93"/>
        <v>1812</v>
      </c>
      <c r="J277" s="763">
        <f t="shared" si="93"/>
        <v>9321</v>
      </c>
      <c r="K277" s="763">
        <f t="shared" si="93"/>
        <v>890</v>
      </c>
      <c r="L277" s="763">
        <f t="shared" si="93"/>
        <v>890</v>
      </c>
      <c r="M277" s="763">
        <f t="shared" si="93"/>
        <v>890</v>
      </c>
      <c r="N277" s="763">
        <f t="shared" si="93"/>
        <v>890</v>
      </c>
      <c r="O277" s="763">
        <f t="shared" si="93"/>
        <v>890</v>
      </c>
      <c r="P277" s="763">
        <f t="shared" si="93"/>
        <v>1050</v>
      </c>
    </row>
    <row r="278" spans="1:16" s="324" customFormat="1" ht="36" customHeight="1" thickTop="1">
      <c r="A278" s="1203">
        <v>853</v>
      </c>
      <c r="B278" s="1203"/>
      <c r="C278" s="801" t="s">
        <v>277</v>
      </c>
      <c r="D278" s="1198">
        <f t="shared" si="79"/>
        <v>26821</v>
      </c>
      <c r="E278" s="1198"/>
      <c r="F278" s="1198"/>
      <c r="G278" s="1198">
        <f t="shared" si="93"/>
        <v>7641</v>
      </c>
      <c r="H278" s="1198">
        <f t="shared" si="93"/>
        <v>2547</v>
      </c>
      <c r="I278" s="1198">
        <f t="shared" si="93"/>
        <v>1812</v>
      </c>
      <c r="J278" s="1198">
        <f t="shared" si="93"/>
        <v>9321</v>
      </c>
      <c r="K278" s="1198">
        <f t="shared" si="93"/>
        <v>890</v>
      </c>
      <c r="L278" s="1198">
        <f t="shared" si="93"/>
        <v>890</v>
      </c>
      <c r="M278" s="1198">
        <f t="shared" si="93"/>
        <v>890</v>
      </c>
      <c r="N278" s="1198">
        <f t="shared" si="93"/>
        <v>890</v>
      </c>
      <c r="O278" s="1198">
        <f t="shared" si="93"/>
        <v>890</v>
      </c>
      <c r="P278" s="1198">
        <f t="shared" si="93"/>
        <v>1050</v>
      </c>
    </row>
    <row r="279" spans="1:16" s="324" customFormat="1" ht="19.5" customHeight="1">
      <c r="A279" s="786"/>
      <c r="B279" s="652">
        <v>85334</v>
      </c>
      <c r="C279" s="653" t="s">
        <v>885</v>
      </c>
      <c r="D279" s="664">
        <f t="shared" si="79"/>
        <v>26821</v>
      </c>
      <c r="E279" s="664"/>
      <c r="F279" s="664"/>
      <c r="G279" s="664">
        <v>7641</v>
      </c>
      <c r="H279" s="664">
        <v>2547</v>
      </c>
      <c r="I279" s="664">
        <f>1812</f>
        <v>1812</v>
      </c>
      <c r="J279" s="664">
        <f>7000+2321</f>
        <v>9321</v>
      </c>
      <c r="K279" s="664">
        <v>890</v>
      </c>
      <c r="L279" s="664">
        <v>890</v>
      </c>
      <c r="M279" s="664">
        <v>890</v>
      </c>
      <c r="N279" s="664">
        <v>890</v>
      </c>
      <c r="O279" s="664">
        <v>890</v>
      </c>
      <c r="P279" s="664">
        <v>1050</v>
      </c>
    </row>
    <row r="280" spans="1:16" s="324" customFormat="1" ht="26.25" customHeight="1">
      <c r="A280" s="786"/>
      <c r="B280" s="786"/>
      <c r="C280" s="640" t="s">
        <v>911</v>
      </c>
      <c r="D280" s="1190">
        <f>SUM(E280:P280)</f>
        <v>45069149</v>
      </c>
      <c r="E280" s="1190">
        <f>E281</f>
        <v>23580</v>
      </c>
      <c r="F280" s="1190">
        <f aca="true" t="shared" si="94" ref="F280:P280">F281</f>
        <v>34628</v>
      </c>
      <c r="G280" s="1190">
        <f t="shared" si="94"/>
        <v>1686660</v>
      </c>
      <c r="H280" s="1190">
        <f t="shared" si="94"/>
        <v>1609873</v>
      </c>
      <c r="I280" s="1190">
        <f t="shared" si="94"/>
        <v>2977607</v>
      </c>
      <c r="J280" s="1190">
        <f t="shared" si="94"/>
        <v>5367634</v>
      </c>
      <c r="K280" s="1190">
        <f t="shared" si="94"/>
        <v>4315297</v>
      </c>
      <c r="L280" s="1190">
        <f t="shared" si="94"/>
        <v>4161182</v>
      </c>
      <c r="M280" s="1190">
        <f t="shared" si="94"/>
        <v>9030829</v>
      </c>
      <c r="N280" s="1190">
        <f t="shared" si="94"/>
        <v>8134946</v>
      </c>
      <c r="O280" s="1190">
        <f t="shared" si="94"/>
        <v>2583000</v>
      </c>
      <c r="P280" s="1190">
        <f t="shared" si="94"/>
        <v>5143913</v>
      </c>
    </row>
    <row r="281" spans="1:16" s="324" customFormat="1" ht="19.5" customHeight="1" thickBot="1">
      <c r="A281" s="787"/>
      <c r="B281" s="787"/>
      <c r="C281" s="739" t="s">
        <v>646</v>
      </c>
      <c r="D281" s="725">
        <f>SUM(E281:P281)</f>
        <v>45069149</v>
      </c>
      <c r="E281" s="725">
        <f aca="true" t="shared" si="95" ref="E281:P281">E282+E288+E296+E298+E302+E305+E311+E313+E285</f>
        <v>23580</v>
      </c>
      <c r="F281" s="725">
        <f t="shared" si="95"/>
        <v>34628</v>
      </c>
      <c r="G281" s="725">
        <f t="shared" si="95"/>
        <v>1686660</v>
      </c>
      <c r="H281" s="725">
        <f t="shared" si="95"/>
        <v>1609873</v>
      </c>
      <c r="I281" s="725">
        <f t="shared" si="95"/>
        <v>2977607</v>
      </c>
      <c r="J281" s="725">
        <f t="shared" si="95"/>
        <v>5367634</v>
      </c>
      <c r="K281" s="725">
        <f t="shared" si="95"/>
        <v>4315297</v>
      </c>
      <c r="L281" s="725">
        <f t="shared" si="95"/>
        <v>4161182</v>
      </c>
      <c r="M281" s="725">
        <f t="shared" si="95"/>
        <v>9030829</v>
      </c>
      <c r="N281" s="725">
        <f t="shared" si="95"/>
        <v>8134946</v>
      </c>
      <c r="O281" s="725">
        <f t="shared" si="95"/>
        <v>2583000</v>
      </c>
      <c r="P281" s="725">
        <f t="shared" si="95"/>
        <v>5143913</v>
      </c>
    </row>
    <row r="282" spans="1:16" s="324" customFormat="1" ht="19.5" customHeight="1" thickTop="1">
      <c r="A282" s="1203">
        <v>750</v>
      </c>
      <c r="B282" s="1197"/>
      <c r="C282" s="801" t="s">
        <v>439</v>
      </c>
      <c r="D282" s="1198">
        <f>SUM(E282:P282)</f>
        <v>7355000</v>
      </c>
      <c r="E282" s="1198"/>
      <c r="F282" s="1198">
        <f aca="true" t="shared" si="96" ref="F282:P282">F283+F284</f>
        <v>4628</v>
      </c>
      <c r="G282" s="1198">
        <f t="shared" si="96"/>
        <v>244922</v>
      </c>
      <c r="H282" s="1198">
        <f t="shared" si="96"/>
        <v>33873</v>
      </c>
      <c r="I282" s="1198">
        <f t="shared" si="96"/>
        <v>78345</v>
      </c>
      <c r="J282" s="1198">
        <f t="shared" si="96"/>
        <v>573894</v>
      </c>
      <c r="K282" s="1198">
        <f t="shared" si="96"/>
        <v>755297</v>
      </c>
      <c r="L282" s="1198">
        <f t="shared" si="96"/>
        <v>871128</v>
      </c>
      <c r="M282" s="1198">
        <f t="shared" si="96"/>
        <v>1169000</v>
      </c>
      <c r="N282" s="1198">
        <f t="shared" si="96"/>
        <v>1050000</v>
      </c>
      <c r="O282" s="1198">
        <f t="shared" si="96"/>
        <v>730000</v>
      </c>
      <c r="P282" s="1198">
        <f t="shared" si="96"/>
        <v>1843913</v>
      </c>
    </row>
    <row r="283" spans="1:16" s="324" customFormat="1" ht="19.5" customHeight="1">
      <c r="A283" s="786"/>
      <c r="B283" s="787">
        <v>75022</v>
      </c>
      <c r="C283" s="653" t="s">
        <v>440</v>
      </c>
      <c r="D283" s="664">
        <f>SUM(E283:P283)</f>
        <v>17000</v>
      </c>
      <c r="E283" s="664"/>
      <c r="F283" s="664"/>
      <c r="G283" s="664"/>
      <c r="H283" s="664"/>
      <c r="I283" s="664"/>
      <c r="J283" s="1189"/>
      <c r="K283" s="664">
        <v>14872</v>
      </c>
      <c r="L283" s="664">
        <f>17000-K283</f>
        <v>2128</v>
      </c>
      <c r="M283" s="664"/>
      <c r="N283" s="664"/>
      <c r="O283" s="664"/>
      <c r="P283" s="664"/>
    </row>
    <row r="284" spans="1:16" s="324" customFormat="1" ht="19.5" customHeight="1">
      <c r="A284" s="787"/>
      <c r="B284" s="787">
        <v>75023</v>
      </c>
      <c r="C284" s="653" t="s">
        <v>1061</v>
      </c>
      <c r="D284" s="664">
        <f>SUM(E284:P284)</f>
        <v>7338000</v>
      </c>
      <c r="E284" s="664"/>
      <c r="F284" s="664">
        <v>4628</v>
      </c>
      <c r="G284" s="664">
        <v>244922</v>
      </c>
      <c r="H284" s="664">
        <v>33873</v>
      </c>
      <c r="I284" s="664">
        <v>78345</v>
      </c>
      <c r="J284" s="664">
        <v>573894</v>
      </c>
      <c r="K284" s="664">
        <v>740425</v>
      </c>
      <c r="L284" s="664">
        <v>869000</v>
      </c>
      <c r="M284" s="664">
        <v>1169000</v>
      </c>
      <c r="N284" s="664">
        <v>1050000</v>
      </c>
      <c r="O284" s="664">
        <v>730000</v>
      </c>
      <c r="P284" s="664">
        <v>1843913</v>
      </c>
    </row>
    <row r="285" spans="1:16" s="324" customFormat="1" ht="31.5">
      <c r="A285" s="1199" t="s">
        <v>954</v>
      </c>
      <c r="B285" s="1197"/>
      <c r="C285" s="801" t="s">
        <v>441</v>
      </c>
      <c r="D285" s="1198">
        <f aca="true" t="shared" si="97" ref="D285:D314">SUM(E285:P285)</f>
        <v>58000</v>
      </c>
      <c r="E285" s="1202"/>
      <c r="F285" s="1202"/>
      <c r="G285" s="1202"/>
      <c r="H285" s="1202"/>
      <c r="I285" s="1202">
        <f>I286</f>
        <v>38000</v>
      </c>
      <c r="J285" s="1202"/>
      <c r="K285" s="1202"/>
      <c r="L285" s="1202"/>
      <c r="M285" s="1202">
        <f>M287</f>
        <v>20000</v>
      </c>
      <c r="N285" s="1202"/>
      <c r="O285" s="1202"/>
      <c r="P285" s="1202"/>
    </row>
    <row r="286" spans="1:16" s="324" customFormat="1" ht="21.75" customHeight="1">
      <c r="A286" s="1184"/>
      <c r="B286" s="787">
        <v>75412</v>
      </c>
      <c r="C286" s="653" t="s">
        <v>443</v>
      </c>
      <c r="D286" s="664">
        <f t="shared" si="97"/>
        <v>38000</v>
      </c>
      <c r="E286" s="822"/>
      <c r="F286" s="822"/>
      <c r="G286" s="822"/>
      <c r="H286" s="822"/>
      <c r="I286" s="822">
        <v>38000</v>
      </c>
      <c r="J286" s="822"/>
      <c r="K286" s="822"/>
      <c r="L286" s="822"/>
      <c r="M286" s="822"/>
      <c r="N286" s="822"/>
      <c r="O286" s="822"/>
      <c r="P286" s="822"/>
    </row>
    <row r="287" spans="1:16" s="324" customFormat="1" ht="21.75" customHeight="1">
      <c r="A287" s="1178"/>
      <c r="B287" s="787">
        <v>75495</v>
      </c>
      <c r="C287" s="653" t="s">
        <v>100</v>
      </c>
      <c r="D287" s="664">
        <f>SUM(E287:P287)</f>
        <v>20000</v>
      </c>
      <c r="E287" s="822"/>
      <c r="F287" s="822"/>
      <c r="G287" s="822"/>
      <c r="H287" s="822"/>
      <c r="I287" s="822"/>
      <c r="J287" s="822"/>
      <c r="K287" s="822"/>
      <c r="L287" s="822"/>
      <c r="M287" s="822">
        <v>20000</v>
      </c>
      <c r="N287" s="822"/>
      <c r="O287" s="822"/>
      <c r="P287" s="822"/>
    </row>
    <row r="288" spans="1:16" s="324" customFormat="1" ht="19.5" customHeight="1">
      <c r="A288" s="1203">
        <v>801</v>
      </c>
      <c r="B288" s="1197"/>
      <c r="C288" s="801" t="s">
        <v>448</v>
      </c>
      <c r="D288" s="1198">
        <f t="shared" si="97"/>
        <v>28736398</v>
      </c>
      <c r="E288" s="1198">
        <f aca="true" t="shared" si="98" ref="E288:P288">E289+E290+E292+E293+E294+E295+E291</f>
        <v>13820</v>
      </c>
      <c r="F288" s="1198">
        <f t="shared" si="98"/>
        <v>30000</v>
      </c>
      <c r="G288" s="1198">
        <f t="shared" si="98"/>
        <v>1050000</v>
      </c>
      <c r="H288" s="1198">
        <f t="shared" si="98"/>
        <v>1010000</v>
      </c>
      <c r="I288" s="1198">
        <f t="shared" si="98"/>
        <v>2004000</v>
      </c>
      <c r="J288" s="1198">
        <f t="shared" si="98"/>
        <v>4510000</v>
      </c>
      <c r="K288" s="1198">
        <f t="shared" si="98"/>
        <v>2010000</v>
      </c>
      <c r="L288" s="1198">
        <f t="shared" si="98"/>
        <v>2825632</v>
      </c>
      <c r="M288" s="1198">
        <f t="shared" si="98"/>
        <v>5645000</v>
      </c>
      <c r="N288" s="1198">
        <f t="shared" si="98"/>
        <v>6234946</v>
      </c>
      <c r="O288" s="1198">
        <f t="shared" si="98"/>
        <v>803000</v>
      </c>
      <c r="P288" s="1198">
        <f t="shared" si="98"/>
        <v>2600000</v>
      </c>
    </row>
    <row r="289" spans="1:16" s="324" customFormat="1" ht="19.5" customHeight="1">
      <c r="A289" s="786"/>
      <c r="B289" s="652">
        <v>80101</v>
      </c>
      <c r="C289" s="653" t="s">
        <v>449</v>
      </c>
      <c r="D289" s="664">
        <f t="shared" si="97"/>
        <v>16126572</v>
      </c>
      <c r="E289" s="664">
        <v>13820</v>
      </c>
      <c r="F289" s="664">
        <v>30000</v>
      </c>
      <c r="G289" s="664">
        <v>535000</v>
      </c>
      <c r="H289" s="664">
        <v>1000000</v>
      </c>
      <c r="I289" s="664">
        <v>2000000</v>
      </c>
      <c r="J289" s="664">
        <v>2000000</v>
      </c>
      <c r="K289" s="664">
        <v>1700000</v>
      </c>
      <c r="L289" s="664">
        <f>2200000+20000</f>
        <v>2220000</v>
      </c>
      <c r="M289" s="664">
        <f>2200000+20000</f>
        <v>2220000</v>
      </c>
      <c r="N289" s="664">
        <f>2864752-17000+20000</f>
        <v>2867752</v>
      </c>
      <c r="O289" s="664">
        <v>20000</v>
      </c>
      <c r="P289" s="664">
        <v>1520000</v>
      </c>
    </row>
    <row r="290" spans="1:16" s="324" customFormat="1" ht="19.5" customHeight="1">
      <c r="A290" s="787"/>
      <c r="B290" s="652">
        <v>80104</v>
      </c>
      <c r="C290" s="653" t="s">
        <v>725</v>
      </c>
      <c r="D290" s="664">
        <f t="shared" si="97"/>
        <v>300000</v>
      </c>
      <c r="E290" s="664"/>
      <c r="F290" s="664"/>
      <c r="G290" s="664"/>
      <c r="H290" s="664"/>
      <c r="I290" s="664"/>
      <c r="J290" s="664"/>
      <c r="K290" s="664"/>
      <c r="L290" s="664">
        <f>200000+20000</f>
        <v>220000</v>
      </c>
      <c r="M290" s="664">
        <v>20000</v>
      </c>
      <c r="N290" s="664">
        <v>20000</v>
      </c>
      <c r="O290" s="664">
        <v>20000</v>
      </c>
      <c r="P290" s="664">
        <v>20000</v>
      </c>
    </row>
    <row r="291" spans="1:16" s="324" customFormat="1" ht="19.5" customHeight="1">
      <c r="A291" s="808"/>
      <c r="B291" s="719">
        <v>80105</v>
      </c>
      <c r="C291" s="668" t="s">
        <v>248</v>
      </c>
      <c r="D291" s="748">
        <f t="shared" si="97"/>
        <v>50000</v>
      </c>
      <c r="E291" s="748"/>
      <c r="F291" s="748"/>
      <c r="G291" s="748"/>
      <c r="H291" s="748"/>
      <c r="I291" s="748"/>
      <c r="J291" s="748"/>
      <c r="K291" s="748"/>
      <c r="L291" s="748">
        <v>50000</v>
      </c>
      <c r="M291" s="748"/>
      <c r="N291" s="748"/>
      <c r="O291" s="748"/>
      <c r="P291" s="748"/>
    </row>
    <row r="292" spans="1:16" s="324" customFormat="1" ht="19.5" customHeight="1">
      <c r="A292" s="786"/>
      <c r="B292" s="652">
        <v>80110</v>
      </c>
      <c r="C292" s="653" t="s">
        <v>450</v>
      </c>
      <c r="D292" s="664">
        <f t="shared" si="97"/>
        <v>3257360</v>
      </c>
      <c r="E292" s="664"/>
      <c r="F292" s="664"/>
      <c r="G292" s="664">
        <v>15000</v>
      </c>
      <c r="H292" s="664"/>
      <c r="I292" s="664"/>
      <c r="J292" s="664"/>
      <c r="K292" s="664"/>
      <c r="L292" s="664">
        <f>266360+20000</f>
        <v>286360</v>
      </c>
      <c r="M292" s="664">
        <f>565000+20000</f>
        <v>585000</v>
      </c>
      <c r="N292" s="664">
        <f>200000+1131000</f>
        <v>1331000</v>
      </c>
      <c r="O292" s="664">
        <v>20000</v>
      </c>
      <c r="P292" s="664">
        <v>1020000</v>
      </c>
    </row>
    <row r="293" spans="1:16" s="324" customFormat="1" ht="19.5" customHeight="1">
      <c r="A293" s="786"/>
      <c r="B293" s="652">
        <v>80120</v>
      </c>
      <c r="C293" s="653" t="s">
        <v>814</v>
      </c>
      <c r="D293" s="664">
        <f t="shared" si="97"/>
        <v>889272</v>
      </c>
      <c r="E293" s="664"/>
      <c r="F293" s="664"/>
      <c r="G293" s="664"/>
      <c r="H293" s="664"/>
      <c r="I293" s="664"/>
      <c r="J293" s="664"/>
      <c r="K293" s="664">
        <f>300000</f>
        <v>300000</v>
      </c>
      <c r="L293" s="664">
        <f>118000-108728+20000</f>
        <v>29272</v>
      </c>
      <c r="M293" s="664">
        <f>280000+20000</f>
        <v>300000</v>
      </c>
      <c r="N293" s="664">
        <f>200000+20000</f>
        <v>220000</v>
      </c>
      <c r="O293" s="664">
        <v>20000</v>
      </c>
      <c r="P293" s="664">
        <v>20000</v>
      </c>
    </row>
    <row r="294" spans="1:16" s="324" customFormat="1" ht="19.5" customHeight="1">
      <c r="A294" s="786"/>
      <c r="B294" s="652">
        <v>80130</v>
      </c>
      <c r="C294" s="653" t="s">
        <v>494</v>
      </c>
      <c r="D294" s="664">
        <f t="shared" si="97"/>
        <v>7579194</v>
      </c>
      <c r="E294" s="664"/>
      <c r="F294" s="664"/>
      <c r="G294" s="664">
        <v>500000</v>
      </c>
      <c r="H294" s="664"/>
      <c r="I294" s="664"/>
      <c r="J294" s="664">
        <v>2500000</v>
      </c>
      <c r="K294" s="664"/>
      <c r="L294" s="664">
        <f>203992-203992+20000</f>
        <v>20000</v>
      </c>
      <c r="M294" s="664">
        <f>2500000+20000</f>
        <v>2520000</v>
      </c>
      <c r="N294" s="664">
        <f>1776194+20000</f>
        <v>1796194</v>
      </c>
      <c r="O294" s="664">
        <f>203000+20000</f>
        <v>223000</v>
      </c>
      <c r="P294" s="664">
        <v>20000</v>
      </c>
    </row>
    <row r="295" spans="1:16" s="324" customFormat="1" ht="35.25" customHeight="1">
      <c r="A295" s="787"/>
      <c r="B295" s="652">
        <v>80140</v>
      </c>
      <c r="C295" s="653" t="s">
        <v>43</v>
      </c>
      <c r="D295" s="664">
        <f t="shared" si="97"/>
        <v>534000</v>
      </c>
      <c r="E295" s="664"/>
      <c r="F295" s="664"/>
      <c r="G295" s="664"/>
      <c r="H295" s="664">
        <v>10000</v>
      </c>
      <c r="I295" s="664">
        <v>4000</v>
      </c>
      <c r="J295" s="664">
        <v>10000</v>
      </c>
      <c r="K295" s="664">
        <v>10000</v>
      </c>
      <c r="L295" s="664"/>
      <c r="M295" s="664"/>
      <c r="N295" s="664"/>
      <c r="O295" s="664">
        <v>500000</v>
      </c>
      <c r="P295" s="664"/>
    </row>
    <row r="296" spans="1:16" s="324" customFormat="1" ht="19.5" customHeight="1">
      <c r="A296" s="1197">
        <v>851</v>
      </c>
      <c r="B296" s="1203"/>
      <c r="C296" s="1204" t="s">
        <v>106</v>
      </c>
      <c r="D296" s="1205">
        <f t="shared" si="97"/>
        <v>1000000</v>
      </c>
      <c r="E296" s="1205"/>
      <c r="F296" s="1205"/>
      <c r="G296" s="1205">
        <f>G297</f>
        <v>346738</v>
      </c>
      <c r="H296" s="1205">
        <f>H297</f>
        <v>366000</v>
      </c>
      <c r="I296" s="1205">
        <f>I297</f>
        <v>287262</v>
      </c>
      <c r="J296" s="1205"/>
      <c r="K296" s="1205"/>
      <c r="L296" s="1205"/>
      <c r="M296" s="1205"/>
      <c r="N296" s="1205"/>
      <c r="O296" s="1205"/>
      <c r="P296" s="1205"/>
    </row>
    <row r="297" spans="1:16" s="324" customFormat="1" ht="19.5" customHeight="1">
      <c r="A297" s="787"/>
      <c r="B297" s="652">
        <v>85154</v>
      </c>
      <c r="C297" s="653" t="s">
        <v>124</v>
      </c>
      <c r="D297" s="664">
        <f t="shared" si="97"/>
        <v>1000000</v>
      </c>
      <c r="E297" s="664"/>
      <c r="F297" s="664"/>
      <c r="G297" s="664">
        <v>346738</v>
      </c>
      <c r="H297" s="664">
        <v>366000</v>
      </c>
      <c r="I297" s="664">
        <v>287262</v>
      </c>
      <c r="J297" s="664"/>
      <c r="K297" s="664"/>
      <c r="L297" s="664"/>
      <c r="M297" s="664"/>
      <c r="N297" s="664"/>
      <c r="O297" s="664"/>
      <c r="P297" s="664"/>
    </row>
    <row r="298" spans="1:16" s="324" customFormat="1" ht="19.5" customHeight="1">
      <c r="A298" s="1197">
        <v>852</v>
      </c>
      <c r="B298" s="1197"/>
      <c r="C298" s="801" t="s">
        <v>129</v>
      </c>
      <c r="D298" s="1198">
        <f t="shared" si="97"/>
        <v>4203500</v>
      </c>
      <c r="E298" s="1198">
        <f>E299+E300+E301</f>
        <v>9760</v>
      </c>
      <c r="F298" s="1198"/>
      <c r="G298" s="1198">
        <f aca="true" t="shared" si="99" ref="G298:P298">G299+G300+G301</f>
        <v>35000</v>
      </c>
      <c r="H298" s="1198">
        <f t="shared" si="99"/>
        <v>200000</v>
      </c>
      <c r="I298" s="1198">
        <f t="shared" si="99"/>
        <v>270000</v>
      </c>
      <c r="J298" s="1198">
        <f t="shared" si="99"/>
        <v>273740</v>
      </c>
      <c r="K298" s="1198">
        <f t="shared" si="99"/>
        <v>1000000</v>
      </c>
      <c r="L298" s="1198">
        <f t="shared" si="99"/>
        <v>200000</v>
      </c>
      <c r="M298" s="1198">
        <f t="shared" si="99"/>
        <v>965000</v>
      </c>
      <c r="N298" s="1198">
        <f t="shared" si="99"/>
        <v>450000</v>
      </c>
      <c r="O298" s="1198">
        <f t="shared" si="99"/>
        <v>200000</v>
      </c>
      <c r="P298" s="1198">
        <f t="shared" si="99"/>
        <v>600000</v>
      </c>
    </row>
    <row r="299" spans="1:16" s="324" customFormat="1" ht="19.5" customHeight="1">
      <c r="A299" s="786"/>
      <c r="B299" s="652">
        <v>85201</v>
      </c>
      <c r="C299" s="653" t="s">
        <v>55</v>
      </c>
      <c r="D299" s="664">
        <f t="shared" si="97"/>
        <v>600000</v>
      </c>
      <c r="E299" s="664"/>
      <c r="F299" s="664"/>
      <c r="G299" s="664">
        <v>35000</v>
      </c>
      <c r="H299" s="664"/>
      <c r="I299" s="664"/>
      <c r="J299" s="664"/>
      <c r="K299" s="664">
        <v>300000</v>
      </c>
      <c r="L299" s="664"/>
      <c r="M299" s="664">
        <v>265000</v>
      </c>
      <c r="N299" s="664"/>
      <c r="O299" s="664"/>
      <c r="P299" s="664"/>
    </row>
    <row r="300" spans="1:16" s="324" customFormat="1" ht="19.5" customHeight="1">
      <c r="A300" s="786"/>
      <c r="B300" s="652">
        <v>85202</v>
      </c>
      <c r="C300" s="653" t="s">
        <v>125</v>
      </c>
      <c r="D300" s="748">
        <f t="shared" si="97"/>
        <v>2003500</v>
      </c>
      <c r="E300" s="664">
        <v>9760</v>
      </c>
      <c r="F300" s="664"/>
      <c r="G300" s="664"/>
      <c r="H300" s="664">
        <v>200000</v>
      </c>
      <c r="I300" s="664">
        <v>270000</v>
      </c>
      <c r="J300" s="664">
        <f>358740-85000</f>
        <v>273740</v>
      </c>
      <c r="K300" s="664">
        <v>200000</v>
      </c>
      <c r="L300" s="664">
        <v>200000</v>
      </c>
      <c r="M300" s="664">
        <v>200000</v>
      </c>
      <c r="N300" s="664">
        <f>200000+250000</f>
        <v>450000</v>
      </c>
      <c r="O300" s="664">
        <v>200000</v>
      </c>
      <c r="P300" s="664"/>
    </row>
    <row r="301" spans="1:16" s="324" customFormat="1" ht="19.5" customHeight="1">
      <c r="A301" s="786"/>
      <c r="B301" s="652">
        <v>85219</v>
      </c>
      <c r="C301" s="653" t="s">
        <v>1020</v>
      </c>
      <c r="D301" s="748">
        <f t="shared" si="97"/>
        <v>1600000</v>
      </c>
      <c r="E301" s="664"/>
      <c r="F301" s="664"/>
      <c r="G301" s="664"/>
      <c r="H301" s="664"/>
      <c r="I301" s="664"/>
      <c r="J301" s="664"/>
      <c r="K301" s="664">
        <v>500000</v>
      </c>
      <c r="L301" s="664"/>
      <c r="M301" s="664">
        <v>500000</v>
      </c>
      <c r="N301" s="664"/>
      <c r="O301" s="664"/>
      <c r="P301" s="664">
        <v>600000</v>
      </c>
    </row>
    <row r="302" spans="1:16" s="324" customFormat="1" ht="34.5" customHeight="1">
      <c r="A302" s="1203">
        <v>853</v>
      </c>
      <c r="B302" s="1197"/>
      <c r="C302" s="801" t="s">
        <v>277</v>
      </c>
      <c r="D302" s="1198">
        <f t="shared" si="97"/>
        <v>1220442</v>
      </c>
      <c r="E302" s="1198"/>
      <c r="F302" s="1198"/>
      <c r="G302" s="1198">
        <f aca="true" t="shared" si="100" ref="G302:M302">G303+G304</f>
        <v>10000</v>
      </c>
      <c r="H302" s="1198"/>
      <c r="I302" s="1198">
        <f t="shared" si="100"/>
        <v>300000</v>
      </c>
      <c r="J302" s="1198"/>
      <c r="K302" s="1198">
        <f t="shared" si="100"/>
        <v>200000</v>
      </c>
      <c r="L302" s="1198">
        <f t="shared" si="100"/>
        <v>69422</v>
      </c>
      <c r="M302" s="1198">
        <f t="shared" si="100"/>
        <v>641020</v>
      </c>
      <c r="N302" s="1198"/>
      <c r="O302" s="1198"/>
      <c r="P302" s="1198"/>
    </row>
    <row r="303" spans="1:16" s="324" customFormat="1" ht="19.5" customHeight="1">
      <c r="A303" s="786"/>
      <c r="B303" s="652">
        <v>85305</v>
      </c>
      <c r="C303" s="653" t="s">
        <v>127</v>
      </c>
      <c r="D303" s="664">
        <f t="shared" si="97"/>
        <v>790442</v>
      </c>
      <c r="E303" s="664"/>
      <c r="F303" s="664"/>
      <c r="G303" s="664"/>
      <c r="H303" s="664"/>
      <c r="I303" s="664">
        <v>300000</v>
      </c>
      <c r="J303" s="664"/>
      <c r="K303" s="664"/>
      <c r="L303" s="664">
        <v>69422</v>
      </c>
      <c r="M303" s="664">
        <v>421020</v>
      </c>
      <c r="N303" s="664"/>
      <c r="O303" s="664"/>
      <c r="P303" s="664"/>
    </row>
    <row r="304" spans="1:16" s="324" customFormat="1" ht="19.5" customHeight="1">
      <c r="A304" s="786"/>
      <c r="B304" s="652">
        <v>85333</v>
      </c>
      <c r="C304" s="653" t="s">
        <v>955</v>
      </c>
      <c r="D304" s="748">
        <f t="shared" si="97"/>
        <v>430000</v>
      </c>
      <c r="E304" s="664"/>
      <c r="F304" s="664"/>
      <c r="G304" s="664">
        <v>10000</v>
      </c>
      <c r="H304" s="664"/>
      <c r="I304" s="664"/>
      <c r="J304" s="664"/>
      <c r="K304" s="664">
        <v>200000</v>
      </c>
      <c r="L304" s="664"/>
      <c r="M304" s="664">
        <v>220000</v>
      </c>
      <c r="N304" s="664"/>
      <c r="O304" s="664"/>
      <c r="P304" s="664"/>
    </row>
    <row r="305" spans="1:16" s="324" customFormat="1" ht="19.5" customHeight="1">
      <c r="A305" s="1203">
        <v>854</v>
      </c>
      <c r="B305" s="1197"/>
      <c r="C305" s="801" t="s">
        <v>618</v>
      </c>
      <c r="D305" s="1198">
        <f t="shared" si="97"/>
        <v>2000809</v>
      </c>
      <c r="E305" s="1198"/>
      <c r="F305" s="1198"/>
      <c r="G305" s="1198"/>
      <c r="H305" s="1198"/>
      <c r="I305" s="1198"/>
      <c r="J305" s="1198">
        <f aca="true" t="shared" si="101" ref="J305:P305">J306+J307+J308+J309+J310</f>
        <v>10000</v>
      </c>
      <c r="K305" s="1198"/>
      <c r="L305" s="1198">
        <f t="shared" si="101"/>
        <v>50000</v>
      </c>
      <c r="M305" s="1198">
        <f t="shared" si="101"/>
        <v>590809</v>
      </c>
      <c r="N305" s="1198">
        <f t="shared" si="101"/>
        <v>400000</v>
      </c>
      <c r="O305" s="1198">
        <f t="shared" si="101"/>
        <v>850000</v>
      </c>
      <c r="P305" s="1198">
        <f t="shared" si="101"/>
        <v>100000</v>
      </c>
    </row>
    <row r="306" spans="1:16" s="324" customFormat="1" ht="19.5" customHeight="1">
      <c r="A306" s="786"/>
      <c r="B306" s="652">
        <v>85403</v>
      </c>
      <c r="C306" s="653" t="s">
        <v>956</v>
      </c>
      <c r="D306" s="664">
        <f t="shared" si="97"/>
        <v>1750000</v>
      </c>
      <c r="E306" s="664"/>
      <c r="F306" s="664"/>
      <c r="G306" s="664"/>
      <c r="H306" s="664"/>
      <c r="I306" s="664"/>
      <c r="J306" s="664"/>
      <c r="K306" s="664"/>
      <c r="L306" s="664"/>
      <c r="M306" s="664">
        <v>400000</v>
      </c>
      <c r="N306" s="664">
        <v>400000</v>
      </c>
      <c r="O306" s="664">
        <v>850000</v>
      </c>
      <c r="P306" s="664">
        <v>100000</v>
      </c>
    </row>
    <row r="307" spans="1:16" s="324" customFormat="1" ht="19.5" customHeight="1">
      <c r="A307" s="786"/>
      <c r="B307" s="652">
        <v>85407</v>
      </c>
      <c r="C307" s="668" t="s">
        <v>982</v>
      </c>
      <c r="D307" s="748">
        <f t="shared" si="97"/>
        <v>113000</v>
      </c>
      <c r="E307" s="748"/>
      <c r="F307" s="748"/>
      <c r="G307" s="748"/>
      <c r="H307" s="748"/>
      <c r="I307" s="748"/>
      <c r="J307" s="748">
        <v>10000</v>
      </c>
      <c r="K307" s="748"/>
      <c r="L307" s="748"/>
      <c r="M307" s="748">
        <v>103000</v>
      </c>
      <c r="N307" s="748"/>
      <c r="O307" s="748"/>
      <c r="P307" s="748"/>
    </row>
    <row r="308" spans="1:16" s="324" customFormat="1" ht="19.5" customHeight="1">
      <c r="A308" s="786"/>
      <c r="B308" s="652">
        <v>85410</v>
      </c>
      <c r="C308" s="668" t="s">
        <v>983</v>
      </c>
      <c r="D308" s="748">
        <f t="shared" si="97"/>
        <v>107809</v>
      </c>
      <c r="E308" s="748"/>
      <c r="F308" s="748"/>
      <c r="G308" s="748"/>
      <c r="H308" s="748"/>
      <c r="I308" s="748"/>
      <c r="J308" s="748"/>
      <c r="K308" s="748"/>
      <c r="L308" s="748">
        <v>20000</v>
      </c>
      <c r="M308" s="748">
        <v>87809</v>
      </c>
      <c r="N308" s="748"/>
      <c r="O308" s="748"/>
      <c r="P308" s="748"/>
    </row>
    <row r="309" spans="1:16" s="324" customFormat="1" ht="19.5" customHeight="1">
      <c r="A309" s="786"/>
      <c r="B309" s="652">
        <v>85417</v>
      </c>
      <c r="C309" s="668" t="s">
        <v>888</v>
      </c>
      <c r="D309" s="748">
        <f t="shared" si="97"/>
        <v>10000</v>
      </c>
      <c r="E309" s="748"/>
      <c r="F309" s="748"/>
      <c r="G309" s="748"/>
      <c r="H309" s="748"/>
      <c r="I309" s="748"/>
      <c r="J309" s="748"/>
      <c r="K309" s="748"/>
      <c r="L309" s="748">
        <v>10000</v>
      </c>
      <c r="M309" s="748"/>
      <c r="N309" s="748"/>
      <c r="O309" s="748"/>
      <c r="P309" s="748"/>
    </row>
    <row r="310" spans="1:16" s="324" customFormat="1" ht="19.5" customHeight="1">
      <c r="A310" s="787"/>
      <c r="B310" s="652">
        <v>85421</v>
      </c>
      <c r="C310" s="668" t="s">
        <v>889</v>
      </c>
      <c r="D310" s="748">
        <f t="shared" si="97"/>
        <v>20000</v>
      </c>
      <c r="E310" s="748"/>
      <c r="F310" s="748"/>
      <c r="G310" s="748"/>
      <c r="H310" s="748"/>
      <c r="I310" s="748"/>
      <c r="J310" s="748"/>
      <c r="K310" s="748"/>
      <c r="L310" s="748">
        <v>20000</v>
      </c>
      <c r="M310" s="748"/>
      <c r="N310" s="748"/>
      <c r="O310" s="748"/>
      <c r="P310" s="748"/>
    </row>
    <row r="311" spans="1:16" s="324" customFormat="1" ht="21" customHeight="1">
      <c r="A311" s="1197">
        <v>921</v>
      </c>
      <c r="B311" s="1203"/>
      <c r="C311" s="1204" t="s">
        <v>401</v>
      </c>
      <c r="D311" s="1205">
        <f t="shared" si="97"/>
        <v>350000</v>
      </c>
      <c r="E311" s="1205"/>
      <c r="F311" s="1205"/>
      <c r="G311" s="1205"/>
      <c r="H311" s="1205"/>
      <c r="I311" s="1205"/>
      <c r="J311" s="1205"/>
      <c r="K311" s="1205">
        <f>K312</f>
        <v>350000</v>
      </c>
      <c r="L311" s="1205"/>
      <c r="M311" s="1205"/>
      <c r="N311" s="1205"/>
      <c r="O311" s="1205"/>
      <c r="P311" s="1205"/>
    </row>
    <row r="312" spans="1:16" s="324" customFormat="1" ht="19.5" customHeight="1">
      <c r="A312" s="787"/>
      <c r="B312" s="652">
        <v>92120</v>
      </c>
      <c r="C312" s="653" t="s">
        <v>97</v>
      </c>
      <c r="D312" s="664">
        <f t="shared" si="97"/>
        <v>350000</v>
      </c>
      <c r="E312" s="664"/>
      <c r="F312" s="664"/>
      <c r="G312" s="664"/>
      <c r="H312" s="664"/>
      <c r="I312" s="664"/>
      <c r="J312" s="664"/>
      <c r="K312" s="664">
        <v>350000</v>
      </c>
      <c r="L312" s="664"/>
      <c r="M312" s="664"/>
      <c r="N312" s="664"/>
      <c r="O312" s="664"/>
      <c r="P312" s="664"/>
    </row>
    <row r="313" spans="1:16" s="324" customFormat="1" ht="23.25" customHeight="1">
      <c r="A313" s="1197">
        <v>926</v>
      </c>
      <c r="B313" s="1203"/>
      <c r="C313" s="1204" t="s">
        <v>1045</v>
      </c>
      <c r="D313" s="1205">
        <f t="shared" si="97"/>
        <v>145000</v>
      </c>
      <c r="E313" s="1205"/>
      <c r="F313" s="1205"/>
      <c r="G313" s="1205"/>
      <c r="H313" s="1205"/>
      <c r="I313" s="1205"/>
      <c r="J313" s="1205"/>
      <c r="K313" s="1205"/>
      <c r="L313" s="1205">
        <f>L314</f>
        <v>145000</v>
      </c>
      <c r="M313" s="1205"/>
      <c r="N313" s="1205"/>
      <c r="O313" s="1205"/>
      <c r="P313" s="1205"/>
    </row>
    <row r="314" spans="1:16" s="324" customFormat="1" ht="19.5" customHeight="1">
      <c r="A314" s="786"/>
      <c r="B314" s="652">
        <v>92601</v>
      </c>
      <c r="C314" s="653" t="s">
        <v>1046</v>
      </c>
      <c r="D314" s="664">
        <f t="shared" si="97"/>
        <v>145000</v>
      </c>
      <c r="E314" s="664"/>
      <c r="F314" s="664"/>
      <c r="G314" s="664"/>
      <c r="H314" s="664"/>
      <c r="I314" s="664"/>
      <c r="J314" s="664"/>
      <c r="K314" s="664"/>
      <c r="L314" s="664">
        <v>145000</v>
      </c>
      <c r="M314" s="664"/>
      <c r="N314" s="664"/>
      <c r="O314" s="664"/>
      <c r="P314" s="664"/>
    </row>
    <row r="315" spans="1:16" s="324" customFormat="1" ht="26.25" customHeight="1">
      <c r="A315" s="786"/>
      <c r="B315" s="786"/>
      <c r="C315" s="640" t="s">
        <v>912</v>
      </c>
      <c r="D315" s="1190">
        <f aca="true" t="shared" si="102" ref="D315:D331">SUM(E315:P315)</f>
        <v>-194800</v>
      </c>
      <c r="E315" s="1190">
        <f>E316</f>
        <v>-17400</v>
      </c>
      <c r="F315" s="1190">
        <f aca="true" t="shared" si="103" ref="F315:P315">F316</f>
        <v>-10400</v>
      </c>
      <c r="G315" s="1190">
        <f t="shared" si="103"/>
        <v>-10400</v>
      </c>
      <c r="H315" s="1190">
        <f t="shared" si="103"/>
        <v>-12400</v>
      </c>
      <c r="I315" s="1190">
        <f t="shared" si="103"/>
        <v>-16400</v>
      </c>
      <c r="J315" s="1190">
        <f t="shared" si="103"/>
        <v>-17400</v>
      </c>
      <c r="K315" s="1190">
        <f t="shared" si="103"/>
        <v>-16400</v>
      </c>
      <c r="L315" s="1190">
        <f t="shared" si="103"/>
        <v>-16400</v>
      </c>
      <c r="M315" s="1190">
        <f t="shared" si="103"/>
        <v>-19400</v>
      </c>
      <c r="N315" s="1190">
        <f t="shared" si="103"/>
        <v>-20400</v>
      </c>
      <c r="O315" s="1190">
        <f t="shared" si="103"/>
        <v>-20400</v>
      </c>
      <c r="P315" s="1190">
        <f t="shared" si="103"/>
        <v>-17400</v>
      </c>
    </row>
    <row r="316" spans="1:16" s="324" customFormat="1" ht="19.5" customHeight="1" thickBot="1">
      <c r="A316" s="787"/>
      <c r="B316" s="787"/>
      <c r="C316" s="739" t="s">
        <v>646</v>
      </c>
      <c r="D316" s="725">
        <f t="shared" si="102"/>
        <v>-194800</v>
      </c>
      <c r="E316" s="725">
        <f>E317+E319</f>
        <v>-17400</v>
      </c>
      <c r="F316" s="725">
        <f aca="true" t="shared" si="104" ref="F316:P316">F317+F319</f>
        <v>-10400</v>
      </c>
      <c r="G316" s="725">
        <f t="shared" si="104"/>
        <v>-10400</v>
      </c>
      <c r="H316" s="725">
        <f t="shared" si="104"/>
        <v>-12400</v>
      </c>
      <c r="I316" s="725">
        <f t="shared" si="104"/>
        <v>-16400</v>
      </c>
      <c r="J316" s="725">
        <f t="shared" si="104"/>
        <v>-17400</v>
      </c>
      <c r="K316" s="725">
        <f t="shared" si="104"/>
        <v>-16400</v>
      </c>
      <c r="L316" s="725">
        <f t="shared" si="104"/>
        <v>-16400</v>
      </c>
      <c r="M316" s="725">
        <f t="shared" si="104"/>
        <v>-19400</v>
      </c>
      <c r="N316" s="725">
        <f t="shared" si="104"/>
        <v>-20400</v>
      </c>
      <c r="O316" s="725">
        <f t="shared" si="104"/>
        <v>-20400</v>
      </c>
      <c r="P316" s="725">
        <f t="shared" si="104"/>
        <v>-17400</v>
      </c>
    </row>
    <row r="317" spans="1:16" s="324" customFormat="1" ht="22.5" customHeight="1" thickTop="1">
      <c r="A317" s="1197">
        <v>500</v>
      </c>
      <c r="B317" s="1207"/>
      <c r="C317" s="801" t="s">
        <v>645</v>
      </c>
      <c r="D317" s="1198">
        <f t="shared" si="102"/>
        <v>-4800</v>
      </c>
      <c r="E317" s="1198">
        <f aca="true" t="shared" si="105" ref="E317:P317">E318</f>
        <v>-400</v>
      </c>
      <c r="F317" s="1198">
        <f t="shared" si="105"/>
        <v>-400</v>
      </c>
      <c r="G317" s="1198">
        <f t="shared" si="105"/>
        <v>-400</v>
      </c>
      <c r="H317" s="1198">
        <f t="shared" si="105"/>
        <v>-400</v>
      </c>
      <c r="I317" s="1198">
        <f t="shared" si="105"/>
        <v>-400</v>
      </c>
      <c r="J317" s="1198">
        <f t="shared" si="105"/>
        <v>-400</v>
      </c>
      <c r="K317" s="1198">
        <f t="shared" si="105"/>
        <v>-400</v>
      </c>
      <c r="L317" s="1198">
        <f t="shared" si="105"/>
        <v>-400</v>
      </c>
      <c r="M317" s="1198">
        <f t="shared" si="105"/>
        <v>-400</v>
      </c>
      <c r="N317" s="1198">
        <f t="shared" si="105"/>
        <v>-400</v>
      </c>
      <c r="O317" s="1198">
        <f t="shared" si="105"/>
        <v>-400</v>
      </c>
      <c r="P317" s="1198">
        <f t="shared" si="105"/>
        <v>-400</v>
      </c>
    </row>
    <row r="318" spans="1:16" s="324" customFormat="1" ht="24" customHeight="1">
      <c r="A318" s="787"/>
      <c r="B318" s="787">
        <v>50095</v>
      </c>
      <c r="C318" s="653" t="s">
        <v>100</v>
      </c>
      <c r="D318" s="664">
        <f t="shared" si="102"/>
        <v>-4800</v>
      </c>
      <c r="E318" s="664">
        <v>-400</v>
      </c>
      <c r="F318" s="664">
        <v>-400</v>
      </c>
      <c r="G318" s="664">
        <v>-400</v>
      </c>
      <c r="H318" s="664">
        <v>-400</v>
      </c>
      <c r="I318" s="664">
        <v>-400</v>
      </c>
      <c r="J318" s="664">
        <v>-400</v>
      </c>
      <c r="K318" s="664">
        <v>-400</v>
      </c>
      <c r="L318" s="664">
        <v>-400</v>
      </c>
      <c r="M318" s="664">
        <v>-400</v>
      </c>
      <c r="N318" s="664">
        <v>-400</v>
      </c>
      <c r="O318" s="664">
        <v>-400</v>
      </c>
      <c r="P318" s="664">
        <v>-400</v>
      </c>
    </row>
    <row r="319" spans="1:16" s="324" customFormat="1" ht="62.25" customHeight="1">
      <c r="A319" s="1197">
        <v>756</v>
      </c>
      <c r="B319" s="1197"/>
      <c r="C319" s="801" t="s">
        <v>380</v>
      </c>
      <c r="D319" s="1198">
        <f t="shared" si="102"/>
        <v>-190000</v>
      </c>
      <c r="E319" s="1198">
        <f aca="true" t="shared" si="106" ref="E319:P319">E320</f>
        <v>-17000</v>
      </c>
      <c r="F319" s="1198">
        <f t="shared" si="106"/>
        <v>-10000</v>
      </c>
      <c r="G319" s="1198">
        <f t="shared" si="106"/>
        <v>-10000</v>
      </c>
      <c r="H319" s="1198">
        <f t="shared" si="106"/>
        <v>-12000</v>
      </c>
      <c r="I319" s="1198">
        <f t="shared" si="106"/>
        <v>-16000</v>
      </c>
      <c r="J319" s="1198">
        <f t="shared" si="106"/>
        <v>-17000</v>
      </c>
      <c r="K319" s="1198">
        <f t="shared" si="106"/>
        <v>-16000</v>
      </c>
      <c r="L319" s="1198">
        <f t="shared" si="106"/>
        <v>-16000</v>
      </c>
      <c r="M319" s="1198">
        <f t="shared" si="106"/>
        <v>-19000</v>
      </c>
      <c r="N319" s="1198">
        <f t="shared" si="106"/>
        <v>-20000</v>
      </c>
      <c r="O319" s="1198">
        <f t="shared" si="106"/>
        <v>-20000</v>
      </c>
      <c r="P319" s="1198">
        <f t="shared" si="106"/>
        <v>-17000</v>
      </c>
    </row>
    <row r="320" spans="1:16" s="324" customFormat="1" ht="30.75" customHeight="1">
      <c r="A320" s="786"/>
      <c r="B320" s="787">
        <v>75647</v>
      </c>
      <c r="C320" s="653" t="s">
        <v>493</v>
      </c>
      <c r="D320" s="664">
        <f t="shared" si="102"/>
        <v>-190000</v>
      </c>
      <c r="E320" s="664">
        <v>-17000</v>
      </c>
      <c r="F320" s="664">
        <v>-10000</v>
      </c>
      <c r="G320" s="664">
        <v>-10000</v>
      </c>
      <c r="H320" s="664">
        <v>-12000</v>
      </c>
      <c r="I320" s="664">
        <v>-16000</v>
      </c>
      <c r="J320" s="664">
        <v>-17000</v>
      </c>
      <c r="K320" s="664">
        <v>-16000</v>
      </c>
      <c r="L320" s="664">
        <v>-16000</v>
      </c>
      <c r="M320" s="664">
        <v>-19000</v>
      </c>
      <c r="N320" s="664">
        <v>-20000</v>
      </c>
      <c r="O320" s="664">
        <v>-20000</v>
      </c>
      <c r="P320" s="664">
        <v>-17000</v>
      </c>
    </row>
    <row r="321" spans="1:16" s="324" customFormat="1" ht="22.5" customHeight="1">
      <c r="A321" s="786"/>
      <c r="B321" s="786"/>
      <c r="C321" s="640" t="s">
        <v>913</v>
      </c>
      <c r="D321" s="1190">
        <f t="shared" si="102"/>
        <v>-62405942</v>
      </c>
      <c r="E321" s="1190">
        <f aca="true" t="shared" si="107" ref="E321:P321">E322+E358+E355</f>
        <v>-3649296</v>
      </c>
      <c r="F321" s="1190">
        <f t="shared" si="107"/>
        <v>-3791090</v>
      </c>
      <c r="G321" s="1190">
        <f t="shared" si="107"/>
        <v>-5214092</v>
      </c>
      <c r="H321" s="1190">
        <f t="shared" si="107"/>
        <v>-5354034</v>
      </c>
      <c r="I321" s="1190">
        <f t="shared" si="107"/>
        <v>-5453584</v>
      </c>
      <c r="J321" s="1190">
        <f t="shared" si="107"/>
        <v>-5347052</v>
      </c>
      <c r="K321" s="1190">
        <f t="shared" si="107"/>
        <v>-6421172</v>
      </c>
      <c r="L321" s="1190">
        <f t="shared" si="107"/>
        <v>-5662052</v>
      </c>
      <c r="M321" s="1190">
        <f t="shared" si="107"/>
        <v>-6559833</v>
      </c>
      <c r="N321" s="1190">
        <f t="shared" si="107"/>
        <v>-5360892</v>
      </c>
      <c r="O321" s="1190">
        <f t="shared" si="107"/>
        <v>-4881007</v>
      </c>
      <c r="P321" s="1190">
        <f t="shared" si="107"/>
        <v>-4711838</v>
      </c>
    </row>
    <row r="322" spans="1:16" s="324" customFormat="1" ht="21.75" customHeight="1" thickBot="1">
      <c r="A322" s="787"/>
      <c r="B322" s="787"/>
      <c r="C322" s="739" t="s">
        <v>646</v>
      </c>
      <c r="D322" s="725">
        <f t="shared" si="102"/>
        <v>-61843942</v>
      </c>
      <c r="E322" s="725">
        <f aca="true" t="shared" si="108" ref="E322:K322">E323+E326+E331+E337+E342+E344+E351+E340</f>
        <v>-3604296</v>
      </c>
      <c r="F322" s="725">
        <f t="shared" si="108"/>
        <v>-3732190</v>
      </c>
      <c r="G322" s="725">
        <f t="shared" si="108"/>
        <v>-5165792</v>
      </c>
      <c r="H322" s="725">
        <f t="shared" si="108"/>
        <v>-5312434</v>
      </c>
      <c r="I322" s="725">
        <f t="shared" si="108"/>
        <v>-5411984</v>
      </c>
      <c r="J322" s="725">
        <f t="shared" si="108"/>
        <v>-5269352</v>
      </c>
      <c r="K322" s="725">
        <f t="shared" si="108"/>
        <v>-6379572</v>
      </c>
      <c r="L322" s="725">
        <f>L323+L326+L331+L337+L342+L344+L351+L340+L329</f>
        <v>-5620452</v>
      </c>
      <c r="M322" s="725">
        <f>M323+M326+M331+M337+M342+M344+M351+M340</f>
        <v>-6516133</v>
      </c>
      <c r="N322" s="725">
        <f>N323+N326+N331+N337+N342+N344+N351+N340</f>
        <v>-5319292</v>
      </c>
      <c r="O322" s="725">
        <f>O323+O326+O331+O337+O342+O344+O351+O340</f>
        <v>-4839707</v>
      </c>
      <c r="P322" s="725">
        <f>P323+P326+P331+P337+P342+P344+P351+P340</f>
        <v>-4672738</v>
      </c>
    </row>
    <row r="323" spans="1:16" s="324" customFormat="1" ht="24" customHeight="1" thickTop="1">
      <c r="A323" s="1197">
        <v>630</v>
      </c>
      <c r="B323" s="1207"/>
      <c r="C323" s="801" t="s">
        <v>430</v>
      </c>
      <c r="D323" s="1198">
        <f t="shared" si="102"/>
        <v>-244000</v>
      </c>
      <c r="E323" s="1198">
        <f aca="true" t="shared" si="109" ref="E323:P323">E324+E325</f>
        <v>-15800</v>
      </c>
      <c r="F323" s="1198">
        <f t="shared" si="109"/>
        <v>-43200</v>
      </c>
      <c r="G323" s="1198"/>
      <c r="H323" s="1198">
        <f t="shared" si="109"/>
        <v>-60900</v>
      </c>
      <c r="I323" s="1198">
        <f t="shared" si="109"/>
        <v>-5300</v>
      </c>
      <c r="J323" s="1198">
        <f t="shared" si="109"/>
        <v>-7300</v>
      </c>
      <c r="K323" s="1198">
        <f t="shared" si="109"/>
        <v>-36000</v>
      </c>
      <c r="L323" s="1198"/>
      <c r="M323" s="1198">
        <f t="shared" si="109"/>
        <v>-14000</v>
      </c>
      <c r="N323" s="1198">
        <f t="shared" si="109"/>
        <v>-58000</v>
      </c>
      <c r="O323" s="1198">
        <f t="shared" si="109"/>
        <v>-500</v>
      </c>
      <c r="P323" s="1198">
        <f t="shared" si="109"/>
        <v>-3000</v>
      </c>
    </row>
    <row r="324" spans="1:16" s="324" customFormat="1" ht="24" customHeight="1">
      <c r="A324" s="786"/>
      <c r="B324" s="787">
        <v>63001</v>
      </c>
      <c r="C324" s="653" t="s">
        <v>431</v>
      </c>
      <c r="D324" s="664">
        <f t="shared" si="102"/>
        <v>-194000</v>
      </c>
      <c r="E324" s="664">
        <v>-15800</v>
      </c>
      <c r="F324" s="664">
        <v>-43200</v>
      </c>
      <c r="G324" s="664"/>
      <c r="H324" s="664">
        <v>-47000</v>
      </c>
      <c r="I324" s="664"/>
      <c r="J324" s="664"/>
      <c r="K324" s="664">
        <v>-36000</v>
      </c>
      <c r="L324" s="664"/>
      <c r="M324" s="664"/>
      <c r="N324" s="664">
        <v>-52000</v>
      </c>
      <c r="O324" s="664"/>
      <c r="P324" s="664"/>
    </row>
    <row r="325" spans="1:16" s="324" customFormat="1" ht="27.75" customHeight="1">
      <c r="A325" s="787"/>
      <c r="B325" s="1146">
        <v>63003</v>
      </c>
      <c r="C325" s="668" t="s">
        <v>432</v>
      </c>
      <c r="D325" s="748">
        <f t="shared" si="102"/>
        <v>-50000</v>
      </c>
      <c r="E325" s="748"/>
      <c r="F325" s="748"/>
      <c r="G325" s="748"/>
      <c r="H325" s="748">
        <v>-13900</v>
      </c>
      <c r="I325" s="748">
        <v>-5300</v>
      </c>
      <c r="J325" s="748">
        <v>-7300</v>
      </c>
      <c r="K325" s="748"/>
      <c r="L325" s="748"/>
      <c r="M325" s="748">
        <v>-14000</v>
      </c>
      <c r="N325" s="748">
        <v>-6000</v>
      </c>
      <c r="O325" s="748">
        <v>-500</v>
      </c>
      <c r="P325" s="748">
        <v>-3000</v>
      </c>
    </row>
    <row r="326" spans="1:16" s="324" customFormat="1" ht="19.5" customHeight="1">
      <c r="A326" s="1203">
        <v>700</v>
      </c>
      <c r="B326" s="1203"/>
      <c r="C326" s="1204" t="s">
        <v>433</v>
      </c>
      <c r="D326" s="1205">
        <f t="shared" si="102"/>
        <v>-10186000</v>
      </c>
      <c r="E326" s="1205">
        <f aca="true" t="shared" si="110" ref="E326:P326">E327+E328</f>
        <v>-307155</v>
      </c>
      <c r="F326" s="1205">
        <f t="shared" si="110"/>
        <v>-420981</v>
      </c>
      <c r="G326" s="1205">
        <f t="shared" si="110"/>
        <v>-507155</v>
      </c>
      <c r="H326" s="1205">
        <f t="shared" si="110"/>
        <v>-522889</v>
      </c>
      <c r="I326" s="1205">
        <f t="shared" si="110"/>
        <v>-547167</v>
      </c>
      <c r="J326" s="1205">
        <f t="shared" si="110"/>
        <v>-568452</v>
      </c>
      <c r="K326" s="1205">
        <f t="shared" si="110"/>
        <v>-1385846</v>
      </c>
      <c r="L326" s="1205">
        <f t="shared" si="110"/>
        <v>-1127155</v>
      </c>
      <c r="M326" s="1205">
        <f t="shared" si="110"/>
        <v>-1217155</v>
      </c>
      <c r="N326" s="1205">
        <f t="shared" si="110"/>
        <v>-1307155</v>
      </c>
      <c r="O326" s="1205">
        <f t="shared" si="110"/>
        <v>-1207225</v>
      </c>
      <c r="P326" s="1205">
        <f t="shared" si="110"/>
        <v>-1067665</v>
      </c>
    </row>
    <row r="327" spans="1:16" s="324" customFormat="1" ht="21.75" customHeight="1">
      <c r="A327" s="786"/>
      <c r="B327" s="787">
        <v>70001</v>
      </c>
      <c r="C327" s="653" t="s">
        <v>434</v>
      </c>
      <c r="D327" s="664">
        <f t="shared" si="102"/>
        <v>-10000000</v>
      </c>
      <c r="E327" s="664">
        <v>-300000</v>
      </c>
      <c r="F327" s="664">
        <v>-413826</v>
      </c>
      <c r="G327" s="664">
        <v>-500000</v>
      </c>
      <c r="H327" s="664">
        <v>-505734</v>
      </c>
      <c r="I327" s="664">
        <v>-530012</v>
      </c>
      <c r="J327" s="664">
        <f>-539988-1309</f>
        <v>-541297</v>
      </c>
      <c r="K327" s="664">
        <f>-650000-700000+1309</f>
        <v>-1348691</v>
      </c>
      <c r="L327" s="664">
        <f>-600000-500000</f>
        <v>-1100000</v>
      </c>
      <c r="M327" s="664">
        <f>-700000-500000</f>
        <v>-1200000</v>
      </c>
      <c r="N327" s="664">
        <f>-800000-500000</f>
        <v>-1300000</v>
      </c>
      <c r="O327" s="664">
        <f>-700000-500000</f>
        <v>-1200000</v>
      </c>
      <c r="P327" s="664">
        <f>-760440-300000</f>
        <v>-1060440</v>
      </c>
    </row>
    <row r="328" spans="1:16" s="324" customFormat="1" ht="29.25" customHeight="1">
      <c r="A328" s="787"/>
      <c r="B328" s="652">
        <v>70004</v>
      </c>
      <c r="C328" s="653" t="s">
        <v>953</v>
      </c>
      <c r="D328" s="664">
        <f t="shared" si="102"/>
        <v>-186000</v>
      </c>
      <c r="E328" s="664">
        <v>-7155</v>
      </c>
      <c r="F328" s="664">
        <v>-7155</v>
      </c>
      <c r="G328" s="664">
        <v>-7155</v>
      </c>
      <c r="H328" s="664">
        <v>-17155</v>
      </c>
      <c r="I328" s="664">
        <v>-17155</v>
      </c>
      <c r="J328" s="664">
        <v>-27155</v>
      </c>
      <c r="K328" s="664">
        <v>-37155</v>
      </c>
      <c r="L328" s="664">
        <v>-27155</v>
      </c>
      <c r="M328" s="664">
        <v>-17155</v>
      </c>
      <c r="N328" s="664">
        <v>-7155</v>
      </c>
      <c r="O328" s="664">
        <v>-7225</v>
      </c>
      <c r="P328" s="664">
        <v>-7225</v>
      </c>
    </row>
    <row r="329" spans="1:16" s="324" customFormat="1" ht="19.5" customHeight="1">
      <c r="A329" s="1203">
        <v>750</v>
      </c>
      <c r="B329" s="1203"/>
      <c r="C329" s="1204" t="s">
        <v>439</v>
      </c>
      <c r="D329" s="1205">
        <f t="shared" si="102"/>
        <v>-42000</v>
      </c>
      <c r="E329" s="1205"/>
      <c r="F329" s="1205"/>
      <c r="G329" s="1205"/>
      <c r="H329" s="1205"/>
      <c r="I329" s="1205"/>
      <c r="J329" s="1205"/>
      <c r="K329" s="1205"/>
      <c r="L329" s="1205">
        <f>L330</f>
        <v>-42000</v>
      </c>
      <c r="M329" s="1205"/>
      <c r="N329" s="1205"/>
      <c r="O329" s="1205"/>
      <c r="P329" s="1205"/>
    </row>
    <row r="330" spans="1:16" s="324" customFormat="1" ht="21.75" customHeight="1">
      <c r="A330" s="786"/>
      <c r="B330" s="787">
        <v>75075</v>
      </c>
      <c r="C330" s="653" t="s">
        <v>993</v>
      </c>
      <c r="D330" s="664">
        <f t="shared" si="102"/>
        <v>-42000</v>
      </c>
      <c r="E330" s="664"/>
      <c r="F330" s="664"/>
      <c r="G330" s="664"/>
      <c r="H330" s="664"/>
      <c r="I330" s="664"/>
      <c r="J330" s="664"/>
      <c r="K330" s="664"/>
      <c r="L330" s="664">
        <v>-42000</v>
      </c>
      <c r="M330" s="664"/>
      <c r="N330" s="664"/>
      <c r="O330" s="664"/>
      <c r="P330" s="664"/>
    </row>
    <row r="331" spans="1:16" s="324" customFormat="1" ht="21.75" customHeight="1">
      <c r="A331" s="1203">
        <v>851</v>
      </c>
      <c r="B331" s="1212"/>
      <c r="C331" s="1204" t="s">
        <v>106</v>
      </c>
      <c r="D331" s="1198">
        <f t="shared" si="102"/>
        <v>-3718886</v>
      </c>
      <c r="E331" s="1205">
        <f aca="true" t="shared" si="111" ref="E331:P331">E332+E334+E335+E336+E333</f>
        <v>-30076</v>
      </c>
      <c r="F331" s="1205">
        <f t="shared" si="111"/>
        <v>-5663</v>
      </c>
      <c r="G331" s="1205">
        <f t="shared" si="111"/>
        <v>-443758</v>
      </c>
      <c r="H331" s="1205">
        <f t="shared" si="111"/>
        <v>-393711</v>
      </c>
      <c r="I331" s="1205">
        <f t="shared" si="111"/>
        <v>-402953</v>
      </c>
      <c r="J331" s="1205">
        <f t="shared" si="111"/>
        <v>-318965</v>
      </c>
      <c r="K331" s="1205">
        <f t="shared" si="111"/>
        <v>-634269</v>
      </c>
      <c r="L331" s="1205">
        <f t="shared" si="111"/>
        <v>-153325</v>
      </c>
      <c r="M331" s="1205">
        <f t="shared" si="111"/>
        <v>-158191</v>
      </c>
      <c r="N331" s="1205">
        <f t="shared" si="111"/>
        <v>-507325</v>
      </c>
      <c r="O331" s="1205">
        <f t="shared" si="111"/>
        <v>-388325</v>
      </c>
      <c r="P331" s="1205">
        <f t="shared" si="111"/>
        <v>-282325</v>
      </c>
    </row>
    <row r="332" spans="1:16" s="324" customFormat="1" ht="21.75" customHeight="1">
      <c r="A332" s="786"/>
      <c r="B332" s="652">
        <v>85121</v>
      </c>
      <c r="C332" s="653" t="s">
        <v>105</v>
      </c>
      <c r="D332" s="664">
        <f aca="true" t="shared" si="112" ref="D332:D394">SUM(E332:P332)</f>
        <v>-660000</v>
      </c>
      <c r="E332" s="664"/>
      <c r="F332" s="664"/>
      <c r="G332" s="664"/>
      <c r="H332" s="664">
        <v>-5415</v>
      </c>
      <c r="I332" s="664"/>
      <c r="J332" s="664"/>
      <c r="K332" s="664">
        <f>-50000-154585</f>
        <v>-204585</v>
      </c>
      <c r="L332" s="664">
        <v>-50000</v>
      </c>
      <c r="M332" s="664">
        <v>-50000</v>
      </c>
      <c r="N332" s="664">
        <v>-290000</v>
      </c>
      <c r="O332" s="664">
        <v>-60000</v>
      </c>
      <c r="P332" s="664"/>
    </row>
    <row r="333" spans="1:16" s="324" customFormat="1" ht="21.75" customHeight="1">
      <c r="A333" s="786"/>
      <c r="B333" s="652">
        <v>85131</v>
      </c>
      <c r="C333" s="653" t="s">
        <v>422</v>
      </c>
      <c r="D333" s="664">
        <f t="shared" si="112"/>
        <v>-800000</v>
      </c>
      <c r="E333" s="664"/>
      <c r="F333" s="664"/>
      <c r="G333" s="664"/>
      <c r="H333" s="664">
        <v>-113162</v>
      </c>
      <c r="I333" s="664">
        <v>-114906</v>
      </c>
      <c r="J333" s="664">
        <f>-113932-909</f>
        <v>-114841</v>
      </c>
      <c r="K333" s="664">
        <v>-114000</v>
      </c>
      <c r="L333" s="664"/>
      <c r="M333" s="664">
        <f>-2000+909</f>
        <v>-1091</v>
      </c>
      <c r="N333" s="664">
        <v>-114000</v>
      </c>
      <c r="O333" s="664">
        <v>-114000</v>
      </c>
      <c r="P333" s="664">
        <v>-114000</v>
      </c>
    </row>
    <row r="334" spans="1:16" s="324" customFormat="1" ht="21.75" customHeight="1">
      <c r="A334" s="786"/>
      <c r="B334" s="652">
        <v>85153</v>
      </c>
      <c r="C334" s="668" t="s">
        <v>694</v>
      </c>
      <c r="D334" s="664">
        <f t="shared" si="112"/>
        <v>-195000</v>
      </c>
      <c r="E334" s="664">
        <v>-1516</v>
      </c>
      <c r="F334" s="664"/>
      <c r="G334" s="664">
        <v>-43758</v>
      </c>
      <c r="H334" s="664">
        <v>-20109</v>
      </c>
      <c r="I334" s="664">
        <f>-97567+68158</f>
        <v>-29409</v>
      </c>
      <c r="J334" s="664">
        <f>-6325+2201</f>
        <v>-4124</v>
      </c>
      <c r="K334" s="664">
        <f>-3325+25000-70359</f>
        <v>-48684</v>
      </c>
      <c r="L334" s="664">
        <v>-3325</v>
      </c>
      <c r="M334" s="664">
        <v>-7100</v>
      </c>
      <c r="N334" s="664">
        <v>-3325</v>
      </c>
      <c r="O334" s="664">
        <v>-14325</v>
      </c>
      <c r="P334" s="664">
        <v>-19325</v>
      </c>
    </row>
    <row r="335" spans="1:16" s="324" customFormat="1" ht="21.75" customHeight="1">
      <c r="A335" s="786"/>
      <c r="B335" s="652">
        <v>85154</v>
      </c>
      <c r="C335" s="653" t="s">
        <v>124</v>
      </c>
      <c r="D335" s="664">
        <f t="shared" si="112"/>
        <v>-1933886</v>
      </c>
      <c r="E335" s="664">
        <v>-28560</v>
      </c>
      <c r="F335" s="664">
        <v>-5663</v>
      </c>
      <c r="G335" s="664">
        <v>-400000</v>
      </c>
      <c r="H335" s="664">
        <v>-255025</v>
      </c>
      <c r="I335" s="664">
        <v>-258638</v>
      </c>
      <c r="J335" s="664">
        <v>-200000</v>
      </c>
      <c r="K335" s="664">
        <f>-100000-25000-12000</f>
        <v>-137000</v>
      </c>
      <c r="L335" s="664">
        <v>-100000</v>
      </c>
      <c r="M335" s="664">
        <v>-100000</v>
      </c>
      <c r="N335" s="664">
        <v>-100000</v>
      </c>
      <c r="O335" s="664">
        <v>-200000</v>
      </c>
      <c r="P335" s="664">
        <v>-149000</v>
      </c>
    </row>
    <row r="336" spans="1:16" s="324" customFormat="1" ht="21.75" customHeight="1">
      <c r="A336" s="787"/>
      <c r="B336" s="652">
        <v>85195</v>
      </c>
      <c r="C336" s="653" t="s">
        <v>100</v>
      </c>
      <c r="D336" s="664">
        <f t="shared" si="112"/>
        <v>-130000</v>
      </c>
      <c r="E336" s="664"/>
      <c r="F336" s="664"/>
      <c r="G336" s="664"/>
      <c r="H336" s="664"/>
      <c r="I336" s="664"/>
      <c r="J336" s="664"/>
      <c r="K336" s="664">
        <v>-130000</v>
      </c>
      <c r="L336" s="664"/>
      <c r="M336" s="664"/>
      <c r="N336" s="664"/>
      <c r="O336" s="664"/>
      <c r="P336" s="664"/>
    </row>
    <row r="337" spans="1:16" s="324" customFormat="1" ht="21.75" customHeight="1">
      <c r="A337" s="1203">
        <v>852</v>
      </c>
      <c r="B337" s="1212"/>
      <c r="C337" s="1204" t="s">
        <v>129</v>
      </c>
      <c r="D337" s="1198">
        <f t="shared" si="112"/>
        <v>-20677429</v>
      </c>
      <c r="E337" s="1205">
        <f aca="true" t="shared" si="113" ref="E337:P337">E338+E339</f>
        <v>-1706413</v>
      </c>
      <c r="F337" s="1205">
        <f t="shared" si="113"/>
        <v>-1702915</v>
      </c>
      <c r="G337" s="1205">
        <f t="shared" si="113"/>
        <v>-1760134</v>
      </c>
      <c r="H337" s="1205">
        <f t="shared" si="113"/>
        <v>-1761379</v>
      </c>
      <c r="I337" s="1205">
        <f t="shared" si="113"/>
        <v>-1717837</v>
      </c>
      <c r="J337" s="1205">
        <f t="shared" si="113"/>
        <v>-1713837</v>
      </c>
      <c r="K337" s="1205">
        <f t="shared" si="113"/>
        <v>-1716905</v>
      </c>
      <c r="L337" s="1205">
        <f t="shared" si="113"/>
        <v>-1719837</v>
      </c>
      <c r="M337" s="1205">
        <f t="shared" si="113"/>
        <v>-1703837</v>
      </c>
      <c r="N337" s="1205">
        <f t="shared" si="113"/>
        <v>-1703837</v>
      </c>
      <c r="O337" s="1205">
        <f t="shared" si="113"/>
        <v>-1698857</v>
      </c>
      <c r="P337" s="1205">
        <f t="shared" si="113"/>
        <v>-1771641</v>
      </c>
    </row>
    <row r="338" spans="1:16" s="324" customFormat="1" ht="21.75" customHeight="1">
      <c r="A338" s="786"/>
      <c r="B338" s="652">
        <v>85215</v>
      </c>
      <c r="C338" s="653" t="s">
        <v>615</v>
      </c>
      <c r="D338" s="664">
        <f t="shared" si="112"/>
        <v>-19000000</v>
      </c>
      <c r="E338" s="664">
        <v>-1583330</v>
      </c>
      <c r="F338" s="664">
        <v>-1583330</v>
      </c>
      <c r="G338" s="664">
        <v>-1583330</v>
      </c>
      <c r="H338" s="664">
        <v>-1583330</v>
      </c>
      <c r="I338" s="664">
        <v>-1583330</v>
      </c>
      <c r="J338" s="664">
        <v>-1583330</v>
      </c>
      <c r="K338" s="664">
        <v>-1583330</v>
      </c>
      <c r="L338" s="664">
        <v>-1583330</v>
      </c>
      <c r="M338" s="664">
        <v>-1583330</v>
      </c>
      <c r="N338" s="664">
        <v>-1583330</v>
      </c>
      <c r="O338" s="664">
        <v>-1583350</v>
      </c>
      <c r="P338" s="664">
        <v>-1583350</v>
      </c>
    </row>
    <row r="339" spans="1:16" s="324" customFormat="1" ht="21.75" customHeight="1">
      <c r="A339" s="787"/>
      <c r="B339" s="652">
        <v>85232</v>
      </c>
      <c r="C339" s="653" t="s">
        <v>708</v>
      </c>
      <c r="D339" s="664">
        <f t="shared" si="112"/>
        <v>-1677429</v>
      </c>
      <c r="E339" s="664">
        <v>-123083</v>
      </c>
      <c r="F339" s="664">
        <v>-119585</v>
      </c>
      <c r="G339" s="664">
        <v>-176804</v>
      </c>
      <c r="H339" s="664">
        <v>-178049</v>
      </c>
      <c r="I339" s="664">
        <v>-134507</v>
      </c>
      <c r="J339" s="664">
        <v>-130507</v>
      </c>
      <c r="K339" s="664">
        <v>-133575</v>
      </c>
      <c r="L339" s="664">
        <v>-136507</v>
      </c>
      <c r="M339" s="664">
        <v>-120507</v>
      </c>
      <c r="N339" s="664">
        <v>-120507</v>
      </c>
      <c r="O339" s="664">
        <v>-115507</v>
      </c>
      <c r="P339" s="664">
        <f>-197565+9274</f>
        <v>-188291</v>
      </c>
    </row>
    <row r="340" spans="1:16" s="324" customFormat="1" ht="31.5">
      <c r="A340" s="1203">
        <v>853</v>
      </c>
      <c r="B340" s="1212"/>
      <c r="C340" s="1204" t="s">
        <v>277</v>
      </c>
      <c r="D340" s="1198">
        <f t="shared" si="112"/>
        <v>-100000</v>
      </c>
      <c r="E340" s="1205"/>
      <c r="F340" s="1205"/>
      <c r="G340" s="1205">
        <f aca="true" t="shared" si="114" ref="G340:P340">G341</f>
        <v>-10000</v>
      </c>
      <c r="H340" s="1205">
        <f t="shared" si="114"/>
        <v>-10000</v>
      </c>
      <c r="I340" s="1205">
        <f t="shared" si="114"/>
        <v>-10000</v>
      </c>
      <c r="J340" s="1205">
        <f t="shared" si="114"/>
        <v>-10000</v>
      </c>
      <c r="K340" s="1205">
        <f t="shared" si="114"/>
        <v>-10000</v>
      </c>
      <c r="L340" s="1205">
        <f t="shared" si="114"/>
        <v>-10000</v>
      </c>
      <c r="M340" s="1205">
        <f t="shared" si="114"/>
        <v>-10000</v>
      </c>
      <c r="N340" s="1205">
        <f t="shared" si="114"/>
        <v>-10000</v>
      </c>
      <c r="O340" s="1205">
        <f t="shared" si="114"/>
        <v>-10000</v>
      </c>
      <c r="P340" s="1205">
        <f t="shared" si="114"/>
        <v>-10000</v>
      </c>
    </row>
    <row r="341" spans="1:16" s="324" customFormat="1" ht="30">
      <c r="A341" s="786"/>
      <c r="B341" s="652">
        <v>85321</v>
      </c>
      <c r="C341" s="653" t="s">
        <v>939</v>
      </c>
      <c r="D341" s="664">
        <f t="shared" si="112"/>
        <v>-100000</v>
      </c>
      <c r="E341" s="664"/>
      <c r="F341" s="664"/>
      <c r="G341" s="664">
        <v>-10000</v>
      </c>
      <c r="H341" s="664">
        <v>-10000</v>
      </c>
      <c r="I341" s="664">
        <v>-10000</v>
      </c>
      <c r="J341" s="664">
        <v>-10000</v>
      </c>
      <c r="K341" s="664">
        <v>-10000</v>
      </c>
      <c r="L341" s="664">
        <v>-10000</v>
      </c>
      <c r="M341" s="664">
        <v>-10000</v>
      </c>
      <c r="N341" s="664">
        <v>-10000</v>
      </c>
      <c r="O341" s="664">
        <v>-10000</v>
      </c>
      <c r="P341" s="664">
        <v>-10000</v>
      </c>
    </row>
    <row r="342" spans="1:16" s="324" customFormat="1" ht="21.75" customHeight="1">
      <c r="A342" s="1203">
        <v>854</v>
      </c>
      <c r="B342" s="1207"/>
      <c r="C342" s="801" t="s">
        <v>618</v>
      </c>
      <c r="D342" s="1198">
        <f t="shared" si="112"/>
        <v>-180000</v>
      </c>
      <c r="E342" s="1198"/>
      <c r="F342" s="1198">
        <f>F343</f>
        <v>-3140</v>
      </c>
      <c r="G342" s="1198">
        <f>G343</f>
        <v>-23980</v>
      </c>
      <c r="H342" s="1198"/>
      <c r="I342" s="1198"/>
      <c r="J342" s="1198">
        <f>J343</f>
        <v>-14000</v>
      </c>
      <c r="K342" s="1198">
        <f>K343</f>
        <v>-63880</v>
      </c>
      <c r="L342" s="1198">
        <f>L343</f>
        <v>-65000</v>
      </c>
      <c r="M342" s="1198">
        <f>M343</f>
        <v>-10000</v>
      </c>
      <c r="N342" s="1198"/>
      <c r="O342" s="1198"/>
      <c r="P342" s="1198"/>
    </row>
    <row r="343" spans="1:16" s="324" customFormat="1" ht="46.5" customHeight="1">
      <c r="A343" s="787"/>
      <c r="B343" s="652">
        <v>85412</v>
      </c>
      <c r="C343" s="653" t="s">
        <v>929</v>
      </c>
      <c r="D343" s="664">
        <f t="shared" si="112"/>
        <v>-180000</v>
      </c>
      <c r="E343" s="664"/>
      <c r="F343" s="664">
        <v>-3140</v>
      </c>
      <c r="G343" s="664">
        <v>-23980</v>
      </c>
      <c r="H343" s="664"/>
      <c r="I343" s="664"/>
      <c r="J343" s="664">
        <v>-14000</v>
      </c>
      <c r="K343" s="664">
        <v>-63880</v>
      </c>
      <c r="L343" s="664">
        <v>-65000</v>
      </c>
      <c r="M343" s="664">
        <v>-10000</v>
      </c>
      <c r="N343" s="664"/>
      <c r="O343" s="664"/>
      <c r="P343" s="664"/>
    </row>
    <row r="344" spans="1:16" s="324" customFormat="1" ht="24.75" customHeight="1">
      <c r="A344" s="1197">
        <v>921</v>
      </c>
      <c r="B344" s="1213"/>
      <c r="C344" s="801" t="s">
        <v>401</v>
      </c>
      <c r="D344" s="1205">
        <f t="shared" si="112"/>
        <v>-17986127</v>
      </c>
      <c r="E344" s="1198">
        <f aca="true" t="shared" si="115" ref="E344:P344">E345+E346+E347+E348+E349+E350</f>
        <v>-1537250</v>
      </c>
      <c r="F344" s="1198">
        <f t="shared" si="115"/>
        <v>-1318100</v>
      </c>
      <c r="G344" s="1198">
        <f t="shared" si="115"/>
        <v>-2041965</v>
      </c>
      <c r="H344" s="1198">
        <f t="shared" si="115"/>
        <v>-1504640</v>
      </c>
      <c r="I344" s="1198">
        <f t="shared" si="115"/>
        <v>-1665230</v>
      </c>
      <c r="J344" s="1198">
        <f t="shared" si="115"/>
        <v>-1938010</v>
      </c>
      <c r="K344" s="1198">
        <f t="shared" si="115"/>
        <v>-1696672</v>
      </c>
      <c r="L344" s="1198">
        <f t="shared" si="115"/>
        <v>-1461135</v>
      </c>
      <c r="M344" s="1198">
        <f t="shared" si="115"/>
        <v>-1463450</v>
      </c>
      <c r="N344" s="1198">
        <f t="shared" si="115"/>
        <v>-1215975</v>
      </c>
      <c r="O344" s="1198">
        <f t="shared" si="115"/>
        <v>-1149800</v>
      </c>
      <c r="P344" s="1198">
        <f t="shared" si="115"/>
        <v>-993900</v>
      </c>
    </row>
    <row r="345" spans="1:16" s="324" customFormat="1" ht="19.5" customHeight="1">
      <c r="A345" s="786"/>
      <c r="B345" s="652">
        <v>92105</v>
      </c>
      <c r="C345" s="653" t="s">
        <v>397</v>
      </c>
      <c r="D345" s="664">
        <f t="shared" si="112"/>
        <v>-920000</v>
      </c>
      <c r="E345" s="664">
        <v>-250</v>
      </c>
      <c r="F345" s="664">
        <v>-1100</v>
      </c>
      <c r="G345" s="664">
        <v>-51423</v>
      </c>
      <c r="H345" s="664">
        <v>-88640</v>
      </c>
      <c r="I345" s="664">
        <f>-128750+4520</f>
        <v>-124230</v>
      </c>
      <c r="J345" s="664">
        <f>-386162+146377</f>
        <v>-239785</v>
      </c>
      <c r="K345" s="664">
        <f>-62600-150897</f>
        <v>-213497</v>
      </c>
      <c r="L345" s="664">
        <v>-24300</v>
      </c>
      <c r="M345" s="664">
        <v>-89275</v>
      </c>
      <c r="N345" s="664">
        <v>-28800</v>
      </c>
      <c r="O345" s="664">
        <v>-3800</v>
      </c>
      <c r="P345" s="664">
        <v>-54900</v>
      </c>
    </row>
    <row r="346" spans="1:16" s="324" customFormat="1" ht="19.5" customHeight="1">
      <c r="A346" s="786"/>
      <c r="B346" s="652">
        <v>92106</v>
      </c>
      <c r="C346" s="653" t="s">
        <v>957</v>
      </c>
      <c r="D346" s="664">
        <f t="shared" si="112"/>
        <v>-2950000</v>
      </c>
      <c r="E346" s="664">
        <f>-227000</f>
        <v>-227000</v>
      </c>
      <c r="F346" s="664">
        <f>-267000</f>
        <v>-267000</v>
      </c>
      <c r="G346" s="664">
        <f>-280000</f>
        <v>-280000</v>
      </c>
      <c r="H346" s="664">
        <f>-260000</f>
        <v>-260000</v>
      </c>
      <c r="I346" s="664">
        <f>-240000</f>
        <v>-240000</v>
      </c>
      <c r="J346" s="664">
        <f>-238000</f>
        <v>-238000</v>
      </c>
      <c r="K346" s="664">
        <f>-297000</f>
        <v>-297000</v>
      </c>
      <c r="L346" s="664">
        <f>-270000</f>
        <v>-270000</v>
      </c>
      <c r="M346" s="664">
        <f>-225000</f>
        <v>-225000</v>
      </c>
      <c r="N346" s="664">
        <f>-226000</f>
        <v>-226000</v>
      </c>
      <c r="O346" s="664">
        <f>-215000</f>
        <v>-215000</v>
      </c>
      <c r="P346" s="664">
        <f>-205000</f>
        <v>-205000</v>
      </c>
    </row>
    <row r="347" spans="1:16" s="324" customFormat="1" ht="19.5" customHeight="1">
      <c r="A347" s="786"/>
      <c r="B347" s="652">
        <v>92109</v>
      </c>
      <c r="C347" s="653" t="s">
        <v>1043</v>
      </c>
      <c r="D347" s="664">
        <f t="shared" si="112"/>
        <v>-2939242</v>
      </c>
      <c r="E347" s="664">
        <f>-50000-76000-70000</f>
        <v>-196000</v>
      </c>
      <c r="F347" s="664">
        <f>-50000-76000-75000</f>
        <v>-201000</v>
      </c>
      <c r="G347" s="664">
        <f>-50000-30000-91000-179542</f>
        <v>-350542</v>
      </c>
      <c r="H347" s="664">
        <f>-50000-111000-125000</f>
        <v>-286000</v>
      </c>
      <c r="I347" s="664">
        <f>-60000-121000-75000</f>
        <v>-256000</v>
      </c>
      <c r="J347" s="664">
        <f>-60000-191000-60000</f>
        <v>-311000</v>
      </c>
      <c r="K347" s="664">
        <f>-50000-125000-130000-4175</f>
        <v>-309175</v>
      </c>
      <c r="L347" s="664">
        <f>-40000-165000-75000-4175</f>
        <v>-284175</v>
      </c>
      <c r="M347" s="664">
        <f>-50000-70000-94000-75000-4175</f>
        <v>-293175</v>
      </c>
      <c r="N347" s="664">
        <f>-40000-50000-75000-4175</f>
        <v>-169175</v>
      </c>
      <c r="O347" s="664">
        <f>-50000-40000-75000</f>
        <v>-165000</v>
      </c>
      <c r="P347" s="664">
        <f>-20000-30000-68000</f>
        <v>-118000</v>
      </c>
    </row>
    <row r="348" spans="1:16" s="324" customFormat="1" ht="19.5" customHeight="1">
      <c r="A348" s="786"/>
      <c r="B348" s="652">
        <v>92110</v>
      </c>
      <c r="C348" s="653" t="s">
        <v>1044</v>
      </c>
      <c r="D348" s="664">
        <f t="shared" si="112"/>
        <v>-786000</v>
      </c>
      <c r="E348" s="664">
        <v>-64000</v>
      </c>
      <c r="F348" s="664">
        <v>-64000</v>
      </c>
      <c r="G348" s="664">
        <v>-75000</v>
      </c>
      <c r="H348" s="664">
        <v>-75000</v>
      </c>
      <c r="I348" s="664">
        <v>-73000</v>
      </c>
      <c r="J348" s="664">
        <v>-75000</v>
      </c>
      <c r="K348" s="664">
        <v>-55000</v>
      </c>
      <c r="L348" s="664">
        <v>-58000</v>
      </c>
      <c r="M348" s="664">
        <v>-63000</v>
      </c>
      <c r="N348" s="664">
        <v>-62000</v>
      </c>
      <c r="O348" s="664">
        <v>-61000</v>
      </c>
      <c r="P348" s="664">
        <v>-61000</v>
      </c>
    </row>
    <row r="349" spans="1:16" s="324" customFormat="1" ht="19.5" customHeight="1">
      <c r="A349" s="786"/>
      <c r="B349" s="652">
        <v>92113</v>
      </c>
      <c r="C349" s="653" t="s">
        <v>398</v>
      </c>
      <c r="D349" s="664">
        <f t="shared" si="112"/>
        <v>-3471225</v>
      </c>
      <c r="E349" s="664">
        <v>-400000</v>
      </c>
      <c r="F349" s="664">
        <v>-200000</v>
      </c>
      <c r="G349" s="664">
        <v>-520000</v>
      </c>
      <c r="H349" s="664">
        <v>-265000</v>
      </c>
      <c r="I349" s="664">
        <f>-352000</f>
        <v>-352000</v>
      </c>
      <c r="J349" s="664">
        <f>-519225</f>
        <v>-519225</v>
      </c>
      <c r="K349" s="664">
        <f>-190000-112000</f>
        <v>-302000</v>
      </c>
      <c r="L349" s="664">
        <f>-120000-20000</f>
        <v>-140000</v>
      </c>
      <c r="M349" s="664">
        <f>-140000-123000</f>
        <v>-263000</v>
      </c>
      <c r="N349" s="664">
        <f>-50000-145000</f>
        <v>-195000</v>
      </c>
      <c r="O349" s="664">
        <f>-40000-155000</f>
        <v>-195000</v>
      </c>
      <c r="P349" s="664">
        <v>-120000</v>
      </c>
    </row>
    <row r="350" spans="1:16" s="324" customFormat="1" ht="19.5" customHeight="1">
      <c r="A350" s="786"/>
      <c r="B350" s="652">
        <v>92116</v>
      </c>
      <c r="C350" s="653" t="s">
        <v>399</v>
      </c>
      <c r="D350" s="664">
        <f t="shared" si="112"/>
        <v>-6919660</v>
      </c>
      <c r="E350" s="664">
        <v>-650000</v>
      </c>
      <c r="F350" s="664">
        <v>-585000</v>
      </c>
      <c r="G350" s="664">
        <f>-10000-755000</f>
        <v>-765000</v>
      </c>
      <c r="H350" s="664">
        <v>-530000</v>
      </c>
      <c r="I350" s="664">
        <f>-10000-610000</f>
        <v>-620000</v>
      </c>
      <c r="J350" s="664">
        <v>-555000</v>
      </c>
      <c r="K350" s="664">
        <v>-520000</v>
      </c>
      <c r="L350" s="664">
        <f>-10000-674660</f>
        <v>-684660</v>
      </c>
      <c r="M350" s="664">
        <v>-530000</v>
      </c>
      <c r="N350" s="664">
        <v>-535000</v>
      </c>
      <c r="O350" s="664">
        <f>-10000-500000</f>
        <v>-510000</v>
      </c>
      <c r="P350" s="664">
        <v>-435000</v>
      </c>
    </row>
    <row r="351" spans="1:16" s="324" customFormat="1" ht="18.75" customHeight="1">
      <c r="A351" s="1203">
        <v>926</v>
      </c>
      <c r="B351" s="1207"/>
      <c r="C351" s="801" t="s">
        <v>1045</v>
      </c>
      <c r="D351" s="1198">
        <f t="shared" si="112"/>
        <v>-8709500</v>
      </c>
      <c r="E351" s="1198">
        <f aca="true" t="shared" si="116" ref="E351:P351">E352+E353+E354</f>
        <v>-7602</v>
      </c>
      <c r="F351" s="1198">
        <f t="shared" si="116"/>
        <v>-238191</v>
      </c>
      <c r="G351" s="1198">
        <f t="shared" si="116"/>
        <v>-378800</v>
      </c>
      <c r="H351" s="1198">
        <f t="shared" si="116"/>
        <v>-1058915</v>
      </c>
      <c r="I351" s="1198">
        <f t="shared" si="116"/>
        <v>-1063497</v>
      </c>
      <c r="J351" s="1198">
        <f t="shared" si="116"/>
        <v>-698788</v>
      </c>
      <c r="K351" s="1198">
        <f t="shared" si="116"/>
        <v>-836000</v>
      </c>
      <c r="L351" s="1198">
        <f t="shared" si="116"/>
        <v>-1042000</v>
      </c>
      <c r="M351" s="1198">
        <f t="shared" si="116"/>
        <v>-1939500</v>
      </c>
      <c r="N351" s="1198">
        <f t="shared" si="116"/>
        <v>-517000</v>
      </c>
      <c r="O351" s="1198">
        <f t="shared" si="116"/>
        <v>-385000</v>
      </c>
      <c r="P351" s="1198">
        <f t="shared" si="116"/>
        <v>-544207</v>
      </c>
    </row>
    <row r="352" spans="1:16" s="324" customFormat="1" ht="18.75" customHeight="1">
      <c r="A352" s="786"/>
      <c r="B352" s="787">
        <v>92601</v>
      </c>
      <c r="C352" s="653" t="s">
        <v>1046</v>
      </c>
      <c r="D352" s="664">
        <f t="shared" si="112"/>
        <v>-400000</v>
      </c>
      <c r="E352" s="664"/>
      <c r="F352" s="664"/>
      <c r="G352" s="664">
        <v>-53000</v>
      </c>
      <c r="H352" s="664"/>
      <c r="I352" s="664">
        <v>-48000</v>
      </c>
      <c r="J352" s="664">
        <v>-7000</v>
      </c>
      <c r="K352" s="664">
        <v>-145000</v>
      </c>
      <c r="L352" s="664"/>
      <c r="M352" s="664">
        <v>-95000</v>
      </c>
      <c r="N352" s="664">
        <v>-52000</v>
      </c>
      <c r="O352" s="664"/>
      <c r="P352" s="664"/>
    </row>
    <row r="353" spans="1:16" s="324" customFormat="1" ht="18.75" customHeight="1">
      <c r="A353" s="786"/>
      <c r="B353" s="1146">
        <v>92604</v>
      </c>
      <c r="C353" s="653" t="s">
        <v>1047</v>
      </c>
      <c r="D353" s="664">
        <f t="shared" si="112"/>
        <v>-3650000</v>
      </c>
      <c r="E353" s="748"/>
      <c r="F353" s="748">
        <v>-238000</v>
      </c>
      <c r="G353" s="748">
        <v>-225000</v>
      </c>
      <c r="H353" s="748">
        <v>-371000</v>
      </c>
      <c r="I353" s="748">
        <v>-260000</v>
      </c>
      <c r="J353" s="748">
        <f>-526000+270000</f>
        <v>-256000</v>
      </c>
      <c r="K353" s="748">
        <f>-268000-200000</f>
        <v>-468000</v>
      </c>
      <c r="L353" s="748">
        <f>-268000-200000</f>
        <v>-468000</v>
      </c>
      <c r="M353" s="748">
        <f>-258000-100000-270000</f>
        <v>-628000</v>
      </c>
      <c r="N353" s="748">
        <v>-248000</v>
      </c>
      <c r="O353" s="748">
        <v>-250000</v>
      </c>
      <c r="P353" s="748">
        <v>-238000</v>
      </c>
    </row>
    <row r="354" spans="1:16" s="324" customFormat="1" ht="18.75" customHeight="1">
      <c r="A354" s="786"/>
      <c r="B354" s="1146">
        <v>92605</v>
      </c>
      <c r="C354" s="668" t="s">
        <v>402</v>
      </c>
      <c r="D354" s="748">
        <f t="shared" si="112"/>
        <v>-4659500</v>
      </c>
      <c r="E354" s="1012">
        <v>-7602</v>
      </c>
      <c r="F354" s="748">
        <v>-191</v>
      </c>
      <c r="G354" s="748">
        <v>-100800</v>
      </c>
      <c r="H354" s="748">
        <v>-687915</v>
      </c>
      <c r="I354" s="748">
        <v>-755497</v>
      </c>
      <c r="J354" s="748">
        <v>-435788</v>
      </c>
      <c r="K354" s="748">
        <f>-140000-83000</f>
        <v>-223000</v>
      </c>
      <c r="L354" s="748">
        <f>-491000-83000</f>
        <v>-574000</v>
      </c>
      <c r="M354" s="748">
        <f>-694000-439500-83000</f>
        <v>-1216500</v>
      </c>
      <c r="N354" s="748">
        <f>-134000-83000</f>
        <v>-217000</v>
      </c>
      <c r="O354" s="748">
        <f>-52000-83000</f>
        <v>-135000</v>
      </c>
      <c r="P354" s="748">
        <f>-121207-185000</f>
        <v>-306207</v>
      </c>
    </row>
    <row r="355" spans="1:16" s="324" customFormat="1" ht="32.25" customHeight="1" thickBot="1">
      <c r="A355" s="787"/>
      <c r="B355" s="787"/>
      <c r="C355" s="739" t="s">
        <v>523</v>
      </c>
      <c r="D355" s="725">
        <f t="shared" si="112"/>
        <v>-34000</v>
      </c>
      <c r="E355" s="725"/>
      <c r="F355" s="725"/>
      <c r="G355" s="725"/>
      <c r="H355" s="725"/>
      <c r="I355" s="725"/>
      <c r="J355" s="725">
        <f>J356</f>
        <v>-34000</v>
      </c>
      <c r="K355" s="725"/>
      <c r="L355" s="725"/>
      <c r="M355" s="725"/>
      <c r="N355" s="725"/>
      <c r="O355" s="725"/>
      <c r="P355" s="725"/>
    </row>
    <row r="356" spans="1:16" s="324" customFormat="1" ht="27" customHeight="1" thickTop="1">
      <c r="A356" s="1197">
        <v>921</v>
      </c>
      <c r="B356" s="1213"/>
      <c r="C356" s="801" t="s">
        <v>401</v>
      </c>
      <c r="D356" s="1198">
        <f t="shared" si="112"/>
        <v>-34000</v>
      </c>
      <c r="E356" s="1198"/>
      <c r="F356" s="1198"/>
      <c r="G356" s="1198"/>
      <c r="H356" s="1198"/>
      <c r="I356" s="1198"/>
      <c r="J356" s="1198">
        <f>J357</f>
        <v>-34000</v>
      </c>
      <c r="K356" s="1198"/>
      <c r="L356" s="1198"/>
      <c r="M356" s="1198"/>
      <c r="N356" s="1198"/>
      <c r="O356" s="1198"/>
      <c r="P356" s="1198"/>
    </row>
    <row r="357" spans="1:16" s="324" customFormat="1" ht="21.75" customHeight="1">
      <c r="A357" s="786"/>
      <c r="B357" s="652">
        <v>92109</v>
      </c>
      <c r="C357" s="653" t="s">
        <v>1043</v>
      </c>
      <c r="D357" s="664">
        <f t="shared" si="112"/>
        <v>-34000</v>
      </c>
      <c r="E357" s="664"/>
      <c r="F357" s="664"/>
      <c r="G357" s="664"/>
      <c r="H357" s="664"/>
      <c r="I357" s="664"/>
      <c r="J357" s="664">
        <v>-34000</v>
      </c>
      <c r="K357" s="1189"/>
      <c r="L357" s="664"/>
      <c r="M357" s="664"/>
      <c r="N357" s="664"/>
      <c r="O357" s="664"/>
      <c r="P357" s="664"/>
    </row>
    <row r="358" spans="1:16" s="324" customFormat="1" ht="39" customHeight="1" thickBot="1">
      <c r="A358" s="787"/>
      <c r="B358" s="787"/>
      <c r="C358" s="739" t="s">
        <v>1021</v>
      </c>
      <c r="D358" s="725">
        <f t="shared" si="112"/>
        <v>-528000</v>
      </c>
      <c r="E358" s="725">
        <f aca="true" t="shared" si="117" ref="E358:P359">E359</f>
        <v>-45000</v>
      </c>
      <c r="F358" s="725">
        <f t="shared" si="117"/>
        <v>-58900</v>
      </c>
      <c r="G358" s="725">
        <f t="shared" si="117"/>
        <v>-48300</v>
      </c>
      <c r="H358" s="725">
        <f t="shared" si="117"/>
        <v>-41600</v>
      </c>
      <c r="I358" s="725">
        <f t="shared" si="117"/>
        <v>-41600</v>
      </c>
      <c r="J358" s="725">
        <f t="shared" si="117"/>
        <v>-43700</v>
      </c>
      <c r="K358" s="725">
        <f t="shared" si="117"/>
        <v>-41600</v>
      </c>
      <c r="L358" s="725">
        <f t="shared" si="117"/>
        <v>-41600</v>
      </c>
      <c r="M358" s="725">
        <f t="shared" si="117"/>
        <v>-43700</v>
      </c>
      <c r="N358" s="725">
        <f t="shared" si="117"/>
        <v>-41600</v>
      </c>
      <c r="O358" s="725">
        <f t="shared" si="117"/>
        <v>-41300</v>
      </c>
      <c r="P358" s="725">
        <f t="shared" si="117"/>
        <v>-39100</v>
      </c>
    </row>
    <row r="359" spans="1:16" s="324" customFormat="1" ht="36.75" customHeight="1" thickTop="1">
      <c r="A359" s="1197">
        <v>853</v>
      </c>
      <c r="B359" s="1197"/>
      <c r="C359" s="801" t="s">
        <v>277</v>
      </c>
      <c r="D359" s="1198">
        <f t="shared" si="112"/>
        <v>-528000</v>
      </c>
      <c r="E359" s="1198">
        <f t="shared" si="117"/>
        <v>-45000</v>
      </c>
      <c r="F359" s="1198">
        <f t="shared" si="117"/>
        <v>-58900</v>
      </c>
      <c r="G359" s="1198">
        <f t="shared" si="117"/>
        <v>-48300</v>
      </c>
      <c r="H359" s="1198">
        <f t="shared" si="117"/>
        <v>-41600</v>
      </c>
      <c r="I359" s="1198">
        <f t="shared" si="117"/>
        <v>-41600</v>
      </c>
      <c r="J359" s="1198">
        <f t="shared" si="117"/>
        <v>-43700</v>
      </c>
      <c r="K359" s="1198">
        <f t="shared" si="117"/>
        <v>-41600</v>
      </c>
      <c r="L359" s="1198">
        <f t="shared" si="117"/>
        <v>-41600</v>
      </c>
      <c r="M359" s="1198">
        <f t="shared" si="117"/>
        <v>-43700</v>
      </c>
      <c r="N359" s="1198">
        <f t="shared" si="117"/>
        <v>-41600</v>
      </c>
      <c r="O359" s="1198">
        <f t="shared" si="117"/>
        <v>-41300</v>
      </c>
      <c r="P359" s="1198">
        <f t="shared" si="117"/>
        <v>-39100</v>
      </c>
    </row>
    <row r="360" spans="1:16" s="324" customFormat="1" ht="32.25" customHeight="1">
      <c r="A360" s="786"/>
      <c r="B360" s="787">
        <v>85321</v>
      </c>
      <c r="C360" s="653" t="s">
        <v>939</v>
      </c>
      <c r="D360" s="664">
        <f t="shared" si="112"/>
        <v>-528000</v>
      </c>
      <c r="E360" s="664">
        <v>-45000</v>
      </c>
      <c r="F360" s="664">
        <v>-58900</v>
      </c>
      <c r="G360" s="664">
        <v>-48300</v>
      </c>
      <c r="H360" s="664">
        <v>-41600</v>
      </c>
      <c r="I360" s="664">
        <v>-41600</v>
      </c>
      <c r="J360" s="664">
        <v>-43700</v>
      </c>
      <c r="K360" s="664">
        <v>-41600</v>
      </c>
      <c r="L360" s="664">
        <v>-41600</v>
      </c>
      <c r="M360" s="664">
        <v>-43700</v>
      </c>
      <c r="N360" s="664">
        <v>-41600</v>
      </c>
      <c r="O360" s="664">
        <v>-41300</v>
      </c>
      <c r="P360" s="664">
        <v>-39100</v>
      </c>
    </row>
    <row r="361" spans="1:16" s="324" customFormat="1" ht="25.5" customHeight="1">
      <c r="A361" s="786"/>
      <c r="B361" s="786"/>
      <c r="C361" s="640" t="s">
        <v>914</v>
      </c>
      <c r="D361" s="1190">
        <f t="shared" si="112"/>
        <v>18062127</v>
      </c>
      <c r="E361" s="1190">
        <f aca="true" t="shared" si="118" ref="E361:P361">E362+E372</f>
        <v>1537250</v>
      </c>
      <c r="F361" s="1190">
        <f t="shared" si="118"/>
        <v>1318100</v>
      </c>
      <c r="G361" s="1190">
        <f t="shared" si="118"/>
        <v>2041965</v>
      </c>
      <c r="H361" s="1190">
        <f t="shared" si="118"/>
        <v>1504640</v>
      </c>
      <c r="I361" s="1190">
        <f t="shared" si="118"/>
        <v>1665230</v>
      </c>
      <c r="J361" s="1190">
        <f t="shared" si="118"/>
        <v>1938010</v>
      </c>
      <c r="K361" s="1190">
        <f t="shared" si="118"/>
        <v>1730672</v>
      </c>
      <c r="L361" s="1190">
        <f t="shared" si="118"/>
        <v>1503135</v>
      </c>
      <c r="M361" s="1190">
        <f t="shared" si="118"/>
        <v>1463450</v>
      </c>
      <c r="N361" s="1190">
        <f t="shared" si="118"/>
        <v>1215975</v>
      </c>
      <c r="O361" s="1190">
        <f t="shared" si="118"/>
        <v>1149800</v>
      </c>
      <c r="P361" s="1190">
        <f t="shared" si="118"/>
        <v>993900</v>
      </c>
    </row>
    <row r="362" spans="1:16" s="324" customFormat="1" ht="19.5" customHeight="1" thickBot="1">
      <c r="A362" s="787"/>
      <c r="B362" s="787"/>
      <c r="C362" s="739" t="s">
        <v>646</v>
      </c>
      <c r="D362" s="725">
        <f t="shared" si="112"/>
        <v>18028127</v>
      </c>
      <c r="E362" s="725">
        <f aca="true" t="shared" si="119" ref="E362:P362">E365+E363</f>
        <v>1537250</v>
      </c>
      <c r="F362" s="725">
        <f t="shared" si="119"/>
        <v>1318100</v>
      </c>
      <c r="G362" s="725">
        <f t="shared" si="119"/>
        <v>2041965</v>
      </c>
      <c r="H362" s="725">
        <f t="shared" si="119"/>
        <v>1504640</v>
      </c>
      <c r="I362" s="725">
        <f t="shared" si="119"/>
        <v>1665230</v>
      </c>
      <c r="J362" s="725">
        <f t="shared" si="119"/>
        <v>1938010</v>
      </c>
      <c r="K362" s="725">
        <f t="shared" si="119"/>
        <v>1696672</v>
      </c>
      <c r="L362" s="725">
        <f t="shared" si="119"/>
        <v>1503135</v>
      </c>
      <c r="M362" s="725">
        <f t="shared" si="119"/>
        <v>1463450</v>
      </c>
      <c r="N362" s="725">
        <f t="shared" si="119"/>
        <v>1215975</v>
      </c>
      <c r="O362" s="725">
        <f t="shared" si="119"/>
        <v>1149800</v>
      </c>
      <c r="P362" s="725">
        <f t="shared" si="119"/>
        <v>993900</v>
      </c>
    </row>
    <row r="363" spans="1:16" s="324" customFormat="1" ht="19.5" customHeight="1" thickTop="1">
      <c r="A363" s="1203">
        <v>750</v>
      </c>
      <c r="B363" s="1203"/>
      <c r="C363" s="1204" t="s">
        <v>439</v>
      </c>
      <c r="D363" s="1205">
        <f t="shared" si="112"/>
        <v>42000</v>
      </c>
      <c r="E363" s="1205"/>
      <c r="F363" s="1205"/>
      <c r="G363" s="1205"/>
      <c r="H363" s="1205"/>
      <c r="I363" s="1205"/>
      <c r="J363" s="1205"/>
      <c r="K363" s="1205"/>
      <c r="L363" s="1205">
        <f>L364</f>
        <v>42000</v>
      </c>
      <c r="M363" s="1205"/>
      <c r="N363" s="1205"/>
      <c r="O363" s="1205"/>
      <c r="P363" s="1205"/>
    </row>
    <row r="364" spans="1:16" s="324" customFormat="1" ht="21.75" customHeight="1">
      <c r="A364" s="787"/>
      <c r="B364" s="787">
        <v>75075</v>
      </c>
      <c r="C364" s="653" t="s">
        <v>993</v>
      </c>
      <c r="D364" s="664">
        <f t="shared" si="112"/>
        <v>42000</v>
      </c>
      <c r="E364" s="664"/>
      <c r="F364" s="664"/>
      <c r="G364" s="664"/>
      <c r="H364" s="664"/>
      <c r="I364" s="664"/>
      <c r="J364" s="664"/>
      <c r="K364" s="664"/>
      <c r="L364" s="664">
        <v>42000</v>
      </c>
      <c r="M364" s="664"/>
      <c r="N364" s="664"/>
      <c r="O364" s="664"/>
      <c r="P364" s="664"/>
    </row>
    <row r="365" spans="1:16" s="324" customFormat="1" ht="27" customHeight="1">
      <c r="A365" s="1203">
        <v>921</v>
      </c>
      <c r="B365" s="1214"/>
      <c r="C365" s="1204" t="s">
        <v>401</v>
      </c>
      <c r="D365" s="1205">
        <f t="shared" si="112"/>
        <v>17986127</v>
      </c>
      <c r="E365" s="1205">
        <f aca="true" t="shared" si="120" ref="E365:P365">E366+E367+E368+E369+E370+E371</f>
        <v>1537250</v>
      </c>
      <c r="F365" s="1205">
        <f t="shared" si="120"/>
        <v>1318100</v>
      </c>
      <c r="G365" s="1205">
        <f t="shared" si="120"/>
        <v>2041965</v>
      </c>
      <c r="H365" s="1205">
        <f t="shared" si="120"/>
        <v>1504640</v>
      </c>
      <c r="I365" s="1205">
        <f t="shared" si="120"/>
        <v>1665230</v>
      </c>
      <c r="J365" s="1205">
        <f t="shared" si="120"/>
        <v>1938010</v>
      </c>
      <c r="K365" s="1205">
        <f t="shared" si="120"/>
        <v>1696672</v>
      </c>
      <c r="L365" s="1205">
        <f t="shared" si="120"/>
        <v>1461135</v>
      </c>
      <c r="M365" s="1205">
        <f t="shared" si="120"/>
        <v>1463450</v>
      </c>
      <c r="N365" s="1205">
        <f t="shared" si="120"/>
        <v>1215975</v>
      </c>
      <c r="O365" s="1205">
        <f t="shared" si="120"/>
        <v>1149800</v>
      </c>
      <c r="P365" s="1205">
        <f t="shared" si="120"/>
        <v>993900</v>
      </c>
    </row>
    <row r="366" spans="1:16" s="324" customFormat="1" ht="19.5" customHeight="1">
      <c r="A366" s="786"/>
      <c r="B366" s="652">
        <v>92105</v>
      </c>
      <c r="C366" s="653" t="s">
        <v>397</v>
      </c>
      <c r="D366" s="664">
        <f aca="true" t="shared" si="121" ref="D366:D371">SUM(E366:P366)</f>
        <v>920000</v>
      </c>
      <c r="E366" s="664">
        <v>250</v>
      </c>
      <c r="F366" s="664">
        <v>1100</v>
      </c>
      <c r="G366" s="664">
        <v>51423</v>
      </c>
      <c r="H366" s="664">
        <v>88640</v>
      </c>
      <c r="I366" s="664">
        <f>128750-4520</f>
        <v>124230</v>
      </c>
      <c r="J366" s="664">
        <f>386162-146377</f>
        <v>239785</v>
      </c>
      <c r="K366" s="664">
        <f>62600+150897</f>
        <v>213497</v>
      </c>
      <c r="L366" s="664">
        <v>24300</v>
      </c>
      <c r="M366" s="664">
        <v>89275</v>
      </c>
      <c r="N366" s="664">
        <v>28800</v>
      </c>
      <c r="O366" s="664">
        <v>3800</v>
      </c>
      <c r="P366" s="664">
        <v>54900</v>
      </c>
    </row>
    <row r="367" spans="1:16" s="324" customFormat="1" ht="19.5" customHeight="1">
      <c r="A367" s="786"/>
      <c r="B367" s="652">
        <v>92106</v>
      </c>
      <c r="C367" s="653" t="s">
        <v>957</v>
      </c>
      <c r="D367" s="664">
        <f t="shared" si="121"/>
        <v>2950000</v>
      </c>
      <c r="E367" s="664">
        <f>227000</f>
        <v>227000</v>
      </c>
      <c r="F367" s="664">
        <f>267000</f>
        <v>267000</v>
      </c>
      <c r="G367" s="664">
        <f>280000</f>
        <v>280000</v>
      </c>
      <c r="H367" s="664">
        <f>260000</f>
        <v>260000</v>
      </c>
      <c r="I367" s="664">
        <f>240000</f>
        <v>240000</v>
      </c>
      <c r="J367" s="664">
        <f>238000</f>
        <v>238000</v>
      </c>
      <c r="K367" s="664">
        <f>297000</f>
        <v>297000</v>
      </c>
      <c r="L367" s="664">
        <f>270000</f>
        <v>270000</v>
      </c>
      <c r="M367" s="664">
        <f>225000</f>
        <v>225000</v>
      </c>
      <c r="N367" s="664">
        <f>226000</f>
        <v>226000</v>
      </c>
      <c r="O367" s="664">
        <f>215000</f>
        <v>215000</v>
      </c>
      <c r="P367" s="664">
        <f>205000</f>
        <v>205000</v>
      </c>
    </row>
    <row r="368" spans="1:16" s="324" customFormat="1" ht="19.5" customHeight="1">
      <c r="A368" s="786"/>
      <c r="B368" s="652">
        <v>92109</v>
      </c>
      <c r="C368" s="653" t="s">
        <v>1043</v>
      </c>
      <c r="D368" s="664">
        <f t="shared" si="121"/>
        <v>2939242</v>
      </c>
      <c r="E368" s="664">
        <f>50000+76000+70000</f>
        <v>196000</v>
      </c>
      <c r="F368" s="664">
        <f>50000+76000+75000</f>
        <v>201000</v>
      </c>
      <c r="G368" s="664">
        <f>50000+30000+91000+179542</f>
        <v>350542</v>
      </c>
      <c r="H368" s="664">
        <f>50000+111000+125000</f>
        <v>286000</v>
      </c>
      <c r="I368" s="664">
        <f>60000+121000+75000</f>
        <v>256000</v>
      </c>
      <c r="J368" s="664">
        <f>60000+191000+60000</f>
        <v>311000</v>
      </c>
      <c r="K368" s="664">
        <f>50000+125000+130000+4175</f>
        <v>309175</v>
      </c>
      <c r="L368" s="664">
        <f>40000+165000+75000+4175</f>
        <v>284175</v>
      </c>
      <c r="M368" s="664">
        <f>50000+70000+94000+75000+4175</f>
        <v>293175</v>
      </c>
      <c r="N368" s="664">
        <f>40000+50000+75000+4175</f>
        <v>169175</v>
      </c>
      <c r="O368" s="664">
        <f>50000+40000+75000</f>
        <v>165000</v>
      </c>
      <c r="P368" s="664">
        <f>20000+30000+68000</f>
        <v>118000</v>
      </c>
    </row>
    <row r="369" spans="1:16" s="324" customFormat="1" ht="19.5" customHeight="1">
      <c r="A369" s="786"/>
      <c r="B369" s="652">
        <v>92110</v>
      </c>
      <c r="C369" s="653" t="s">
        <v>1044</v>
      </c>
      <c r="D369" s="664">
        <f t="shared" si="121"/>
        <v>786000</v>
      </c>
      <c r="E369" s="664">
        <v>64000</v>
      </c>
      <c r="F369" s="664">
        <v>64000</v>
      </c>
      <c r="G369" s="664">
        <v>75000</v>
      </c>
      <c r="H369" s="664">
        <v>75000</v>
      </c>
      <c r="I369" s="664">
        <v>73000</v>
      </c>
      <c r="J369" s="664">
        <v>75000</v>
      </c>
      <c r="K369" s="664">
        <v>55000</v>
      </c>
      <c r="L369" s="664">
        <v>58000</v>
      </c>
      <c r="M369" s="664">
        <v>63000</v>
      </c>
      <c r="N369" s="664">
        <v>62000</v>
      </c>
      <c r="O369" s="664">
        <v>61000</v>
      </c>
      <c r="P369" s="664">
        <v>61000</v>
      </c>
    </row>
    <row r="370" spans="1:16" s="324" customFormat="1" ht="19.5" customHeight="1">
      <c r="A370" s="786"/>
      <c r="B370" s="652">
        <v>92113</v>
      </c>
      <c r="C370" s="653" t="s">
        <v>398</v>
      </c>
      <c r="D370" s="664">
        <f t="shared" si="121"/>
        <v>3471225</v>
      </c>
      <c r="E370" s="664">
        <v>400000</v>
      </c>
      <c r="F370" s="664">
        <v>200000</v>
      </c>
      <c r="G370" s="664">
        <v>520000</v>
      </c>
      <c r="H370" s="664">
        <v>265000</v>
      </c>
      <c r="I370" s="664">
        <f>352000</f>
        <v>352000</v>
      </c>
      <c r="J370" s="664">
        <f>519225</f>
        <v>519225</v>
      </c>
      <c r="K370" s="664">
        <f>190000+112000</f>
        <v>302000</v>
      </c>
      <c r="L370" s="664">
        <f>120000+20000</f>
        <v>140000</v>
      </c>
      <c r="M370" s="664">
        <f>140000+123000</f>
        <v>263000</v>
      </c>
      <c r="N370" s="664">
        <f>50000+145000</f>
        <v>195000</v>
      </c>
      <c r="O370" s="664">
        <f>40000+155000</f>
        <v>195000</v>
      </c>
      <c r="P370" s="664">
        <v>120000</v>
      </c>
    </row>
    <row r="371" spans="1:16" s="324" customFormat="1" ht="19.5" customHeight="1">
      <c r="A371" s="786"/>
      <c r="B371" s="652">
        <v>92116</v>
      </c>
      <c r="C371" s="653" t="s">
        <v>399</v>
      </c>
      <c r="D371" s="664">
        <f t="shared" si="121"/>
        <v>6919660</v>
      </c>
      <c r="E371" s="664">
        <v>650000</v>
      </c>
      <c r="F371" s="664">
        <v>585000</v>
      </c>
      <c r="G371" s="664">
        <f>10000+755000</f>
        <v>765000</v>
      </c>
      <c r="H371" s="664">
        <v>530000</v>
      </c>
      <c r="I371" s="664">
        <f>10000+610000</f>
        <v>620000</v>
      </c>
      <c r="J371" s="664">
        <v>555000</v>
      </c>
      <c r="K371" s="664">
        <v>520000</v>
      </c>
      <c r="L371" s="664">
        <f>10000+674660</f>
        <v>684660</v>
      </c>
      <c r="M371" s="664">
        <v>530000</v>
      </c>
      <c r="N371" s="664">
        <v>535000</v>
      </c>
      <c r="O371" s="664">
        <f>10000+500000</f>
        <v>510000</v>
      </c>
      <c r="P371" s="664">
        <v>435000</v>
      </c>
    </row>
    <row r="372" spans="1:16" s="324" customFormat="1" ht="32.25" customHeight="1" thickBot="1">
      <c r="A372" s="787"/>
      <c r="B372" s="787"/>
      <c r="C372" s="739" t="s">
        <v>523</v>
      </c>
      <c r="D372" s="725">
        <f t="shared" si="112"/>
        <v>34000</v>
      </c>
      <c r="E372" s="725"/>
      <c r="F372" s="725"/>
      <c r="G372" s="725"/>
      <c r="H372" s="725"/>
      <c r="I372" s="725"/>
      <c r="J372" s="725"/>
      <c r="K372" s="725">
        <f>K373</f>
        <v>34000</v>
      </c>
      <c r="L372" s="725"/>
      <c r="M372" s="725"/>
      <c r="N372" s="725"/>
      <c r="O372" s="725"/>
      <c r="P372" s="725">
        <f>P373</f>
        <v>0</v>
      </c>
    </row>
    <row r="373" spans="1:16" s="324" customFormat="1" ht="32.25" customHeight="1" thickTop="1">
      <c r="A373" s="1197">
        <v>921</v>
      </c>
      <c r="B373" s="1213"/>
      <c r="C373" s="801" t="s">
        <v>401</v>
      </c>
      <c r="D373" s="1198">
        <f t="shared" si="112"/>
        <v>34000</v>
      </c>
      <c r="E373" s="1198"/>
      <c r="F373" s="1198"/>
      <c r="G373" s="1198"/>
      <c r="H373" s="1198"/>
      <c r="I373" s="1198"/>
      <c r="J373" s="1198"/>
      <c r="K373" s="1198">
        <f>K374</f>
        <v>34000</v>
      </c>
      <c r="L373" s="1198"/>
      <c r="M373" s="1198"/>
      <c r="N373" s="1198"/>
      <c r="O373" s="1198"/>
      <c r="P373" s="1198">
        <f>P374</f>
        <v>0</v>
      </c>
    </row>
    <row r="374" spans="1:16" s="324" customFormat="1" ht="21.75" customHeight="1">
      <c r="A374" s="786"/>
      <c r="B374" s="652">
        <v>92109</v>
      </c>
      <c r="C374" s="653" t="s">
        <v>1043</v>
      </c>
      <c r="D374" s="664">
        <f t="shared" si="112"/>
        <v>34000</v>
      </c>
      <c r="E374" s="664"/>
      <c r="F374" s="664"/>
      <c r="G374" s="664"/>
      <c r="H374" s="664"/>
      <c r="I374" s="664"/>
      <c r="J374" s="664"/>
      <c r="K374" s="664">
        <v>34000</v>
      </c>
      <c r="L374" s="664"/>
      <c r="M374" s="664"/>
      <c r="N374" s="664"/>
      <c r="O374" s="664"/>
      <c r="P374" s="664"/>
    </row>
    <row r="375" spans="1:16" s="324" customFormat="1" ht="25.5" customHeight="1">
      <c r="A375" s="786"/>
      <c r="B375" s="786"/>
      <c r="C375" s="640" t="s">
        <v>915</v>
      </c>
      <c r="D375" s="1190">
        <f t="shared" si="112"/>
        <v>9233500</v>
      </c>
      <c r="E375" s="1190">
        <f aca="true" t="shared" si="122" ref="E375:P375">E376</f>
        <v>23402</v>
      </c>
      <c r="F375" s="1190">
        <f t="shared" si="122"/>
        <v>284531</v>
      </c>
      <c r="G375" s="1190">
        <f t="shared" si="122"/>
        <v>402780</v>
      </c>
      <c r="H375" s="1190">
        <f t="shared" si="122"/>
        <v>851815</v>
      </c>
      <c r="I375" s="1190">
        <f t="shared" si="122"/>
        <v>1336097</v>
      </c>
      <c r="J375" s="1190">
        <f t="shared" si="122"/>
        <v>698288</v>
      </c>
      <c r="K375" s="1190">
        <f t="shared" si="122"/>
        <v>974960</v>
      </c>
      <c r="L375" s="1190">
        <f t="shared" si="122"/>
        <v>1123700</v>
      </c>
      <c r="M375" s="1190">
        <f t="shared" si="122"/>
        <v>1980200</v>
      </c>
      <c r="N375" s="1190">
        <f t="shared" si="122"/>
        <v>591700</v>
      </c>
      <c r="O375" s="1190">
        <f t="shared" si="122"/>
        <v>402160</v>
      </c>
      <c r="P375" s="1190">
        <f t="shared" si="122"/>
        <v>563867</v>
      </c>
    </row>
    <row r="376" spans="1:16" s="324" customFormat="1" ht="19.5" customHeight="1" thickBot="1">
      <c r="A376" s="787"/>
      <c r="B376" s="787"/>
      <c r="C376" s="739" t="s">
        <v>646</v>
      </c>
      <c r="D376" s="725">
        <f t="shared" si="112"/>
        <v>9233500</v>
      </c>
      <c r="E376" s="725">
        <f aca="true" t="shared" si="123" ref="E376:P376">E377+E380+E382</f>
        <v>23402</v>
      </c>
      <c r="F376" s="725">
        <f t="shared" si="123"/>
        <v>284531</v>
      </c>
      <c r="G376" s="725">
        <f t="shared" si="123"/>
        <v>402780</v>
      </c>
      <c r="H376" s="725">
        <f t="shared" si="123"/>
        <v>851815</v>
      </c>
      <c r="I376" s="725">
        <f t="shared" si="123"/>
        <v>1336097</v>
      </c>
      <c r="J376" s="725">
        <f t="shared" si="123"/>
        <v>698288</v>
      </c>
      <c r="K376" s="725">
        <f t="shared" si="123"/>
        <v>974960</v>
      </c>
      <c r="L376" s="725">
        <f t="shared" si="123"/>
        <v>1123700</v>
      </c>
      <c r="M376" s="725">
        <f t="shared" si="123"/>
        <v>1980200</v>
      </c>
      <c r="N376" s="725">
        <f t="shared" si="123"/>
        <v>591700</v>
      </c>
      <c r="O376" s="725">
        <f t="shared" si="123"/>
        <v>402160</v>
      </c>
      <c r="P376" s="725">
        <f t="shared" si="123"/>
        <v>563867</v>
      </c>
    </row>
    <row r="377" spans="1:16" s="324" customFormat="1" ht="19.5" customHeight="1" thickTop="1">
      <c r="A377" s="1197">
        <v>630</v>
      </c>
      <c r="B377" s="1207"/>
      <c r="C377" s="801" t="s">
        <v>430</v>
      </c>
      <c r="D377" s="1198">
        <f t="shared" si="112"/>
        <v>344000</v>
      </c>
      <c r="E377" s="1198">
        <f>E378+E379</f>
        <v>15800</v>
      </c>
      <c r="F377" s="1198">
        <f>F378+F379</f>
        <v>43200</v>
      </c>
      <c r="G377" s="1198"/>
      <c r="H377" s="1198">
        <f>H378+H379</f>
        <v>60900</v>
      </c>
      <c r="I377" s="1198">
        <f aca="true" t="shared" si="124" ref="I377:P377">I378+I379</f>
        <v>4600</v>
      </c>
      <c r="J377" s="1198">
        <f t="shared" si="124"/>
        <v>4500</v>
      </c>
      <c r="K377" s="1198">
        <f t="shared" si="124"/>
        <v>56080</v>
      </c>
      <c r="L377" s="1198">
        <f t="shared" si="124"/>
        <v>16700</v>
      </c>
      <c r="M377" s="1198">
        <f t="shared" si="124"/>
        <v>30700</v>
      </c>
      <c r="N377" s="1198">
        <f t="shared" si="124"/>
        <v>74700</v>
      </c>
      <c r="O377" s="1198">
        <f t="shared" si="124"/>
        <v>17160</v>
      </c>
      <c r="P377" s="1198">
        <f t="shared" si="124"/>
        <v>19660</v>
      </c>
    </row>
    <row r="378" spans="1:16" s="324" customFormat="1" ht="19.5" customHeight="1">
      <c r="A378" s="786"/>
      <c r="B378" s="787">
        <v>63001</v>
      </c>
      <c r="C378" s="653" t="s">
        <v>431</v>
      </c>
      <c r="D378" s="664">
        <f t="shared" si="112"/>
        <v>194000</v>
      </c>
      <c r="E378" s="664">
        <v>15800</v>
      </c>
      <c r="F378" s="664">
        <v>43200</v>
      </c>
      <c r="G378" s="664"/>
      <c r="H378" s="664">
        <v>47000</v>
      </c>
      <c r="I378" s="664"/>
      <c r="J378" s="664"/>
      <c r="K378" s="664">
        <v>36000</v>
      </c>
      <c r="L378" s="664"/>
      <c r="M378" s="664"/>
      <c r="N378" s="664">
        <v>52000</v>
      </c>
      <c r="O378" s="664"/>
      <c r="P378" s="664"/>
    </row>
    <row r="379" spans="1:16" s="324" customFormat="1" ht="27.75" customHeight="1">
      <c r="A379" s="787"/>
      <c r="B379" s="1146">
        <v>63003</v>
      </c>
      <c r="C379" s="668" t="s">
        <v>432</v>
      </c>
      <c r="D379" s="748">
        <f t="shared" si="112"/>
        <v>150000</v>
      </c>
      <c r="E379" s="748"/>
      <c r="F379" s="748"/>
      <c r="G379" s="748"/>
      <c r="H379" s="748">
        <v>13900</v>
      </c>
      <c r="I379" s="748">
        <v>4600</v>
      </c>
      <c r="J379" s="748">
        <v>4500</v>
      </c>
      <c r="K379" s="748">
        <v>20080</v>
      </c>
      <c r="L379" s="748">
        <v>16700</v>
      </c>
      <c r="M379" s="748">
        <v>30700</v>
      </c>
      <c r="N379" s="748">
        <v>22700</v>
      </c>
      <c r="O379" s="748">
        <v>17160</v>
      </c>
      <c r="P379" s="748">
        <v>19660</v>
      </c>
    </row>
    <row r="380" spans="1:16" s="324" customFormat="1" ht="21.75" customHeight="1">
      <c r="A380" s="1203">
        <v>854</v>
      </c>
      <c r="B380" s="1207"/>
      <c r="C380" s="801" t="s">
        <v>618</v>
      </c>
      <c r="D380" s="1198">
        <f t="shared" si="112"/>
        <v>180000</v>
      </c>
      <c r="E380" s="1198"/>
      <c r="F380" s="1198">
        <f>F381</f>
        <v>3140</v>
      </c>
      <c r="G380" s="1198">
        <f>G381</f>
        <v>23980</v>
      </c>
      <c r="H380" s="1198"/>
      <c r="I380" s="1198"/>
      <c r="J380" s="1198"/>
      <c r="K380" s="1198">
        <f>K381</f>
        <v>77880</v>
      </c>
      <c r="L380" s="1198">
        <f>L381</f>
        <v>65000</v>
      </c>
      <c r="M380" s="1198">
        <f>M381</f>
        <v>10000</v>
      </c>
      <c r="N380" s="1198"/>
      <c r="O380" s="1198"/>
      <c r="P380" s="1198"/>
    </row>
    <row r="381" spans="1:16" s="324" customFormat="1" ht="46.5" customHeight="1">
      <c r="A381" s="787"/>
      <c r="B381" s="652">
        <v>85412</v>
      </c>
      <c r="C381" s="653" t="s">
        <v>929</v>
      </c>
      <c r="D381" s="664">
        <f t="shared" si="112"/>
        <v>180000</v>
      </c>
      <c r="E381" s="664"/>
      <c r="F381" s="664">
        <v>3140</v>
      </c>
      <c r="G381" s="664">
        <v>23980</v>
      </c>
      <c r="H381" s="664"/>
      <c r="I381" s="664"/>
      <c r="J381" s="664"/>
      <c r="K381" s="664">
        <v>77880</v>
      </c>
      <c r="L381" s="664">
        <v>65000</v>
      </c>
      <c r="M381" s="664">
        <v>10000</v>
      </c>
      <c r="N381" s="664"/>
      <c r="O381" s="664"/>
      <c r="P381" s="664"/>
    </row>
    <row r="382" spans="1:16" s="324" customFormat="1" ht="18.75" customHeight="1">
      <c r="A382" s="1203">
        <v>926</v>
      </c>
      <c r="B382" s="1207"/>
      <c r="C382" s="801" t="s">
        <v>1045</v>
      </c>
      <c r="D382" s="1198">
        <f t="shared" si="112"/>
        <v>8709500</v>
      </c>
      <c r="E382" s="1198">
        <f aca="true" t="shared" si="125" ref="E382:P382">E383+E384+E385</f>
        <v>7602</v>
      </c>
      <c r="F382" s="1198">
        <f t="shared" si="125"/>
        <v>238191</v>
      </c>
      <c r="G382" s="1198">
        <f t="shared" si="125"/>
        <v>378800</v>
      </c>
      <c r="H382" s="1198">
        <f t="shared" si="125"/>
        <v>790915</v>
      </c>
      <c r="I382" s="1198">
        <f t="shared" si="125"/>
        <v>1331497</v>
      </c>
      <c r="J382" s="1198">
        <f t="shared" si="125"/>
        <v>693788</v>
      </c>
      <c r="K382" s="1198">
        <f t="shared" si="125"/>
        <v>841000</v>
      </c>
      <c r="L382" s="1198">
        <f t="shared" si="125"/>
        <v>1042000</v>
      </c>
      <c r="M382" s="1198">
        <f t="shared" si="125"/>
        <v>1939500</v>
      </c>
      <c r="N382" s="1198">
        <f t="shared" si="125"/>
        <v>517000</v>
      </c>
      <c r="O382" s="1198">
        <f t="shared" si="125"/>
        <v>385000</v>
      </c>
      <c r="P382" s="1198">
        <f t="shared" si="125"/>
        <v>544207</v>
      </c>
    </row>
    <row r="383" spans="1:16" s="324" customFormat="1" ht="18.75" customHeight="1">
      <c r="A383" s="786"/>
      <c r="B383" s="787">
        <v>92601</v>
      </c>
      <c r="C383" s="653" t="s">
        <v>1046</v>
      </c>
      <c r="D383" s="664">
        <f>SUM(E383:P383)</f>
        <v>400000</v>
      </c>
      <c r="E383" s="664"/>
      <c r="F383" s="664"/>
      <c r="G383" s="664"/>
      <c r="H383" s="664">
        <v>103000</v>
      </c>
      <c r="I383" s="664"/>
      <c r="J383" s="664"/>
      <c r="K383" s="664">
        <v>150000</v>
      </c>
      <c r="L383" s="664"/>
      <c r="M383" s="664">
        <v>95000</v>
      </c>
      <c r="N383" s="664">
        <v>52000</v>
      </c>
      <c r="O383" s="664"/>
      <c r="P383" s="664"/>
    </row>
    <row r="384" spans="1:16" s="324" customFormat="1" ht="18.75" customHeight="1">
      <c r="A384" s="786"/>
      <c r="B384" s="1146">
        <v>92604</v>
      </c>
      <c r="C384" s="653" t="s">
        <v>1047</v>
      </c>
      <c r="D384" s="664">
        <f>SUM(E384:P384)</f>
        <v>3650000</v>
      </c>
      <c r="E384" s="748"/>
      <c r="F384" s="748">
        <v>238000</v>
      </c>
      <c r="G384" s="748">
        <v>278000</v>
      </c>
      <c r="H384" s="748"/>
      <c r="I384" s="748">
        <v>576000</v>
      </c>
      <c r="J384" s="748">
        <v>258000</v>
      </c>
      <c r="K384" s="748">
        <f>268000+200000</f>
        <v>468000</v>
      </c>
      <c r="L384" s="748">
        <f>268000+200000</f>
        <v>468000</v>
      </c>
      <c r="M384" s="748">
        <f>258000+100000+270000</f>
        <v>628000</v>
      </c>
      <c r="N384" s="748">
        <v>248000</v>
      </c>
      <c r="O384" s="748">
        <v>250000</v>
      </c>
      <c r="P384" s="748">
        <v>238000</v>
      </c>
    </row>
    <row r="385" spans="1:16" s="324" customFormat="1" ht="18.75" customHeight="1">
      <c r="A385" s="786"/>
      <c r="B385" s="1146">
        <v>92605</v>
      </c>
      <c r="C385" s="668" t="s">
        <v>402</v>
      </c>
      <c r="D385" s="748">
        <f>SUM(E385:P385)</f>
        <v>4659500</v>
      </c>
      <c r="E385" s="1012">
        <v>7602</v>
      </c>
      <c r="F385" s="748">
        <v>191</v>
      </c>
      <c r="G385" s="748">
        <v>100800</v>
      </c>
      <c r="H385" s="748">
        <v>687915</v>
      </c>
      <c r="I385" s="748">
        <v>755497</v>
      </c>
      <c r="J385" s="748">
        <v>435788</v>
      </c>
      <c r="K385" s="748">
        <f>140000+83000</f>
        <v>223000</v>
      </c>
      <c r="L385" s="748">
        <f>491000+83000</f>
        <v>574000</v>
      </c>
      <c r="M385" s="748">
        <f>694000+439500+83000</f>
        <v>1216500</v>
      </c>
      <c r="N385" s="748">
        <f>134000+83000</f>
        <v>217000</v>
      </c>
      <c r="O385" s="748">
        <f>52000+83000</f>
        <v>135000</v>
      </c>
      <c r="P385" s="748">
        <f>121207+185000</f>
        <v>306207</v>
      </c>
    </row>
    <row r="386" spans="1:16" s="324" customFormat="1" ht="25.5" customHeight="1">
      <c r="A386" s="786"/>
      <c r="B386" s="786"/>
      <c r="C386" s="640" t="s">
        <v>916</v>
      </c>
      <c r="D386" s="1190">
        <f t="shared" si="112"/>
        <v>19186000</v>
      </c>
      <c r="E386" s="1190">
        <f aca="true" t="shared" si="126" ref="E386:P386">E387</f>
        <v>1590485</v>
      </c>
      <c r="F386" s="1190">
        <f t="shared" si="126"/>
        <v>1499243</v>
      </c>
      <c r="G386" s="1190">
        <f t="shared" si="126"/>
        <v>1486489</v>
      </c>
      <c r="H386" s="1190">
        <f t="shared" si="126"/>
        <v>1475623</v>
      </c>
      <c r="I386" s="1190">
        <f t="shared" si="126"/>
        <v>1467497</v>
      </c>
      <c r="J386" s="1190">
        <f t="shared" si="126"/>
        <v>1405916</v>
      </c>
      <c r="K386" s="1190">
        <f t="shared" si="126"/>
        <v>1487155</v>
      </c>
      <c r="L386" s="1190">
        <f t="shared" si="126"/>
        <v>1477155</v>
      </c>
      <c r="M386" s="1190">
        <f t="shared" si="126"/>
        <v>1617155</v>
      </c>
      <c r="N386" s="1190">
        <f t="shared" si="126"/>
        <v>1607155</v>
      </c>
      <c r="O386" s="1190">
        <f t="shared" si="126"/>
        <v>2035225</v>
      </c>
      <c r="P386" s="1190">
        <f t="shared" si="126"/>
        <v>2036902</v>
      </c>
    </row>
    <row r="387" spans="1:16" s="324" customFormat="1" ht="19.5" customHeight="1" thickBot="1">
      <c r="A387" s="787"/>
      <c r="B387" s="787"/>
      <c r="C387" s="739" t="s">
        <v>646</v>
      </c>
      <c r="D387" s="725">
        <f t="shared" si="112"/>
        <v>19186000</v>
      </c>
      <c r="E387" s="725">
        <f aca="true" t="shared" si="127" ref="E387:P387">E388+E390</f>
        <v>1590485</v>
      </c>
      <c r="F387" s="725">
        <f t="shared" si="127"/>
        <v>1499243</v>
      </c>
      <c r="G387" s="725">
        <f t="shared" si="127"/>
        <v>1486489</v>
      </c>
      <c r="H387" s="725">
        <f t="shared" si="127"/>
        <v>1475623</v>
      </c>
      <c r="I387" s="725">
        <f t="shared" si="127"/>
        <v>1467497</v>
      </c>
      <c r="J387" s="725">
        <f t="shared" si="127"/>
        <v>1405916</v>
      </c>
      <c r="K387" s="725">
        <f t="shared" si="127"/>
        <v>1487155</v>
      </c>
      <c r="L387" s="725">
        <f t="shared" si="127"/>
        <v>1477155</v>
      </c>
      <c r="M387" s="725">
        <f t="shared" si="127"/>
        <v>1617155</v>
      </c>
      <c r="N387" s="725">
        <f t="shared" si="127"/>
        <v>1607155</v>
      </c>
      <c r="O387" s="725">
        <f t="shared" si="127"/>
        <v>2035225</v>
      </c>
      <c r="P387" s="725">
        <f t="shared" si="127"/>
        <v>2036902</v>
      </c>
    </row>
    <row r="388" spans="1:16" s="324" customFormat="1" ht="19.5" customHeight="1" thickTop="1">
      <c r="A388" s="1203">
        <v>700</v>
      </c>
      <c r="B388" s="1203"/>
      <c r="C388" s="1204" t="s">
        <v>433</v>
      </c>
      <c r="D388" s="1205">
        <f t="shared" si="112"/>
        <v>186000</v>
      </c>
      <c r="E388" s="1205">
        <f>E389</f>
        <v>7155</v>
      </c>
      <c r="F388" s="1205">
        <f aca="true" t="shared" si="128" ref="F388:P388">F389</f>
        <v>7155</v>
      </c>
      <c r="G388" s="1205">
        <f t="shared" si="128"/>
        <v>7155</v>
      </c>
      <c r="H388" s="1205">
        <f t="shared" si="128"/>
        <v>17155</v>
      </c>
      <c r="I388" s="1205">
        <f t="shared" si="128"/>
        <v>17155</v>
      </c>
      <c r="J388" s="1205">
        <f t="shared" si="128"/>
        <v>27155</v>
      </c>
      <c r="K388" s="1205">
        <f t="shared" si="128"/>
        <v>37155</v>
      </c>
      <c r="L388" s="1205">
        <f t="shared" si="128"/>
        <v>27155</v>
      </c>
      <c r="M388" s="1205">
        <f t="shared" si="128"/>
        <v>17155</v>
      </c>
      <c r="N388" s="1205">
        <f t="shared" si="128"/>
        <v>7155</v>
      </c>
      <c r="O388" s="1205">
        <f t="shared" si="128"/>
        <v>7225</v>
      </c>
      <c r="P388" s="1205">
        <f t="shared" si="128"/>
        <v>7225</v>
      </c>
    </row>
    <row r="389" spans="1:16" s="324" customFormat="1" ht="29.25" customHeight="1">
      <c r="A389" s="786"/>
      <c r="B389" s="652">
        <v>70004</v>
      </c>
      <c r="C389" s="653" t="s">
        <v>953</v>
      </c>
      <c r="D389" s="664">
        <f t="shared" si="112"/>
        <v>186000</v>
      </c>
      <c r="E389" s="664">
        <v>7155</v>
      </c>
      <c r="F389" s="664">
        <v>7155</v>
      </c>
      <c r="G389" s="664">
        <v>7155</v>
      </c>
      <c r="H389" s="664">
        <v>17155</v>
      </c>
      <c r="I389" s="664">
        <v>17155</v>
      </c>
      <c r="J389" s="664">
        <v>27155</v>
      </c>
      <c r="K389" s="664">
        <v>37155</v>
      </c>
      <c r="L389" s="664">
        <v>27155</v>
      </c>
      <c r="M389" s="664">
        <v>17155</v>
      </c>
      <c r="N389" s="664">
        <v>7155</v>
      </c>
      <c r="O389" s="664">
        <v>7225</v>
      </c>
      <c r="P389" s="664">
        <v>7225</v>
      </c>
    </row>
    <row r="390" spans="1:16" s="324" customFormat="1" ht="21.75" customHeight="1">
      <c r="A390" s="1203">
        <v>852</v>
      </c>
      <c r="B390" s="1212"/>
      <c r="C390" s="1204" t="s">
        <v>129</v>
      </c>
      <c r="D390" s="1198">
        <f t="shared" si="112"/>
        <v>19000000</v>
      </c>
      <c r="E390" s="1205">
        <f aca="true" t="shared" si="129" ref="E390:P390">E391</f>
        <v>1583330</v>
      </c>
      <c r="F390" s="1205">
        <f t="shared" si="129"/>
        <v>1492088</v>
      </c>
      <c r="G390" s="1205">
        <f t="shared" si="129"/>
        <v>1479334</v>
      </c>
      <c r="H390" s="1205">
        <f t="shared" si="129"/>
        <v>1458468</v>
      </c>
      <c r="I390" s="1205">
        <f t="shared" si="129"/>
        <v>1450342</v>
      </c>
      <c r="J390" s="1205">
        <f t="shared" si="129"/>
        <v>1378761</v>
      </c>
      <c r="K390" s="1205">
        <f t="shared" si="129"/>
        <v>1450000</v>
      </c>
      <c r="L390" s="1205">
        <f t="shared" si="129"/>
        <v>1450000</v>
      </c>
      <c r="M390" s="1205">
        <f t="shared" si="129"/>
        <v>1600000</v>
      </c>
      <c r="N390" s="1205">
        <f t="shared" si="129"/>
        <v>1600000</v>
      </c>
      <c r="O390" s="1205">
        <f t="shared" si="129"/>
        <v>2028000</v>
      </c>
      <c r="P390" s="1205">
        <f t="shared" si="129"/>
        <v>2029677</v>
      </c>
    </row>
    <row r="391" spans="1:16" s="324" customFormat="1" ht="21.75" customHeight="1">
      <c r="A391" s="786"/>
      <c r="B391" s="652">
        <v>85215</v>
      </c>
      <c r="C391" s="653" t="s">
        <v>615</v>
      </c>
      <c r="D391" s="664">
        <f t="shared" si="112"/>
        <v>19000000</v>
      </c>
      <c r="E391" s="664">
        <v>1583330</v>
      </c>
      <c r="F391" s="664">
        <v>1492088</v>
      </c>
      <c r="G391" s="664">
        <v>1479334</v>
      </c>
      <c r="H391" s="664">
        <v>1458468</v>
      </c>
      <c r="I391" s="664">
        <v>1450342</v>
      </c>
      <c r="J391" s="664">
        <v>1378761</v>
      </c>
      <c r="K391" s="664">
        <v>1450000</v>
      </c>
      <c r="L391" s="664">
        <v>1450000</v>
      </c>
      <c r="M391" s="664">
        <v>1600000</v>
      </c>
      <c r="N391" s="664">
        <v>1600000</v>
      </c>
      <c r="O391" s="664">
        <v>2028000</v>
      </c>
      <c r="P391" s="664">
        <v>2029677</v>
      </c>
    </row>
    <row r="392" spans="1:16" s="324" customFormat="1" ht="32.25" customHeight="1">
      <c r="A392" s="786"/>
      <c r="B392" s="786"/>
      <c r="C392" s="640" t="s">
        <v>917</v>
      </c>
      <c r="D392" s="1190">
        <f t="shared" si="112"/>
        <v>6024315</v>
      </c>
      <c r="E392" s="1190">
        <f aca="true" t="shared" si="130" ref="E392:P392">E393+E404</f>
        <v>198159</v>
      </c>
      <c r="F392" s="1190">
        <f t="shared" si="130"/>
        <v>210171</v>
      </c>
      <c r="G392" s="1190">
        <f t="shared" si="130"/>
        <v>688690</v>
      </c>
      <c r="H392" s="1190">
        <f t="shared" si="130"/>
        <v>621281</v>
      </c>
      <c r="I392" s="1190">
        <f t="shared" si="130"/>
        <v>596574</v>
      </c>
      <c r="J392" s="1190">
        <f t="shared" si="130"/>
        <v>503764</v>
      </c>
      <c r="K392" s="1190">
        <f t="shared" si="130"/>
        <v>834514</v>
      </c>
      <c r="L392" s="1190">
        <f t="shared" si="130"/>
        <v>356502</v>
      </c>
      <c r="M392" s="1190">
        <f t="shared" si="130"/>
        <v>342390</v>
      </c>
      <c r="N392" s="1190">
        <f t="shared" si="130"/>
        <v>664502</v>
      </c>
      <c r="O392" s="1190">
        <f t="shared" si="130"/>
        <v>520492</v>
      </c>
      <c r="P392" s="1190">
        <f t="shared" si="130"/>
        <v>487276</v>
      </c>
    </row>
    <row r="393" spans="1:16" s="324" customFormat="1" ht="19.5" customHeight="1" thickBot="1">
      <c r="A393" s="787"/>
      <c r="B393" s="787"/>
      <c r="C393" s="739" t="s">
        <v>646</v>
      </c>
      <c r="D393" s="725">
        <f t="shared" si="112"/>
        <v>5496315</v>
      </c>
      <c r="E393" s="725">
        <f aca="true" t="shared" si="131" ref="E393:P393">E394+E400+E402</f>
        <v>153159</v>
      </c>
      <c r="F393" s="725">
        <f t="shared" si="131"/>
        <v>125248</v>
      </c>
      <c r="G393" s="725">
        <f t="shared" si="131"/>
        <v>620562</v>
      </c>
      <c r="H393" s="725">
        <f t="shared" si="131"/>
        <v>571760</v>
      </c>
      <c r="I393" s="725">
        <f t="shared" si="131"/>
        <v>537460</v>
      </c>
      <c r="J393" s="725">
        <f t="shared" si="131"/>
        <v>449472</v>
      </c>
      <c r="K393" s="725">
        <f t="shared" si="131"/>
        <v>784514</v>
      </c>
      <c r="L393" s="725">
        <f t="shared" si="131"/>
        <v>306502</v>
      </c>
      <c r="M393" s="725">
        <f t="shared" si="131"/>
        <v>295368</v>
      </c>
      <c r="N393" s="725">
        <f t="shared" si="131"/>
        <v>644502</v>
      </c>
      <c r="O393" s="725">
        <f t="shared" si="131"/>
        <v>520492</v>
      </c>
      <c r="P393" s="725">
        <f t="shared" si="131"/>
        <v>487276</v>
      </c>
    </row>
    <row r="394" spans="1:16" s="324" customFormat="1" ht="21.75" customHeight="1" thickTop="1">
      <c r="A394" s="1203">
        <v>851</v>
      </c>
      <c r="B394" s="1212"/>
      <c r="C394" s="1204" t="s">
        <v>106</v>
      </c>
      <c r="D394" s="1198">
        <f t="shared" si="112"/>
        <v>3718886</v>
      </c>
      <c r="E394" s="1205">
        <f aca="true" t="shared" si="132" ref="E394:P394">E395+E397+E398+E399+E396</f>
        <v>30076</v>
      </c>
      <c r="F394" s="1205">
        <f t="shared" si="132"/>
        <v>5663</v>
      </c>
      <c r="G394" s="1205">
        <f t="shared" si="132"/>
        <v>443758</v>
      </c>
      <c r="H394" s="1205">
        <f t="shared" si="132"/>
        <v>393711</v>
      </c>
      <c r="I394" s="1205">
        <f t="shared" si="132"/>
        <v>402953</v>
      </c>
      <c r="J394" s="1205">
        <f t="shared" si="132"/>
        <v>318965</v>
      </c>
      <c r="K394" s="1205">
        <f t="shared" si="132"/>
        <v>634269</v>
      </c>
      <c r="L394" s="1205">
        <f t="shared" si="132"/>
        <v>153325</v>
      </c>
      <c r="M394" s="1205">
        <f t="shared" si="132"/>
        <v>158191</v>
      </c>
      <c r="N394" s="1205">
        <f t="shared" si="132"/>
        <v>507325</v>
      </c>
      <c r="O394" s="1205">
        <f t="shared" si="132"/>
        <v>388325</v>
      </c>
      <c r="P394" s="1205">
        <f t="shared" si="132"/>
        <v>282325</v>
      </c>
    </row>
    <row r="395" spans="1:16" s="324" customFormat="1" ht="21.75" customHeight="1">
      <c r="A395" s="786"/>
      <c r="B395" s="652">
        <v>85121</v>
      </c>
      <c r="C395" s="653" t="s">
        <v>105</v>
      </c>
      <c r="D395" s="664">
        <f>SUM(E395:P395)</f>
        <v>660000</v>
      </c>
      <c r="E395" s="664"/>
      <c r="F395" s="664"/>
      <c r="G395" s="664"/>
      <c r="H395" s="664">
        <v>5415</v>
      </c>
      <c r="I395" s="664"/>
      <c r="J395" s="664"/>
      <c r="K395" s="664">
        <f>50000+154585</f>
        <v>204585</v>
      </c>
      <c r="L395" s="664">
        <v>50000</v>
      </c>
      <c r="M395" s="664">
        <v>50000</v>
      </c>
      <c r="N395" s="664">
        <v>290000</v>
      </c>
      <c r="O395" s="664">
        <v>60000</v>
      </c>
      <c r="P395" s="664"/>
    </row>
    <row r="396" spans="1:16" s="324" customFormat="1" ht="21.75" customHeight="1">
      <c r="A396" s="786"/>
      <c r="B396" s="652">
        <v>85131</v>
      </c>
      <c r="C396" s="653" t="s">
        <v>422</v>
      </c>
      <c r="D396" s="664">
        <f>SUM(E396:P396)</f>
        <v>800000</v>
      </c>
      <c r="E396" s="664"/>
      <c r="F396" s="664"/>
      <c r="G396" s="664"/>
      <c r="H396" s="664">
        <v>113162</v>
      </c>
      <c r="I396" s="664">
        <v>114906</v>
      </c>
      <c r="J396" s="664">
        <f>113932+909</f>
        <v>114841</v>
      </c>
      <c r="K396" s="664">
        <v>114000</v>
      </c>
      <c r="L396" s="664"/>
      <c r="M396" s="664">
        <f>2000-909</f>
        <v>1091</v>
      </c>
      <c r="N396" s="664">
        <v>114000</v>
      </c>
      <c r="O396" s="664">
        <v>114000</v>
      </c>
      <c r="P396" s="664">
        <v>114000</v>
      </c>
    </row>
    <row r="397" spans="1:16" s="324" customFormat="1" ht="21.75" customHeight="1">
      <c r="A397" s="786"/>
      <c r="B397" s="652">
        <v>85153</v>
      </c>
      <c r="C397" s="668" t="s">
        <v>694</v>
      </c>
      <c r="D397" s="664">
        <f>SUM(E397:P397)</f>
        <v>195000</v>
      </c>
      <c r="E397" s="664">
        <v>1516</v>
      </c>
      <c r="F397" s="664"/>
      <c r="G397" s="664">
        <v>43758</v>
      </c>
      <c r="H397" s="664">
        <v>20109</v>
      </c>
      <c r="I397" s="664">
        <f>97567-68158</f>
        <v>29409</v>
      </c>
      <c r="J397" s="664">
        <f>6325-2201</f>
        <v>4124</v>
      </c>
      <c r="K397" s="664">
        <f>3325-25000+70359</f>
        <v>48684</v>
      </c>
      <c r="L397" s="664">
        <v>3325</v>
      </c>
      <c r="M397" s="664">
        <v>7100</v>
      </c>
      <c r="N397" s="664">
        <v>3325</v>
      </c>
      <c r="O397" s="664">
        <v>14325</v>
      </c>
      <c r="P397" s="664">
        <v>19325</v>
      </c>
    </row>
    <row r="398" spans="1:16" s="324" customFormat="1" ht="21.75" customHeight="1">
      <c r="A398" s="786"/>
      <c r="B398" s="652">
        <v>85154</v>
      </c>
      <c r="C398" s="653" t="s">
        <v>124</v>
      </c>
      <c r="D398" s="664">
        <f>SUM(E398:P398)</f>
        <v>1933886</v>
      </c>
      <c r="E398" s="664">
        <v>28560</v>
      </c>
      <c r="F398" s="664">
        <v>5663</v>
      </c>
      <c r="G398" s="664">
        <v>400000</v>
      </c>
      <c r="H398" s="664">
        <v>255025</v>
      </c>
      <c r="I398" s="664">
        <v>258638</v>
      </c>
      <c r="J398" s="664">
        <v>200000</v>
      </c>
      <c r="K398" s="664">
        <f>100000+25000+12000</f>
        <v>137000</v>
      </c>
      <c r="L398" s="664">
        <v>100000</v>
      </c>
      <c r="M398" s="664">
        <v>100000</v>
      </c>
      <c r="N398" s="664">
        <v>100000</v>
      </c>
      <c r="O398" s="664">
        <v>200000</v>
      </c>
      <c r="P398" s="664">
        <v>149000</v>
      </c>
    </row>
    <row r="399" spans="1:16" s="324" customFormat="1" ht="21.75" customHeight="1">
      <c r="A399" s="787"/>
      <c r="B399" s="652">
        <v>85195</v>
      </c>
      <c r="C399" s="653" t="s">
        <v>100</v>
      </c>
      <c r="D399" s="664">
        <f>SUM(E399:P399)</f>
        <v>130000</v>
      </c>
      <c r="E399" s="664"/>
      <c r="F399" s="664"/>
      <c r="G399" s="664"/>
      <c r="H399" s="664"/>
      <c r="I399" s="664"/>
      <c r="J399" s="664"/>
      <c r="K399" s="664">
        <v>130000</v>
      </c>
      <c r="L399" s="664"/>
      <c r="M399" s="664"/>
      <c r="N399" s="664"/>
      <c r="O399" s="664"/>
      <c r="P399" s="664"/>
    </row>
    <row r="400" spans="1:16" s="324" customFormat="1" ht="21.75" customHeight="1">
      <c r="A400" s="1203">
        <v>852</v>
      </c>
      <c r="B400" s="1212"/>
      <c r="C400" s="1204" t="s">
        <v>129</v>
      </c>
      <c r="D400" s="1198">
        <f aca="true" t="shared" si="133" ref="D400:D495">SUM(E400:P400)</f>
        <v>1677429</v>
      </c>
      <c r="E400" s="1205">
        <f aca="true" t="shared" si="134" ref="E400:P400">E401</f>
        <v>123083</v>
      </c>
      <c r="F400" s="1205">
        <f t="shared" si="134"/>
        <v>119585</v>
      </c>
      <c r="G400" s="1205">
        <f t="shared" si="134"/>
        <v>176804</v>
      </c>
      <c r="H400" s="1205">
        <f t="shared" si="134"/>
        <v>178049</v>
      </c>
      <c r="I400" s="1205">
        <f t="shared" si="134"/>
        <v>134507</v>
      </c>
      <c r="J400" s="1205">
        <f t="shared" si="134"/>
        <v>130507</v>
      </c>
      <c r="K400" s="1205">
        <f t="shared" si="134"/>
        <v>133575</v>
      </c>
      <c r="L400" s="1205">
        <f t="shared" si="134"/>
        <v>136507</v>
      </c>
      <c r="M400" s="1205">
        <f t="shared" si="134"/>
        <v>120507</v>
      </c>
      <c r="N400" s="1205">
        <f t="shared" si="134"/>
        <v>120507</v>
      </c>
      <c r="O400" s="1205">
        <f t="shared" si="134"/>
        <v>115507</v>
      </c>
      <c r="P400" s="1205">
        <f t="shared" si="134"/>
        <v>188291</v>
      </c>
    </row>
    <row r="401" spans="1:16" s="324" customFormat="1" ht="21.75" customHeight="1">
      <c r="A401" s="787"/>
      <c r="B401" s="652">
        <v>85232</v>
      </c>
      <c r="C401" s="653" t="s">
        <v>708</v>
      </c>
      <c r="D401" s="664">
        <f t="shared" si="133"/>
        <v>1677429</v>
      </c>
      <c r="E401" s="664">
        <v>123083</v>
      </c>
      <c r="F401" s="664">
        <v>119585</v>
      </c>
      <c r="G401" s="664">
        <v>176804</v>
      </c>
      <c r="H401" s="664">
        <v>178049</v>
      </c>
      <c r="I401" s="664">
        <v>134507</v>
      </c>
      <c r="J401" s="664">
        <v>130507</v>
      </c>
      <c r="K401" s="664">
        <v>133575</v>
      </c>
      <c r="L401" s="664">
        <v>136507</v>
      </c>
      <c r="M401" s="664">
        <v>120507</v>
      </c>
      <c r="N401" s="664">
        <v>120507</v>
      </c>
      <c r="O401" s="664">
        <v>115507</v>
      </c>
      <c r="P401" s="664">
        <f>197565-9274</f>
        <v>188291</v>
      </c>
    </row>
    <row r="402" spans="1:16" s="324" customFormat="1" ht="31.5">
      <c r="A402" s="1203">
        <v>853</v>
      </c>
      <c r="B402" s="1212"/>
      <c r="C402" s="1204" t="s">
        <v>277</v>
      </c>
      <c r="D402" s="1198">
        <f t="shared" si="133"/>
        <v>100000</v>
      </c>
      <c r="E402" s="1205"/>
      <c r="F402" s="1205"/>
      <c r="G402" s="1205"/>
      <c r="H402" s="1205"/>
      <c r="I402" s="1205"/>
      <c r="J402" s="1205"/>
      <c r="K402" s="1205">
        <f aca="true" t="shared" si="135" ref="K402:P402">K403</f>
        <v>16670</v>
      </c>
      <c r="L402" s="1205">
        <f t="shared" si="135"/>
        <v>16670</v>
      </c>
      <c r="M402" s="1205">
        <f t="shared" si="135"/>
        <v>16670</v>
      </c>
      <c r="N402" s="1205">
        <f t="shared" si="135"/>
        <v>16670</v>
      </c>
      <c r="O402" s="1205">
        <f t="shared" si="135"/>
        <v>16660</v>
      </c>
      <c r="P402" s="1205">
        <f t="shared" si="135"/>
        <v>16660</v>
      </c>
    </row>
    <row r="403" spans="1:16" s="324" customFormat="1" ht="30">
      <c r="A403" s="1146"/>
      <c r="B403" s="719">
        <v>85321</v>
      </c>
      <c r="C403" s="653" t="s">
        <v>939</v>
      </c>
      <c r="D403" s="664">
        <f t="shared" si="133"/>
        <v>100000</v>
      </c>
      <c r="E403" s="664"/>
      <c r="F403" s="664"/>
      <c r="G403" s="664"/>
      <c r="H403" s="664"/>
      <c r="I403" s="664"/>
      <c r="J403" s="664"/>
      <c r="K403" s="664">
        <v>16670</v>
      </c>
      <c r="L403" s="664">
        <v>16670</v>
      </c>
      <c r="M403" s="664">
        <v>16670</v>
      </c>
      <c r="N403" s="664">
        <v>16670</v>
      </c>
      <c r="O403" s="664">
        <v>16660</v>
      </c>
      <c r="P403" s="664">
        <v>16660</v>
      </c>
    </row>
    <row r="404" spans="1:16" s="324" customFormat="1" ht="39" customHeight="1" thickBot="1">
      <c r="A404" s="787"/>
      <c r="B404" s="787"/>
      <c r="C404" s="739" t="s">
        <v>1021</v>
      </c>
      <c r="D404" s="725">
        <f t="shared" si="133"/>
        <v>528000</v>
      </c>
      <c r="E404" s="725">
        <f aca="true" t="shared" si="136" ref="E404:N405">E405</f>
        <v>45000</v>
      </c>
      <c r="F404" s="725">
        <f t="shared" si="136"/>
        <v>84923</v>
      </c>
      <c r="G404" s="725">
        <f t="shared" si="136"/>
        <v>68128</v>
      </c>
      <c r="H404" s="725">
        <f t="shared" si="136"/>
        <v>49521</v>
      </c>
      <c r="I404" s="725">
        <f t="shared" si="136"/>
        <v>59114</v>
      </c>
      <c r="J404" s="725">
        <f t="shared" si="136"/>
        <v>54292</v>
      </c>
      <c r="K404" s="725">
        <f t="shared" si="136"/>
        <v>50000</v>
      </c>
      <c r="L404" s="725">
        <f t="shared" si="136"/>
        <v>50000</v>
      </c>
      <c r="M404" s="725">
        <f t="shared" si="136"/>
        <v>47022</v>
      </c>
      <c r="N404" s="725">
        <f t="shared" si="136"/>
        <v>20000</v>
      </c>
      <c r="O404" s="725"/>
      <c r="P404" s="725"/>
    </row>
    <row r="405" spans="1:16" s="324" customFormat="1" ht="36.75" customHeight="1" thickTop="1">
      <c r="A405" s="1197">
        <v>853</v>
      </c>
      <c r="B405" s="1197"/>
      <c r="C405" s="801" t="s">
        <v>277</v>
      </c>
      <c r="D405" s="1198">
        <f t="shared" si="133"/>
        <v>528000</v>
      </c>
      <c r="E405" s="1198">
        <f t="shared" si="136"/>
        <v>45000</v>
      </c>
      <c r="F405" s="1198">
        <f t="shared" si="136"/>
        <v>84923</v>
      </c>
      <c r="G405" s="1198">
        <f t="shared" si="136"/>
        <v>68128</v>
      </c>
      <c r="H405" s="1198">
        <f t="shared" si="136"/>
        <v>49521</v>
      </c>
      <c r="I405" s="1198">
        <f t="shared" si="136"/>
        <v>59114</v>
      </c>
      <c r="J405" s="1198">
        <f t="shared" si="136"/>
        <v>54292</v>
      </c>
      <c r="K405" s="1198">
        <f t="shared" si="136"/>
        <v>50000</v>
      </c>
      <c r="L405" s="1198">
        <f t="shared" si="136"/>
        <v>50000</v>
      </c>
      <c r="M405" s="1198">
        <f t="shared" si="136"/>
        <v>47022</v>
      </c>
      <c r="N405" s="1198">
        <f t="shared" si="136"/>
        <v>20000</v>
      </c>
      <c r="O405" s="1198"/>
      <c r="P405" s="1198"/>
    </row>
    <row r="406" spans="1:16" s="324" customFormat="1" ht="32.25" customHeight="1">
      <c r="A406" s="786"/>
      <c r="B406" s="786">
        <v>85321</v>
      </c>
      <c r="C406" s="684" t="s">
        <v>939</v>
      </c>
      <c r="D406" s="1006">
        <f t="shared" si="133"/>
        <v>528000</v>
      </c>
      <c r="E406" s="1006">
        <v>45000</v>
      </c>
      <c r="F406" s="1006">
        <v>84923</v>
      </c>
      <c r="G406" s="1006">
        <v>68128</v>
      </c>
      <c r="H406" s="1006">
        <v>49521</v>
      </c>
      <c r="I406" s="1006">
        <v>59114</v>
      </c>
      <c r="J406" s="1006">
        <v>54292</v>
      </c>
      <c r="K406" s="1006">
        <v>50000</v>
      </c>
      <c r="L406" s="1006">
        <v>50000</v>
      </c>
      <c r="M406" s="1006">
        <v>47022</v>
      </c>
      <c r="N406" s="1006">
        <v>20000</v>
      </c>
      <c r="O406" s="1006"/>
      <c r="P406" s="1006"/>
    </row>
    <row r="407" spans="1:16" s="324" customFormat="1" ht="24" customHeight="1">
      <c r="A407" s="786"/>
      <c r="B407" s="808"/>
      <c r="C407" s="1181" t="s">
        <v>918</v>
      </c>
      <c r="D407" s="1191">
        <f t="shared" si="133"/>
        <v>-121600319</v>
      </c>
      <c r="E407" s="1191">
        <f aca="true" t="shared" si="137" ref="E407:P407">E408+E445+E441</f>
        <v>-2662197</v>
      </c>
      <c r="F407" s="1191">
        <f t="shared" si="137"/>
        <v>-3617928</v>
      </c>
      <c r="G407" s="1191">
        <f t="shared" si="137"/>
        <v>-2225212</v>
      </c>
      <c r="H407" s="1191">
        <f t="shared" si="137"/>
        <v>-5672849</v>
      </c>
      <c r="I407" s="1191">
        <f t="shared" si="137"/>
        <v>-4395801</v>
      </c>
      <c r="J407" s="1191">
        <f t="shared" si="137"/>
        <v>-33766739</v>
      </c>
      <c r="K407" s="1191">
        <f t="shared" si="137"/>
        <v>-15120260</v>
      </c>
      <c r="L407" s="1191">
        <f t="shared" si="137"/>
        <v>-12094500</v>
      </c>
      <c r="M407" s="1191">
        <f t="shared" si="137"/>
        <v>-12021744</v>
      </c>
      <c r="N407" s="1191">
        <f t="shared" si="137"/>
        <v>-13954500</v>
      </c>
      <c r="O407" s="1191">
        <f t="shared" si="137"/>
        <v>-9802000</v>
      </c>
      <c r="P407" s="1191">
        <f t="shared" si="137"/>
        <v>-6266589</v>
      </c>
    </row>
    <row r="408" spans="1:16" s="324" customFormat="1" ht="19.5" customHeight="1" thickBot="1">
      <c r="A408" s="787"/>
      <c r="B408" s="787"/>
      <c r="C408" s="739" t="s">
        <v>646</v>
      </c>
      <c r="D408" s="725">
        <f t="shared" si="133"/>
        <v>-120982319</v>
      </c>
      <c r="E408" s="725">
        <f aca="true" t="shared" si="138" ref="E408:P408">E409+E414+E417+E420+E426+E428+E434+E437</f>
        <v>-2662197</v>
      </c>
      <c r="F408" s="725">
        <f t="shared" si="138"/>
        <v>-3617928</v>
      </c>
      <c r="G408" s="725">
        <f t="shared" si="138"/>
        <v>-2225212</v>
      </c>
      <c r="H408" s="725">
        <f t="shared" si="138"/>
        <v>-5672849</v>
      </c>
      <c r="I408" s="725">
        <f t="shared" si="138"/>
        <v>-4395801</v>
      </c>
      <c r="J408" s="725">
        <f t="shared" si="138"/>
        <v>-33766739</v>
      </c>
      <c r="K408" s="725">
        <f t="shared" si="138"/>
        <v>-15120260</v>
      </c>
      <c r="L408" s="725">
        <f t="shared" si="138"/>
        <v>-12094500</v>
      </c>
      <c r="M408" s="725">
        <f t="shared" si="138"/>
        <v>-12021744</v>
      </c>
      <c r="N408" s="725">
        <f t="shared" si="138"/>
        <v>-13849000</v>
      </c>
      <c r="O408" s="725">
        <f t="shared" si="138"/>
        <v>-9439500</v>
      </c>
      <c r="P408" s="725">
        <f t="shared" si="138"/>
        <v>-6116589</v>
      </c>
    </row>
    <row r="409" spans="1:16" s="324" customFormat="1" ht="19.5" customHeight="1" thickTop="1">
      <c r="A409" s="1197">
        <v>600</v>
      </c>
      <c r="B409" s="1207"/>
      <c r="C409" s="801" t="s">
        <v>525</v>
      </c>
      <c r="D409" s="1198">
        <f t="shared" si="133"/>
        <v>-48422160</v>
      </c>
      <c r="E409" s="1198">
        <f aca="true" t="shared" si="139" ref="E409:P409">E410+E411+E412+E413</f>
        <v>-2067394</v>
      </c>
      <c r="F409" s="1198">
        <f t="shared" si="139"/>
        <v>-1232550</v>
      </c>
      <c r="G409" s="1198">
        <f t="shared" si="139"/>
        <v>-406658</v>
      </c>
      <c r="H409" s="1198">
        <f t="shared" si="139"/>
        <v>-3485643</v>
      </c>
      <c r="I409" s="1198">
        <f t="shared" si="139"/>
        <v>-1850456</v>
      </c>
      <c r="J409" s="1198">
        <f t="shared" si="139"/>
        <v>-12020555</v>
      </c>
      <c r="K409" s="1198">
        <f t="shared" si="139"/>
        <v>-6017160</v>
      </c>
      <c r="L409" s="1198">
        <f t="shared" si="139"/>
        <v>-4472000</v>
      </c>
      <c r="M409" s="1198">
        <f t="shared" si="139"/>
        <v>-4219744</v>
      </c>
      <c r="N409" s="1198">
        <f t="shared" si="139"/>
        <v>-6150000</v>
      </c>
      <c r="O409" s="1198">
        <f t="shared" si="139"/>
        <v>-3950000</v>
      </c>
      <c r="P409" s="1198">
        <f t="shared" si="139"/>
        <v>-2550000</v>
      </c>
    </row>
    <row r="410" spans="1:16" s="324" customFormat="1" ht="19.5" customHeight="1">
      <c r="A410" s="786"/>
      <c r="B410" s="787">
        <v>60004</v>
      </c>
      <c r="C410" s="653" t="s">
        <v>647</v>
      </c>
      <c r="D410" s="664">
        <f t="shared" si="133"/>
        <v>-4300000</v>
      </c>
      <c r="E410" s="664"/>
      <c r="F410" s="664"/>
      <c r="G410" s="664"/>
      <c r="H410" s="664"/>
      <c r="I410" s="664"/>
      <c r="J410" s="664">
        <f>-50000</f>
        <v>-50000</v>
      </c>
      <c r="K410" s="664"/>
      <c r="L410" s="664">
        <v>-200000</v>
      </c>
      <c r="M410" s="664">
        <v>-1000000</v>
      </c>
      <c r="N410" s="664">
        <v>-1000000</v>
      </c>
      <c r="O410" s="664">
        <v>-1050000</v>
      </c>
      <c r="P410" s="664">
        <v>-1000000</v>
      </c>
    </row>
    <row r="411" spans="1:16" s="324" customFormat="1" ht="27.75" customHeight="1">
      <c r="A411" s="786"/>
      <c r="B411" s="1146">
        <v>60015</v>
      </c>
      <c r="C411" s="668" t="s">
        <v>1113</v>
      </c>
      <c r="D411" s="748">
        <f t="shared" si="133"/>
        <v>-35322160</v>
      </c>
      <c r="E411" s="748">
        <v>-2067394</v>
      </c>
      <c r="F411" s="748">
        <v>-906460</v>
      </c>
      <c r="G411" s="748">
        <v>-357993</v>
      </c>
      <c r="H411" s="748">
        <v>-2222863</v>
      </c>
      <c r="I411" s="748">
        <f>-7225646+6526188</f>
        <v>-699458</v>
      </c>
      <c r="J411" s="748">
        <f>-3924900-6526188</f>
        <v>-10451088</v>
      </c>
      <c r="K411" s="748">
        <f>-4017160-1200000</f>
        <v>-5217160</v>
      </c>
      <c r="L411" s="748">
        <v>-3500000</v>
      </c>
      <c r="M411" s="748">
        <v>-2349744</v>
      </c>
      <c r="N411" s="748">
        <f>-3300000-1000000</f>
        <v>-4300000</v>
      </c>
      <c r="O411" s="748">
        <v>-2050000</v>
      </c>
      <c r="P411" s="748">
        <f>-1900000+700000</f>
        <v>-1200000</v>
      </c>
    </row>
    <row r="412" spans="1:16" s="324" customFormat="1" ht="21" customHeight="1">
      <c r="A412" s="786"/>
      <c r="B412" s="1146">
        <v>60016</v>
      </c>
      <c r="C412" s="668" t="s">
        <v>1114</v>
      </c>
      <c r="D412" s="748">
        <f t="shared" si="133"/>
        <v>-8650000</v>
      </c>
      <c r="E412" s="748"/>
      <c r="F412" s="748">
        <v>-326090</v>
      </c>
      <c r="G412" s="748">
        <v>-48665</v>
      </c>
      <c r="H412" s="748">
        <v>-1262780</v>
      </c>
      <c r="I412" s="748">
        <f>-1670465+519467</f>
        <v>-1150998</v>
      </c>
      <c r="J412" s="748">
        <f>-1000000-519467</f>
        <v>-1519467</v>
      </c>
      <c r="K412" s="748">
        <v>-800000</v>
      </c>
      <c r="L412" s="748">
        <v>-772000</v>
      </c>
      <c r="M412" s="748">
        <v>-870000</v>
      </c>
      <c r="N412" s="748">
        <v>-800000</v>
      </c>
      <c r="O412" s="748">
        <v>-800000</v>
      </c>
      <c r="P412" s="748">
        <v>-300000</v>
      </c>
    </row>
    <row r="413" spans="1:16" s="324" customFormat="1" ht="21" customHeight="1">
      <c r="A413" s="787"/>
      <c r="B413" s="1146">
        <v>60017</v>
      </c>
      <c r="C413" s="668" t="s">
        <v>481</v>
      </c>
      <c r="D413" s="748">
        <f t="shared" si="133"/>
        <v>-150000</v>
      </c>
      <c r="E413" s="748"/>
      <c r="F413" s="748"/>
      <c r="G413" s="748"/>
      <c r="H413" s="748"/>
      <c r="I413" s="748"/>
      <c r="J413" s="748"/>
      <c r="K413" s="748"/>
      <c r="L413" s="748"/>
      <c r="M413" s="748"/>
      <c r="N413" s="748">
        <v>-50000</v>
      </c>
      <c r="O413" s="748">
        <v>-50000</v>
      </c>
      <c r="P413" s="748">
        <v>-50000</v>
      </c>
    </row>
    <row r="414" spans="1:16" s="324" customFormat="1" ht="21" customHeight="1">
      <c r="A414" s="1197">
        <v>700</v>
      </c>
      <c r="B414" s="1197"/>
      <c r="C414" s="1204" t="s">
        <v>433</v>
      </c>
      <c r="D414" s="1198">
        <f t="shared" si="133"/>
        <v>-5005000</v>
      </c>
      <c r="E414" s="1198"/>
      <c r="F414" s="1198">
        <f aca="true" t="shared" si="140" ref="F414:P414">F415+F416</f>
        <v>-83440</v>
      </c>
      <c r="G414" s="1198">
        <f t="shared" si="140"/>
        <v>-306555</v>
      </c>
      <c r="H414" s="1198">
        <f t="shared" si="140"/>
        <v>-149658</v>
      </c>
      <c r="I414" s="1198">
        <f t="shared" si="140"/>
        <v>-189016</v>
      </c>
      <c r="J414" s="1198">
        <f t="shared" si="140"/>
        <v>-1036331</v>
      </c>
      <c r="K414" s="1198">
        <f t="shared" si="140"/>
        <v>-860000</v>
      </c>
      <c r="L414" s="1198">
        <f t="shared" si="140"/>
        <v>-810000</v>
      </c>
      <c r="M414" s="1198">
        <f t="shared" si="140"/>
        <v>-400000</v>
      </c>
      <c r="N414" s="1198">
        <f t="shared" si="140"/>
        <v>-400000</v>
      </c>
      <c r="O414" s="1198">
        <f t="shared" si="140"/>
        <v>-400000</v>
      </c>
      <c r="P414" s="1198">
        <f t="shared" si="140"/>
        <v>-370000</v>
      </c>
    </row>
    <row r="415" spans="1:16" s="324" customFormat="1" ht="21" customHeight="1">
      <c r="A415" s="786"/>
      <c r="B415" s="787">
        <v>70005</v>
      </c>
      <c r="C415" s="653" t="s">
        <v>435</v>
      </c>
      <c r="D415" s="664">
        <f t="shared" si="133"/>
        <v>-5000</v>
      </c>
      <c r="E415" s="664"/>
      <c r="F415" s="664"/>
      <c r="G415" s="664"/>
      <c r="H415" s="664"/>
      <c r="I415" s="664"/>
      <c r="J415" s="664">
        <v>-5000</v>
      </c>
      <c r="K415" s="664"/>
      <c r="L415" s="664"/>
      <c r="M415" s="664"/>
      <c r="N415" s="664"/>
      <c r="O415" s="664"/>
      <c r="P415" s="664"/>
    </row>
    <row r="416" spans="1:16" s="324" customFormat="1" ht="21" customHeight="1">
      <c r="A416" s="787"/>
      <c r="B416" s="787">
        <v>70095</v>
      </c>
      <c r="C416" s="668" t="s">
        <v>100</v>
      </c>
      <c r="D416" s="664">
        <f t="shared" si="133"/>
        <v>-5000000</v>
      </c>
      <c r="E416" s="664"/>
      <c r="F416" s="664">
        <v>-83440</v>
      </c>
      <c r="G416" s="664">
        <v>-306555</v>
      </c>
      <c r="H416" s="664">
        <v>-149658</v>
      </c>
      <c r="I416" s="664">
        <f>-750347+561331</f>
        <v>-189016</v>
      </c>
      <c r="J416" s="664">
        <f>-470000-561331</f>
        <v>-1031331</v>
      </c>
      <c r="K416" s="664">
        <v>-860000</v>
      </c>
      <c r="L416" s="664">
        <v>-810000</v>
      </c>
      <c r="M416" s="664">
        <v>-400000</v>
      </c>
      <c r="N416" s="664">
        <v>-400000</v>
      </c>
      <c r="O416" s="664">
        <v>-400000</v>
      </c>
      <c r="P416" s="664">
        <v>-370000</v>
      </c>
    </row>
    <row r="417" spans="1:16" s="324" customFormat="1" ht="21" customHeight="1">
      <c r="A417" s="1197">
        <v>710</v>
      </c>
      <c r="B417" s="1197"/>
      <c r="C417" s="801" t="s">
        <v>436</v>
      </c>
      <c r="D417" s="1198">
        <f t="shared" si="133"/>
        <v>-300000</v>
      </c>
      <c r="E417" s="1198"/>
      <c r="F417" s="1198">
        <f aca="true" t="shared" si="141" ref="F417:O417">F418+F419</f>
        <v>-5000</v>
      </c>
      <c r="G417" s="1198">
        <f t="shared" si="141"/>
        <v>-24854</v>
      </c>
      <c r="H417" s="1198">
        <f t="shared" si="141"/>
        <v>-30208</v>
      </c>
      <c r="I417" s="1198">
        <f t="shared" si="141"/>
        <v>-18427</v>
      </c>
      <c r="J417" s="1198">
        <f t="shared" si="141"/>
        <v>-199511</v>
      </c>
      <c r="K417" s="1198">
        <f t="shared" si="141"/>
        <v>-5000</v>
      </c>
      <c r="L417" s="1198">
        <f t="shared" si="141"/>
        <v>-1000</v>
      </c>
      <c r="M417" s="1198">
        <f t="shared" si="141"/>
        <v>-2500</v>
      </c>
      <c r="N417" s="1198">
        <f t="shared" si="141"/>
        <v>-9000</v>
      </c>
      <c r="O417" s="1198">
        <f t="shared" si="141"/>
        <v>-4500</v>
      </c>
      <c r="P417" s="1198"/>
    </row>
    <row r="418" spans="1:16" s="324" customFormat="1" ht="21" customHeight="1">
      <c r="A418" s="786"/>
      <c r="B418" s="787">
        <v>71004</v>
      </c>
      <c r="C418" s="653" t="s">
        <v>437</v>
      </c>
      <c r="D418" s="664">
        <f t="shared" si="133"/>
        <v>-100000</v>
      </c>
      <c r="E418" s="664"/>
      <c r="F418" s="664"/>
      <c r="G418" s="664">
        <v>-4500</v>
      </c>
      <c r="H418" s="664">
        <v>-28500</v>
      </c>
      <c r="I418" s="664">
        <f>-25000+22073</f>
        <v>-2927</v>
      </c>
      <c r="J418" s="664">
        <f>-20000-22073</f>
        <v>-42073</v>
      </c>
      <c r="K418" s="664">
        <v>-5000</v>
      </c>
      <c r="L418" s="664">
        <v>-1000</v>
      </c>
      <c r="M418" s="664">
        <v>-2500</v>
      </c>
      <c r="N418" s="664">
        <v>-9000</v>
      </c>
      <c r="O418" s="664">
        <v>-4500</v>
      </c>
      <c r="P418" s="664"/>
    </row>
    <row r="419" spans="1:16" s="324" customFormat="1" ht="21" customHeight="1">
      <c r="A419" s="787"/>
      <c r="B419" s="1146">
        <v>71035</v>
      </c>
      <c r="C419" s="668" t="s">
        <v>191</v>
      </c>
      <c r="D419" s="664">
        <f t="shared" si="133"/>
        <v>-200000</v>
      </c>
      <c r="E419" s="748"/>
      <c r="F419" s="748">
        <v>-5000</v>
      </c>
      <c r="G419" s="748">
        <v>-20354</v>
      </c>
      <c r="H419" s="748">
        <v>-1708</v>
      </c>
      <c r="I419" s="748">
        <f>-172938+157438</f>
        <v>-15500</v>
      </c>
      <c r="J419" s="748">
        <v>-157438</v>
      </c>
      <c r="K419" s="664"/>
      <c r="L419" s="664"/>
      <c r="M419" s="664"/>
      <c r="N419" s="664"/>
      <c r="O419" s="664"/>
      <c r="P419" s="664"/>
    </row>
    <row r="420" spans="1:16" s="324" customFormat="1" ht="21" customHeight="1">
      <c r="A420" s="1203">
        <v>801</v>
      </c>
      <c r="B420" s="1203"/>
      <c r="C420" s="1204" t="s">
        <v>448</v>
      </c>
      <c r="D420" s="1198">
        <f t="shared" si="133"/>
        <v>-13550000</v>
      </c>
      <c r="E420" s="1205">
        <f aca="true" t="shared" si="142" ref="E420:P420">E421+E422+E424+E425+E423</f>
        <v>-24465</v>
      </c>
      <c r="F420" s="1205">
        <f t="shared" si="142"/>
        <v>-1713491</v>
      </c>
      <c r="G420" s="1205">
        <f t="shared" si="142"/>
        <v>-152107</v>
      </c>
      <c r="H420" s="1205">
        <f t="shared" si="142"/>
        <v>-1340996</v>
      </c>
      <c r="I420" s="1205">
        <f t="shared" si="142"/>
        <v>-571735</v>
      </c>
      <c r="J420" s="1205">
        <f t="shared" si="142"/>
        <v>-4819706</v>
      </c>
      <c r="K420" s="1205">
        <f t="shared" si="142"/>
        <v>-2019000</v>
      </c>
      <c r="L420" s="1205">
        <f t="shared" si="142"/>
        <v>-882000</v>
      </c>
      <c r="M420" s="1205">
        <f t="shared" si="142"/>
        <v>-576500</v>
      </c>
      <c r="N420" s="1205">
        <f t="shared" si="142"/>
        <v>-700000</v>
      </c>
      <c r="O420" s="1205">
        <f t="shared" si="142"/>
        <v>-700000</v>
      </c>
      <c r="P420" s="1205">
        <f t="shared" si="142"/>
        <v>-50000</v>
      </c>
    </row>
    <row r="421" spans="1:16" s="324" customFormat="1" ht="21" customHeight="1">
      <c r="A421" s="786"/>
      <c r="B421" s="787">
        <v>80101</v>
      </c>
      <c r="C421" s="653" t="s">
        <v>449</v>
      </c>
      <c r="D421" s="664">
        <f t="shared" si="133"/>
        <v>-10900000</v>
      </c>
      <c r="E421" s="664"/>
      <c r="F421" s="664">
        <v>-1713491</v>
      </c>
      <c r="G421" s="664">
        <v>-17874</v>
      </c>
      <c r="H421" s="664">
        <v>-1243446</v>
      </c>
      <c r="I421" s="664">
        <f>-4658189+4148459</f>
        <v>-509730</v>
      </c>
      <c r="J421" s="664">
        <f>-217000-4148459</f>
        <v>-4365459</v>
      </c>
      <c r="K421" s="664">
        <f>-400000-1000000</f>
        <v>-1400000</v>
      </c>
      <c r="L421" s="664">
        <v>-400000</v>
      </c>
      <c r="M421" s="664">
        <v>-400000</v>
      </c>
      <c r="N421" s="664">
        <v>-400000</v>
      </c>
      <c r="O421" s="664">
        <v>-400000</v>
      </c>
      <c r="P421" s="664">
        <v>-50000</v>
      </c>
    </row>
    <row r="422" spans="1:16" s="324" customFormat="1" ht="21" customHeight="1">
      <c r="A422" s="786"/>
      <c r="B422" s="1146">
        <v>80104</v>
      </c>
      <c r="C422" s="668" t="s">
        <v>1038</v>
      </c>
      <c r="D422" s="664">
        <f t="shared" si="133"/>
        <v>-500000</v>
      </c>
      <c r="E422" s="748"/>
      <c r="F422" s="748"/>
      <c r="G422" s="748"/>
      <c r="H422" s="748">
        <v>-22106</v>
      </c>
      <c r="I422" s="748">
        <f>-110394+110248</f>
        <v>-146</v>
      </c>
      <c r="J422" s="748">
        <v>-110248</v>
      </c>
      <c r="K422" s="748">
        <v>-190000</v>
      </c>
      <c r="L422" s="748">
        <v>-100000</v>
      </c>
      <c r="M422" s="748">
        <v>-77500</v>
      </c>
      <c r="N422" s="748"/>
      <c r="O422" s="748"/>
      <c r="P422" s="748"/>
    </row>
    <row r="423" spans="1:16" s="324" customFormat="1" ht="21" customHeight="1">
      <c r="A423" s="786"/>
      <c r="B423" s="1146">
        <v>80110</v>
      </c>
      <c r="C423" s="668" t="s">
        <v>450</v>
      </c>
      <c r="D423" s="664">
        <f t="shared" si="133"/>
        <v>-1000000</v>
      </c>
      <c r="E423" s="748"/>
      <c r="F423" s="748"/>
      <c r="G423" s="748"/>
      <c r="H423" s="748"/>
      <c r="I423" s="748"/>
      <c r="J423" s="748">
        <v>-1000</v>
      </c>
      <c r="K423" s="748"/>
      <c r="L423" s="748">
        <v>-300000</v>
      </c>
      <c r="M423" s="748">
        <v>-99000</v>
      </c>
      <c r="N423" s="748">
        <v>-300000</v>
      </c>
      <c r="O423" s="748">
        <v>-300000</v>
      </c>
      <c r="P423" s="748"/>
    </row>
    <row r="424" spans="1:16" s="324" customFormat="1" ht="21" customHeight="1">
      <c r="A424" s="786"/>
      <c r="B424" s="1146">
        <v>80120</v>
      </c>
      <c r="C424" s="668" t="s">
        <v>814</v>
      </c>
      <c r="D424" s="664">
        <f t="shared" si="133"/>
        <v>-50000</v>
      </c>
      <c r="E424" s="748">
        <v>-24367</v>
      </c>
      <c r="F424" s="748"/>
      <c r="G424" s="748">
        <v>-6133</v>
      </c>
      <c r="H424" s="748"/>
      <c r="I424" s="748"/>
      <c r="J424" s="748">
        <f>-1000-9500</f>
        <v>-10500</v>
      </c>
      <c r="K424" s="748">
        <v>-9000</v>
      </c>
      <c r="L424" s="748"/>
      <c r="M424" s="748"/>
      <c r="N424" s="748"/>
      <c r="O424" s="748"/>
      <c r="P424" s="748"/>
    </row>
    <row r="425" spans="1:16" s="324" customFormat="1" ht="21" customHeight="1">
      <c r="A425" s="786"/>
      <c r="B425" s="787">
        <v>80130</v>
      </c>
      <c r="C425" s="653" t="s">
        <v>494</v>
      </c>
      <c r="D425" s="664">
        <f t="shared" si="133"/>
        <v>-1100000</v>
      </c>
      <c r="E425" s="664">
        <v>-98</v>
      </c>
      <c r="F425" s="664"/>
      <c r="G425" s="664">
        <v>-128100</v>
      </c>
      <c r="H425" s="664">
        <v>-75444</v>
      </c>
      <c r="I425" s="664">
        <f>-194358+132499</f>
        <v>-61859</v>
      </c>
      <c r="J425" s="664">
        <f>-200000-132499</f>
        <v>-332499</v>
      </c>
      <c r="K425" s="664">
        <v>-420000</v>
      </c>
      <c r="L425" s="664">
        <v>-82000</v>
      </c>
      <c r="M425" s="664"/>
      <c r="N425" s="664"/>
      <c r="O425" s="664"/>
      <c r="P425" s="664"/>
    </row>
    <row r="426" spans="1:16" s="324" customFormat="1" ht="21" customHeight="1">
      <c r="A426" s="1203">
        <v>852</v>
      </c>
      <c r="B426" s="1197"/>
      <c r="C426" s="801" t="s">
        <v>129</v>
      </c>
      <c r="D426" s="1198">
        <f t="shared" si="133"/>
        <v>-5000000</v>
      </c>
      <c r="E426" s="1198"/>
      <c r="F426" s="1198"/>
      <c r="G426" s="1198">
        <f>G427</f>
        <v>-146400</v>
      </c>
      <c r="H426" s="1198"/>
      <c r="I426" s="1198"/>
      <c r="J426" s="1198">
        <f>J427</f>
        <v>-3600</v>
      </c>
      <c r="K426" s="1198">
        <f aca="true" t="shared" si="143" ref="K426:P426">K427</f>
        <v>-750000</v>
      </c>
      <c r="L426" s="1198">
        <f t="shared" si="143"/>
        <v>-900000</v>
      </c>
      <c r="M426" s="1198">
        <f t="shared" si="143"/>
        <v>-900000</v>
      </c>
      <c r="N426" s="1198">
        <f t="shared" si="143"/>
        <v>-900000</v>
      </c>
      <c r="O426" s="1198">
        <f t="shared" si="143"/>
        <v>-700000</v>
      </c>
      <c r="P426" s="1198">
        <f t="shared" si="143"/>
        <v>-700000</v>
      </c>
    </row>
    <row r="427" spans="1:16" s="324" customFormat="1" ht="21" customHeight="1">
      <c r="A427" s="786"/>
      <c r="B427" s="652">
        <v>85202</v>
      </c>
      <c r="C427" s="653" t="s">
        <v>125</v>
      </c>
      <c r="D427" s="664">
        <f t="shared" si="133"/>
        <v>-5000000</v>
      </c>
      <c r="E427" s="664"/>
      <c r="F427" s="664"/>
      <c r="G427" s="664">
        <v>-146400</v>
      </c>
      <c r="H427" s="664"/>
      <c r="I427" s="664"/>
      <c r="J427" s="664">
        <v>-3600</v>
      </c>
      <c r="K427" s="664">
        <v>-750000</v>
      </c>
      <c r="L427" s="664">
        <v>-900000</v>
      </c>
      <c r="M427" s="664">
        <v>-900000</v>
      </c>
      <c r="N427" s="664">
        <v>-900000</v>
      </c>
      <c r="O427" s="664">
        <v>-700000</v>
      </c>
      <c r="P427" s="664">
        <v>-700000</v>
      </c>
    </row>
    <row r="428" spans="1:16" s="324" customFormat="1" ht="33.75" customHeight="1">
      <c r="A428" s="1203">
        <v>900</v>
      </c>
      <c r="B428" s="1203"/>
      <c r="C428" s="801" t="s">
        <v>1048</v>
      </c>
      <c r="D428" s="1198">
        <f t="shared" si="133"/>
        <v>-35230159</v>
      </c>
      <c r="E428" s="1205">
        <f aca="true" t="shared" si="144" ref="E428:P428">E429+E430+E431+E433+E432</f>
        <v>-545938</v>
      </c>
      <c r="F428" s="1205">
        <f t="shared" si="144"/>
        <v>-583447</v>
      </c>
      <c r="G428" s="1205">
        <f t="shared" si="144"/>
        <v>-1163008</v>
      </c>
      <c r="H428" s="1205">
        <f t="shared" si="144"/>
        <v>-653961</v>
      </c>
      <c r="I428" s="1205">
        <f t="shared" si="144"/>
        <v>-1662977</v>
      </c>
      <c r="J428" s="1205">
        <f t="shared" si="144"/>
        <v>-11491739</v>
      </c>
      <c r="K428" s="1205">
        <f t="shared" si="144"/>
        <v>-3935000</v>
      </c>
      <c r="L428" s="1205">
        <f t="shared" si="144"/>
        <v>-3384500</v>
      </c>
      <c r="M428" s="1205">
        <f t="shared" si="144"/>
        <v>-3508000</v>
      </c>
      <c r="N428" s="1205">
        <f t="shared" si="144"/>
        <v>-4020000</v>
      </c>
      <c r="O428" s="1205">
        <f t="shared" si="144"/>
        <v>-2470000</v>
      </c>
      <c r="P428" s="1205">
        <f t="shared" si="144"/>
        <v>-1811589</v>
      </c>
    </row>
    <row r="429" spans="1:16" s="324" customFormat="1" ht="21.75" customHeight="1">
      <c r="A429" s="786"/>
      <c r="B429" s="787">
        <v>90001</v>
      </c>
      <c r="C429" s="653" t="s">
        <v>1110</v>
      </c>
      <c r="D429" s="664">
        <f t="shared" si="133"/>
        <v>-13380000</v>
      </c>
      <c r="E429" s="664">
        <v>-418307</v>
      </c>
      <c r="F429" s="664">
        <v>-323716</v>
      </c>
      <c r="G429" s="664">
        <v>-558217</v>
      </c>
      <c r="H429" s="664">
        <v>-433340</v>
      </c>
      <c r="I429" s="664">
        <f>-2551520+1923636</f>
        <v>-627884</v>
      </c>
      <c r="J429" s="664">
        <f>-1246900-1923636</f>
        <v>-3170536</v>
      </c>
      <c r="K429" s="664">
        <v>-1485000</v>
      </c>
      <c r="L429" s="664">
        <v>-1240000</v>
      </c>
      <c r="M429" s="664">
        <f>-858000-200000</f>
        <v>-1058000</v>
      </c>
      <c r="N429" s="664">
        <f>-1370000-250000</f>
        <v>-1620000</v>
      </c>
      <c r="O429" s="664">
        <f>-1320000-200000</f>
        <v>-1520000</v>
      </c>
      <c r="P429" s="664">
        <v>-925000</v>
      </c>
    </row>
    <row r="430" spans="1:16" s="324" customFormat="1" ht="21.75" customHeight="1">
      <c r="A430" s="786"/>
      <c r="B430" s="1146">
        <v>90002</v>
      </c>
      <c r="C430" s="653" t="s">
        <v>176</v>
      </c>
      <c r="D430" s="664">
        <f t="shared" si="133"/>
        <v>-364500</v>
      </c>
      <c r="E430" s="748"/>
      <c r="F430" s="748"/>
      <c r="G430" s="748"/>
      <c r="H430" s="748"/>
      <c r="I430" s="748"/>
      <c r="J430" s="748">
        <f>-50000-70000</f>
        <v>-120000</v>
      </c>
      <c r="K430" s="748">
        <v>-50000</v>
      </c>
      <c r="L430" s="748">
        <v>-44500</v>
      </c>
      <c r="M430" s="748">
        <v>-50000</v>
      </c>
      <c r="N430" s="748">
        <v>-50000</v>
      </c>
      <c r="O430" s="748">
        <v>-30000</v>
      </c>
      <c r="P430" s="748">
        <v>-20000</v>
      </c>
    </row>
    <row r="431" spans="1:16" s="324" customFormat="1" ht="21.75" customHeight="1">
      <c r="A431" s="786"/>
      <c r="B431" s="1146">
        <v>90004</v>
      </c>
      <c r="C431" s="653" t="s">
        <v>1000</v>
      </c>
      <c r="D431" s="664">
        <f t="shared" si="133"/>
        <v>-750000</v>
      </c>
      <c r="E431" s="748"/>
      <c r="F431" s="748"/>
      <c r="G431" s="748"/>
      <c r="H431" s="748"/>
      <c r="I431" s="748"/>
      <c r="J431" s="748">
        <f>-200000-400000</f>
        <v>-600000</v>
      </c>
      <c r="K431" s="748">
        <v>-150000</v>
      </c>
      <c r="L431" s="748"/>
      <c r="M431" s="748"/>
      <c r="N431" s="748"/>
      <c r="O431" s="748"/>
      <c r="P431" s="748"/>
    </row>
    <row r="432" spans="1:16" s="324" customFormat="1" ht="21.75" customHeight="1">
      <c r="A432" s="786"/>
      <c r="B432" s="1146">
        <v>90015</v>
      </c>
      <c r="C432" s="653" t="s">
        <v>1002</v>
      </c>
      <c r="D432" s="664">
        <f t="shared" si="133"/>
        <v>-30000</v>
      </c>
      <c r="E432" s="748"/>
      <c r="F432" s="748"/>
      <c r="G432" s="748"/>
      <c r="H432" s="748"/>
      <c r="I432" s="748"/>
      <c r="J432" s="748">
        <v>-30000</v>
      </c>
      <c r="K432" s="748"/>
      <c r="L432" s="748"/>
      <c r="M432" s="748"/>
      <c r="N432" s="748"/>
      <c r="O432" s="748"/>
      <c r="P432" s="748"/>
    </row>
    <row r="433" spans="1:16" s="324" customFormat="1" ht="21.75" customHeight="1">
      <c r="A433" s="787"/>
      <c r="B433" s="1146">
        <v>90095</v>
      </c>
      <c r="C433" s="653" t="s">
        <v>100</v>
      </c>
      <c r="D433" s="664">
        <f t="shared" si="133"/>
        <v>-20705659</v>
      </c>
      <c r="E433" s="748">
        <v>-127631</v>
      </c>
      <c r="F433" s="748">
        <v>-259731</v>
      </c>
      <c r="G433" s="748">
        <v>-604791</v>
      </c>
      <c r="H433" s="748">
        <v>-220621</v>
      </c>
      <c r="I433" s="748">
        <f>-6506296+5471203</f>
        <v>-1035093</v>
      </c>
      <c r="J433" s="748">
        <f>-2100000-5471203</f>
        <v>-7571203</v>
      </c>
      <c r="K433" s="748">
        <v>-2250000</v>
      </c>
      <c r="L433" s="748">
        <v>-2100000</v>
      </c>
      <c r="M433" s="748">
        <v>-2400000</v>
      </c>
      <c r="N433" s="748">
        <v>-2350000</v>
      </c>
      <c r="O433" s="748">
        <v>-920000</v>
      </c>
      <c r="P433" s="748">
        <v>-866589</v>
      </c>
    </row>
    <row r="434" spans="1:16" s="324" customFormat="1" ht="30.75" customHeight="1">
      <c r="A434" s="1203">
        <v>921</v>
      </c>
      <c r="B434" s="1203"/>
      <c r="C434" s="1204" t="s">
        <v>401</v>
      </c>
      <c r="D434" s="1205">
        <f t="shared" si="133"/>
        <v>-3125000</v>
      </c>
      <c r="E434" s="1205"/>
      <c r="F434" s="1205"/>
      <c r="G434" s="1205">
        <f aca="true" t="shared" si="145" ref="G434:P434">G435+G436</f>
        <v>-19520</v>
      </c>
      <c r="H434" s="1205">
        <f t="shared" si="145"/>
        <v>-6283</v>
      </c>
      <c r="I434" s="1205">
        <f t="shared" si="145"/>
        <v>-55000</v>
      </c>
      <c r="J434" s="1205">
        <f t="shared" si="145"/>
        <v>-749197</v>
      </c>
      <c r="K434" s="1205">
        <f t="shared" si="145"/>
        <v>-265000</v>
      </c>
      <c r="L434" s="1205">
        <f t="shared" si="145"/>
        <v>-565000</v>
      </c>
      <c r="M434" s="1205">
        <f t="shared" si="145"/>
        <v>-665000</v>
      </c>
      <c r="N434" s="1205">
        <f t="shared" si="145"/>
        <v>-320000</v>
      </c>
      <c r="O434" s="1205">
        <f t="shared" si="145"/>
        <v>-315000</v>
      </c>
      <c r="P434" s="1205">
        <f t="shared" si="145"/>
        <v>-165000</v>
      </c>
    </row>
    <row r="435" spans="1:16" s="324" customFormat="1" ht="21.75" customHeight="1">
      <c r="A435" s="786"/>
      <c r="B435" s="787">
        <v>92113</v>
      </c>
      <c r="C435" s="653" t="s">
        <v>398</v>
      </c>
      <c r="D435" s="664">
        <f t="shared" si="133"/>
        <v>-300000</v>
      </c>
      <c r="E435" s="664"/>
      <c r="F435" s="664"/>
      <c r="G435" s="664">
        <v>-19520</v>
      </c>
      <c r="H435" s="664">
        <v>-6283</v>
      </c>
      <c r="I435" s="664"/>
      <c r="J435" s="664">
        <v>-24197</v>
      </c>
      <c r="K435" s="664"/>
      <c r="L435" s="664"/>
      <c r="M435" s="664"/>
      <c r="N435" s="664">
        <v>-100000</v>
      </c>
      <c r="O435" s="664">
        <v>-150000</v>
      </c>
      <c r="P435" s="664"/>
    </row>
    <row r="436" spans="1:16" s="324" customFormat="1" ht="21.75" customHeight="1">
      <c r="A436" s="787"/>
      <c r="B436" s="1192">
        <v>92120</v>
      </c>
      <c r="C436" s="788" t="s">
        <v>97</v>
      </c>
      <c r="D436" s="664">
        <f t="shared" si="133"/>
        <v>-2825000</v>
      </c>
      <c r="E436" s="748"/>
      <c r="F436" s="748"/>
      <c r="G436" s="748"/>
      <c r="H436" s="748"/>
      <c r="I436" s="748">
        <f>-615000+560000</f>
        <v>-55000</v>
      </c>
      <c r="J436" s="748">
        <f>-165000-560000</f>
        <v>-725000</v>
      </c>
      <c r="K436" s="748">
        <v>-265000</v>
      </c>
      <c r="L436" s="748">
        <f>-265000-300000</f>
        <v>-565000</v>
      </c>
      <c r="M436" s="748">
        <f>-265000-400000</f>
        <v>-665000</v>
      </c>
      <c r="N436" s="748">
        <v>-220000</v>
      </c>
      <c r="O436" s="748">
        <v>-165000</v>
      </c>
      <c r="P436" s="748">
        <v>-165000</v>
      </c>
    </row>
    <row r="437" spans="1:16" s="324" customFormat="1" ht="21.75" customHeight="1">
      <c r="A437" s="1203">
        <v>926</v>
      </c>
      <c r="B437" s="1203"/>
      <c r="C437" s="1203" t="s">
        <v>1045</v>
      </c>
      <c r="D437" s="1205">
        <f t="shared" si="133"/>
        <v>-10350000</v>
      </c>
      <c r="E437" s="1205">
        <f aca="true" t="shared" si="146" ref="E437:P437">E439+E440+E438</f>
        <v>-24400</v>
      </c>
      <c r="F437" s="1205"/>
      <c r="G437" s="1205">
        <f t="shared" si="146"/>
        <v>-6110</v>
      </c>
      <c r="H437" s="1205">
        <f t="shared" si="146"/>
        <v>-6100</v>
      </c>
      <c r="I437" s="1205">
        <f t="shared" si="146"/>
        <v>-48190</v>
      </c>
      <c r="J437" s="1205">
        <f t="shared" si="146"/>
        <v>-3446100</v>
      </c>
      <c r="K437" s="1205">
        <f t="shared" si="146"/>
        <v>-1269100</v>
      </c>
      <c r="L437" s="1205">
        <f t="shared" si="146"/>
        <v>-1080000</v>
      </c>
      <c r="M437" s="1205">
        <f t="shared" si="146"/>
        <v>-1750000</v>
      </c>
      <c r="N437" s="1205">
        <f t="shared" si="146"/>
        <v>-1350000</v>
      </c>
      <c r="O437" s="1205">
        <f t="shared" si="146"/>
        <v>-900000</v>
      </c>
      <c r="P437" s="1205">
        <f t="shared" si="146"/>
        <v>-470000</v>
      </c>
    </row>
    <row r="438" spans="1:16" s="324" customFormat="1" ht="21.75" customHeight="1">
      <c r="A438" s="786"/>
      <c r="B438" s="787">
        <v>92601</v>
      </c>
      <c r="C438" s="788" t="s">
        <v>1046</v>
      </c>
      <c r="D438" s="664">
        <f t="shared" si="133"/>
        <v>-200000</v>
      </c>
      <c r="E438" s="664"/>
      <c r="F438" s="664"/>
      <c r="G438" s="664"/>
      <c r="H438" s="664"/>
      <c r="I438" s="664"/>
      <c r="J438" s="664">
        <f>-100000-50000</f>
        <v>-150000</v>
      </c>
      <c r="K438" s="664"/>
      <c r="L438" s="664"/>
      <c r="M438" s="664">
        <f>-500000+450000</f>
        <v>-50000</v>
      </c>
      <c r="N438" s="664"/>
      <c r="O438" s="664"/>
      <c r="P438" s="664"/>
    </row>
    <row r="439" spans="1:16" s="324" customFormat="1" ht="21.75" customHeight="1">
      <c r="A439" s="786"/>
      <c r="B439" s="787">
        <v>92604</v>
      </c>
      <c r="C439" s="788" t="s">
        <v>1047</v>
      </c>
      <c r="D439" s="748">
        <f t="shared" si="133"/>
        <v>-9250000</v>
      </c>
      <c r="E439" s="748"/>
      <c r="F439" s="748"/>
      <c r="G439" s="748"/>
      <c r="H439" s="748"/>
      <c r="I439" s="748">
        <f>-2160000+1911810+200000</f>
        <v>-48190</v>
      </c>
      <c r="J439" s="748">
        <f>-840000-1911810+100000</f>
        <v>-2651810</v>
      </c>
      <c r="K439" s="748">
        <f>-1250000+50000</f>
        <v>-1200000</v>
      </c>
      <c r="L439" s="748">
        <f>-1080000+50000</f>
        <v>-1030000</v>
      </c>
      <c r="M439" s="748">
        <f>-1150000-500000</f>
        <v>-1650000</v>
      </c>
      <c r="N439" s="748">
        <f>-700000-600000</f>
        <v>-1300000</v>
      </c>
      <c r="O439" s="748">
        <f>-800000-100000</f>
        <v>-900000</v>
      </c>
      <c r="P439" s="748">
        <v>-470000</v>
      </c>
    </row>
    <row r="440" spans="1:16" s="324" customFormat="1" ht="21.75" customHeight="1">
      <c r="A440" s="787"/>
      <c r="B440" s="787">
        <v>92605</v>
      </c>
      <c r="C440" s="788" t="s">
        <v>402</v>
      </c>
      <c r="D440" s="748">
        <f t="shared" si="133"/>
        <v>-900000</v>
      </c>
      <c r="E440" s="748">
        <v>-24400</v>
      </c>
      <c r="F440" s="748"/>
      <c r="G440" s="748">
        <v>-6110</v>
      </c>
      <c r="H440" s="748">
        <v>-6100</v>
      </c>
      <c r="I440" s="748"/>
      <c r="J440" s="748">
        <f>-500000-144290</f>
        <v>-644290</v>
      </c>
      <c r="K440" s="748">
        <v>-69100</v>
      </c>
      <c r="L440" s="748">
        <f>-50000</f>
        <v>-50000</v>
      </c>
      <c r="M440" s="748">
        <v>-50000</v>
      </c>
      <c r="N440" s="748">
        <v>-50000</v>
      </c>
      <c r="O440" s="748"/>
      <c r="P440" s="748"/>
    </row>
    <row r="441" spans="1:16" s="324" customFormat="1" ht="33.75" customHeight="1" thickBot="1">
      <c r="A441" s="787"/>
      <c r="B441" s="787"/>
      <c r="C441" s="739" t="s">
        <v>1041</v>
      </c>
      <c r="D441" s="725">
        <f t="shared" si="133"/>
        <v>-318000</v>
      </c>
      <c r="E441" s="725"/>
      <c r="F441" s="725"/>
      <c r="G441" s="725"/>
      <c r="H441" s="725"/>
      <c r="I441" s="725"/>
      <c r="J441" s="725"/>
      <c r="K441" s="725"/>
      <c r="L441" s="725"/>
      <c r="M441" s="725"/>
      <c r="N441" s="725">
        <f>N442</f>
        <v>-105500</v>
      </c>
      <c r="O441" s="725">
        <f>O442</f>
        <v>-212500</v>
      </c>
      <c r="P441" s="725"/>
    </row>
    <row r="442" spans="1:16" s="324" customFormat="1" ht="21" customHeight="1" thickTop="1">
      <c r="A442" s="1197">
        <v>900</v>
      </c>
      <c r="B442" s="1197"/>
      <c r="C442" s="801" t="s">
        <v>433</v>
      </c>
      <c r="D442" s="1198">
        <f t="shared" si="133"/>
        <v>-318000</v>
      </c>
      <c r="E442" s="1198"/>
      <c r="F442" s="1198"/>
      <c r="G442" s="1198"/>
      <c r="H442" s="1198"/>
      <c r="I442" s="1198"/>
      <c r="J442" s="1198"/>
      <c r="K442" s="1198"/>
      <c r="L442" s="1198"/>
      <c r="M442" s="1198"/>
      <c r="N442" s="1198">
        <f>N443+N444</f>
        <v>-105500</v>
      </c>
      <c r="O442" s="1198">
        <f>O443+O444</f>
        <v>-212500</v>
      </c>
      <c r="P442" s="1198"/>
    </row>
    <row r="443" spans="1:16" s="324" customFormat="1" ht="21" customHeight="1">
      <c r="A443" s="786"/>
      <c r="B443" s="787">
        <v>90002</v>
      </c>
      <c r="C443" s="653" t="s">
        <v>176</v>
      </c>
      <c r="D443" s="664">
        <f t="shared" si="133"/>
        <v>-35500</v>
      </c>
      <c r="E443" s="664"/>
      <c r="F443" s="664"/>
      <c r="G443" s="664"/>
      <c r="H443" s="664"/>
      <c r="I443" s="664"/>
      <c r="J443" s="664"/>
      <c r="K443" s="664"/>
      <c r="L443" s="664"/>
      <c r="M443" s="664"/>
      <c r="N443" s="664">
        <v>-25500</v>
      </c>
      <c r="O443" s="664">
        <v>-10000</v>
      </c>
      <c r="P443" s="664"/>
    </row>
    <row r="444" spans="1:16" s="324" customFormat="1" ht="21" customHeight="1">
      <c r="A444" s="786"/>
      <c r="B444" s="1146">
        <v>90095</v>
      </c>
      <c r="C444" s="668" t="s">
        <v>100</v>
      </c>
      <c r="D444" s="748">
        <f t="shared" si="133"/>
        <v>-282500</v>
      </c>
      <c r="E444" s="748"/>
      <c r="F444" s="748"/>
      <c r="G444" s="748"/>
      <c r="H444" s="748"/>
      <c r="I444" s="748"/>
      <c r="J444" s="748"/>
      <c r="K444" s="748"/>
      <c r="L444" s="748"/>
      <c r="M444" s="748"/>
      <c r="N444" s="748">
        <v>-80000</v>
      </c>
      <c r="O444" s="748">
        <v>-202500</v>
      </c>
      <c r="P444" s="748"/>
    </row>
    <row r="445" spans="1:16" s="324" customFormat="1" ht="35.25" customHeight="1" thickBot="1">
      <c r="A445" s="787"/>
      <c r="B445" s="787"/>
      <c r="C445" s="739" t="s">
        <v>1021</v>
      </c>
      <c r="D445" s="725">
        <f t="shared" si="133"/>
        <v>-300000</v>
      </c>
      <c r="E445" s="725"/>
      <c r="F445" s="725"/>
      <c r="G445" s="725"/>
      <c r="H445" s="725"/>
      <c r="I445" s="725"/>
      <c r="J445" s="725"/>
      <c r="K445" s="725"/>
      <c r="L445" s="725"/>
      <c r="M445" s="725"/>
      <c r="N445" s="725"/>
      <c r="O445" s="725">
        <f>O446</f>
        <v>-150000</v>
      </c>
      <c r="P445" s="725">
        <f>P446</f>
        <v>-150000</v>
      </c>
    </row>
    <row r="446" spans="1:16" s="324" customFormat="1" ht="21.75" customHeight="1" thickTop="1">
      <c r="A446" s="1197">
        <v>700</v>
      </c>
      <c r="B446" s="1197"/>
      <c r="C446" s="801" t="s">
        <v>433</v>
      </c>
      <c r="D446" s="1198">
        <f t="shared" si="133"/>
        <v>-300000</v>
      </c>
      <c r="E446" s="1198"/>
      <c r="F446" s="1198"/>
      <c r="G446" s="1198"/>
      <c r="H446" s="1198"/>
      <c r="I446" s="1198"/>
      <c r="J446" s="1198"/>
      <c r="K446" s="1198"/>
      <c r="L446" s="1198"/>
      <c r="M446" s="1198"/>
      <c r="N446" s="1198"/>
      <c r="O446" s="1198">
        <f>O447</f>
        <v>-150000</v>
      </c>
      <c r="P446" s="1198">
        <f>P447</f>
        <v>-150000</v>
      </c>
    </row>
    <row r="447" spans="1:16" s="324" customFormat="1" ht="21.75" customHeight="1">
      <c r="A447" s="786"/>
      <c r="B447" s="787">
        <v>70005</v>
      </c>
      <c r="C447" s="653" t="s">
        <v>958</v>
      </c>
      <c r="D447" s="664">
        <f t="shared" si="133"/>
        <v>-300000</v>
      </c>
      <c r="E447" s="664"/>
      <c r="F447" s="664"/>
      <c r="G447" s="664"/>
      <c r="H447" s="664"/>
      <c r="I447" s="664"/>
      <c r="J447" s="664"/>
      <c r="K447" s="664"/>
      <c r="L447" s="664"/>
      <c r="M447" s="664"/>
      <c r="N447" s="664"/>
      <c r="O447" s="664">
        <v>-150000</v>
      </c>
      <c r="P447" s="664">
        <v>-150000</v>
      </c>
    </row>
    <row r="448" spans="1:16" s="324" customFormat="1" ht="24" customHeight="1">
      <c r="A448" s="786"/>
      <c r="B448" s="808"/>
      <c r="C448" s="1181" t="s">
        <v>919</v>
      </c>
      <c r="D448" s="1191">
        <f aca="true" t="shared" si="147" ref="D448:D487">SUM(E448:P448)</f>
        <v>180032302</v>
      </c>
      <c r="E448" s="1191">
        <f aca="true" t="shared" si="148" ref="E448:P448">E449+E485+E481</f>
        <v>2940697</v>
      </c>
      <c r="F448" s="1191">
        <f t="shared" si="148"/>
        <v>3357500</v>
      </c>
      <c r="G448" s="1191">
        <f t="shared" si="148"/>
        <v>2565996</v>
      </c>
      <c r="H448" s="1191">
        <f t="shared" si="148"/>
        <v>6122404</v>
      </c>
      <c r="I448" s="1191">
        <f t="shared" si="148"/>
        <v>9891310</v>
      </c>
      <c r="J448" s="1191">
        <f t="shared" si="148"/>
        <v>28504569</v>
      </c>
      <c r="K448" s="1191">
        <f t="shared" si="148"/>
        <v>28362372</v>
      </c>
      <c r="L448" s="1191">
        <f t="shared" si="148"/>
        <v>20777021</v>
      </c>
      <c r="M448" s="1191">
        <f t="shared" si="148"/>
        <v>22673769</v>
      </c>
      <c r="N448" s="1191">
        <f t="shared" si="148"/>
        <v>18233106</v>
      </c>
      <c r="O448" s="1191">
        <f t="shared" si="148"/>
        <v>27373247</v>
      </c>
      <c r="P448" s="1191">
        <f t="shared" si="148"/>
        <v>9230311</v>
      </c>
    </row>
    <row r="449" spans="1:16" s="324" customFormat="1" ht="19.5" customHeight="1" thickBot="1">
      <c r="A449" s="787"/>
      <c r="B449" s="787"/>
      <c r="C449" s="739" t="s">
        <v>646</v>
      </c>
      <c r="D449" s="725">
        <f t="shared" si="147"/>
        <v>179414302</v>
      </c>
      <c r="E449" s="725">
        <f aca="true" t="shared" si="149" ref="E449:P449">E450+E455+E458+E460+E466+E468+E474+E477</f>
        <v>2940697</v>
      </c>
      <c r="F449" s="725">
        <f t="shared" si="149"/>
        <v>3357500</v>
      </c>
      <c r="G449" s="725">
        <f t="shared" si="149"/>
        <v>2565996</v>
      </c>
      <c r="H449" s="725">
        <f t="shared" si="149"/>
        <v>6122404</v>
      </c>
      <c r="I449" s="725">
        <f t="shared" si="149"/>
        <v>9891310</v>
      </c>
      <c r="J449" s="725">
        <f t="shared" si="149"/>
        <v>28504569</v>
      </c>
      <c r="K449" s="725">
        <f t="shared" si="149"/>
        <v>28362372</v>
      </c>
      <c r="L449" s="725">
        <f t="shared" si="149"/>
        <v>20777021</v>
      </c>
      <c r="M449" s="725">
        <f t="shared" si="149"/>
        <v>22673769</v>
      </c>
      <c r="N449" s="725">
        <f t="shared" si="149"/>
        <v>18127606</v>
      </c>
      <c r="O449" s="725">
        <f t="shared" si="149"/>
        <v>27010747</v>
      </c>
      <c r="P449" s="725">
        <f t="shared" si="149"/>
        <v>9080311</v>
      </c>
    </row>
    <row r="450" spans="1:16" s="324" customFormat="1" ht="19.5" customHeight="1" thickTop="1">
      <c r="A450" s="1197">
        <v>600</v>
      </c>
      <c r="B450" s="1207"/>
      <c r="C450" s="801" t="s">
        <v>525</v>
      </c>
      <c r="D450" s="1198">
        <f t="shared" si="147"/>
        <v>103979143</v>
      </c>
      <c r="E450" s="1198">
        <f aca="true" t="shared" si="150" ref="E450:P450">E451+E452+E453+E454</f>
        <v>2345894</v>
      </c>
      <c r="F450" s="1198">
        <f t="shared" si="150"/>
        <v>970761</v>
      </c>
      <c r="G450" s="1198">
        <f t="shared" si="150"/>
        <v>751826</v>
      </c>
      <c r="H450" s="1198">
        <f t="shared" si="150"/>
        <v>3963448</v>
      </c>
      <c r="I450" s="1198">
        <f t="shared" si="150"/>
        <v>7348892</v>
      </c>
      <c r="J450" s="1198">
        <f t="shared" si="150"/>
        <v>10692751</v>
      </c>
      <c r="K450" s="1198">
        <f t="shared" si="150"/>
        <v>13962005</v>
      </c>
      <c r="L450" s="1198">
        <f t="shared" si="150"/>
        <v>12146369</v>
      </c>
      <c r="M450" s="1198">
        <f t="shared" si="150"/>
        <v>14874269</v>
      </c>
      <c r="N450" s="1198">
        <f t="shared" si="150"/>
        <v>10437606</v>
      </c>
      <c r="O450" s="1198">
        <f t="shared" si="150"/>
        <v>21171600</v>
      </c>
      <c r="P450" s="1198">
        <f t="shared" si="150"/>
        <v>5313722</v>
      </c>
    </row>
    <row r="451" spans="1:16" s="324" customFormat="1" ht="19.5" customHeight="1">
      <c r="A451" s="786"/>
      <c r="B451" s="787">
        <v>60004</v>
      </c>
      <c r="C451" s="653" t="s">
        <v>647</v>
      </c>
      <c r="D451" s="664">
        <f t="shared" si="147"/>
        <v>25955432</v>
      </c>
      <c r="E451" s="664"/>
      <c r="F451" s="664">
        <v>586</v>
      </c>
      <c r="G451" s="664">
        <v>329261</v>
      </c>
      <c r="H451" s="664"/>
      <c r="I451" s="664">
        <v>723617</v>
      </c>
      <c r="J451" s="664">
        <v>281073</v>
      </c>
      <c r="K451" s="664">
        <v>2262005</v>
      </c>
      <c r="L451" s="664">
        <f>200000+646369</f>
        <v>846369</v>
      </c>
      <c r="M451" s="664">
        <f>1000000+1646369</f>
        <v>2646369</v>
      </c>
      <c r="N451" s="664">
        <f>1000000+1887606</f>
        <v>2887606</v>
      </c>
      <c r="O451" s="664">
        <f>1050000+12778546</f>
        <v>13828546</v>
      </c>
      <c r="P451" s="664">
        <f>1000000+1150000</f>
        <v>2150000</v>
      </c>
    </row>
    <row r="452" spans="1:16" s="324" customFormat="1" ht="21.75" customHeight="1">
      <c r="A452" s="786"/>
      <c r="B452" s="1146">
        <v>60015</v>
      </c>
      <c r="C452" s="668" t="s">
        <v>1113</v>
      </c>
      <c r="D452" s="748">
        <f t="shared" si="147"/>
        <v>67713711</v>
      </c>
      <c r="E452" s="748">
        <f>2067394+222000</f>
        <v>2289394</v>
      </c>
      <c r="F452" s="748">
        <v>700694</v>
      </c>
      <c r="G452" s="748">
        <v>373899</v>
      </c>
      <c r="H452" s="748">
        <v>2700668</v>
      </c>
      <c r="I452" s="748">
        <v>5474277</v>
      </c>
      <c r="J452" s="748">
        <v>9561057</v>
      </c>
      <c r="K452" s="748">
        <v>10200000</v>
      </c>
      <c r="L452" s="748">
        <v>10000000</v>
      </c>
      <c r="M452" s="748">
        <v>10600000</v>
      </c>
      <c r="N452" s="748">
        <v>6500000</v>
      </c>
      <c r="O452" s="748">
        <v>6500000</v>
      </c>
      <c r="P452" s="748">
        <v>2813722</v>
      </c>
    </row>
    <row r="453" spans="1:16" s="324" customFormat="1" ht="19.5" customHeight="1">
      <c r="A453" s="786"/>
      <c r="B453" s="1146">
        <v>60016</v>
      </c>
      <c r="C453" s="668" t="s">
        <v>1114</v>
      </c>
      <c r="D453" s="748">
        <f t="shared" si="147"/>
        <v>9900000</v>
      </c>
      <c r="E453" s="748">
        <v>56500</v>
      </c>
      <c r="F453" s="748">
        <v>269481</v>
      </c>
      <c r="G453" s="748">
        <v>48666</v>
      </c>
      <c r="H453" s="748">
        <v>1262780</v>
      </c>
      <c r="I453" s="748">
        <v>1150998</v>
      </c>
      <c r="J453" s="748">
        <v>818521</v>
      </c>
      <c r="K453" s="748">
        <v>1400000</v>
      </c>
      <c r="L453" s="748">
        <v>1300000</v>
      </c>
      <c r="M453" s="748">
        <v>1500000</v>
      </c>
      <c r="N453" s="748">
        <v>1000000</v>
      </c>
      <c r="O453" s="748">
        <v>793054</v>
      </c>
      <c r="P453" s="748">
        <v>300000</v>
      </c>
    </row>
    <row r="454" spans="1:16" s="324" customFormat="1" ht="19.5" customHeight="1">
      <c r="A454" s="787"/>
      <c r="B454" s="1146">
        <v>60017</v>
      </c>
      <c r="C454" s="668" t="s">
        <v>481</v>
      </c>
      <c r="D454" s="748">
        <f t="shared" si="147"/>
        <v>410000</v>
      </c>
      <c r="E454" s="748"/>
      <c r="F454" s="748"/>
      <c r="G454" s="748"/>
      <c r="H454" s="748"/>
      <c r="I454" s="748"/>
      <c r="J454" s="748">
        <v>32100</v>
      </c>
      <c r="K454" s="748">
        <v>100000</v>
      </c>
      <c r="L454" s="748"/>
      <c r="M454" s="748">
        <v>127900</v>
      </c>
      <c r="N454" s="748">
        <v>50000</v>
      </c>
      <c r="O454" s="748">
        <v>50000</v>
      </c>
      <c r="P454" s="748">
        <v>50000</v>
      </c>
    </row>
    <row r="455" spans="1:16" s="324" customFormat="1" ht="19.5" customHeight="1">
      <c r="A455" s="1197">
        <v>700</v>
      </c>
      <c r="B455" s="1197"/>
      <c r="C455" s="1204" t="s">
        <v>433</v>
      </c>
      <c r="D455" s="1198">
        <f t="shared" si="147"/>
        <v>5005000</v>
      </c>
      <c r="E455" s="1198"/>
      <c r="F455" s="1198">
        <f aca="true" t="shared" si="151" ref="F455:P455">F456+F457</f>
        <v>83440</v>
      </c>
      <c r="G455" s="1198">
        <f t="shared" si="151"/>
        <v>306555</v>
      </c>
      <c r="H455" s="1198">
        <f t="shared" si="151"/>
        <v>149658</v>
      </c>
      <c r="I455" s="1198">
        <f t="shared" si="151"/>
        <v>189016</v>
      </c>
      <c r="J455" s="1198">
        <f t="shared" si="151"/>
        <v>1036331</v>
      </c>
      <c r="K455" s="1198">
        <f t="shared" si="151"/>
        <v>860000</v>
      </c>
      <c r="L455" s="1198">
        <f t="shared" si="151"/>
        <v>810000</v>
      </c>
      <c r="M455" s="1198">
        <f t="shared" si="151"/>
        <v>400000</v>
      </c>
      <c r="N455" s="1198">
        <f t="shared" si="151"/>
        <v>400000</v>
      </c>
      <c r="O455" s="1198">
        <f t="shared" si="151"/>
        <v>400000</v>
      </c>
      <c r="P455" s="1198">
        <f t="shared" si="151"/>
        <v>370000</v>
      </c>
    </row>
    <row r="456" spans="1:16" s="324" customFormat="1" ht="19.5" customHeight="1">
      <c r="A456" s="786"/>
      <c r="B456" s="787">
        <v>70005</v>
      </c>
      <c r="C456" s="653" t="s">
        <v>435</v>
      </c>
      <c r="D456" s="664">
        <f t="shared" si="147"/>
        <v>5000</v>
      </c>
      <c r="E456" s="664"/>
      <c r="F456" s="664"/>
      <c r="G456" s="664"/>
      <c r="H456" s="664"/>
      <c r="I456" s="664"/>
      <c r="J456" s="664">
        <v>5000</v>
      </c>
      <c r="K456" s="664"/>
      <c r="L456" s="664"/>
      <c r="M456" s="664"/>
      <c r="N456" s="664"/>
      <c r="O456" s="664"/>
      <c r="P456" s="664"/>
    </row>
    <row r="457" spans="1:16" s="324" customFormat="1" ht="19.5" customHeight="1">
      <c r="A457" s="787"/>
      <c r="B457" s="787">
        <v>70095</v>
      </c>
      <c r="C457" s="668" t="s">
        <v>100</v>
      </c>
      <c r="D457" s="664">
        <f t="shared" si="147"/>
        <v>5000000</v>
      </c>
      <c r="E457" s="664"/>
      <c r="F457" s="664">
        <v>83440</v>
      </c>
      <c r="G457" s="664">
        <v>306555</v>
      </c>
      <c r="H457" s="664">
        <v>149658</v>
      </c>
      <c r="I457" s="664">
        <f>750347-561331</f>
        <v>189016</v>
      </c>
      <c r="J457" s="664">
        <f>470000+561331</f>
        <v>1031331</v>
      </c>
      <c r="K457" s="664">
        <v>860000</v>
      </c>
      <c r="L457" s="664">
        <v>810000</v>
      </c>
      <c r="M457" s="664">
        <v>400000</v>
      </c>
      <c r="N457" s="664">
        <v>400000</v>
      </c>
      <c r="O457" s="664">
        <v>400000</v>
      </c>
      <c r="P457" s="664">
        <v>370000</v>
      </c>
    </row>
    <row r="458" spans="1:16" s="324" customFormat="1" ht="19.5" customHeight="1">
      <c r="A458" s="1197">
        <v>710</v>
      </c>
      <c r="B458" s="1197"/>
      <c r="C458" s="801" t="s">
        <v>436</v>
      </c>
      <c r="D458" s="1198">
        <f t="shared" si="147"/>
        <v>1000000</v>
      </c>
      <c r="E458" s="1198"/>
      <c r="F458" s="1198">
        <f>F459</f>
        <v>5000</v>
      </c>
      <c r="G458" s="1198">
        <f aca="true" t="shared" si="152" ref="G458:P458">G459</f>
        <v>20354</v>
      </c>
      <c r="H458" s="1198">
        <f t="shared" si="152"/>
        <v>1958</v>
      </c>
      <c r="I458" s="1198">
        <f t="shared" si="152"/>
        <v>15500</v>
      </c>
      <c r="J458" s="1198">
        <f t="shared" si="152"/>
        <v>2989</v>
      </c>
      <c r="K458" s="1198">
        <f t="shared" si="152"/>
        <v>354199</v>
      </c>
      <c r="L458" s="1198"/>
      <c r="M458" s="1198"/>
      <c r="N458" s="1198"/>
      <c r="O458" s="1198">
        <f t="shared" si="152"/>
        <v>400000</v>
      </c>
      <c r="P458" s="1198">
        <f t="shared" si="152"/>
        <v>200000</v>
      </c>
    </row>
    <row r="459" spans="1:16" s="324" customFormat="1" ht="19.5" customHeight="1">
      <c r="A459" s="787"/>
      <c r="B459" s="787">
        <v>71035</v>
      </c>
      <c r="C459" s="653" t="s">
        <v>191</v>
      </c>
      <c r="D459" s="664">
        <f t="shared" si="147"/>
        <v>1000000</v>
      </c>
      <c r="E459" s="664"/>
      <c r="F459" s="664">
        <v>5000</v>
      </c>
      <c r="G459" s="664">
        <v>20354</v>
      </c>
      <c r="H459" s="664">
        <v>1958</v>
      </c>
      <c r="I459" s="664">
        <f>172938-157438</f>
        <v>15500</v>
      </c>
      <c r="J459" s="664">
        <v>2989</v>
      </c>
      <c r="K459" s="664">
        <v>354199</v>
      </c>
      <c r="L459" s="664"/>
      <c r="M459" s="664"/>
      <c r="N459" s="664"/>
      <c r="O459" s="664">
        <v>400000</v>
      </c>
      <c r="P459" s="664">
        <v>200000</v>
      </c>
    </row>
    <row r="460" spans="1:16" s="324" customFormat="1" ht="19.5" customHeight="1">
      <c r="A460" s="1203">
        <v>801</v>
      </c>
      <c r="B460" s="1203"/>
      <c r="C460" s="1204" t="s">
        <v>448</v>
      </c>
      <c r="D460" s="1198">
        <f t="shared" si="147"/>
        <v>13550000</v>
      </c>
      <c r="E460" s="1205">
        <f aca="true" t="shared" si="153" ref="E460:P460">E461+E462+E464+E465+E463</f>
        <v>24465</v>
      </c>
      <c r="F460" s="1205">
        <f t="shared" si="153"/>
        <v>1713491</v>
      </c>
      <c r="G460" s="1205">
        <f t="shared" si="153"/>
        <v>152107</v>
      </c>
      <c r="H460" s="1205">
        <f t="shared" si="153"/>
        <v>1340996</v>
      </c>
      <c r="I460" s="1205">
        <f t="shared" si="153"/>
        <v>571735</v>
      </c>
      <c r="J460" s="1205">
        <f t="shared" si="153"/>
        <v>4819706</v>
      </c>
      <c r="K460" s="1205">
        <f t="shared" si="153"/>
        <v>2019000</v>
      </c>
      <c r="L460" s="1205">
        <f t="shared" si="153"/>
        <v>882000</v>
      </c>
      <c r="M460" s="1205">
        <f t="shared" si="153"/>
        <v>576500</v>
      </c>
      <c r="N460" s="1205">
        <f t="shared" si="153"/>
        <v>700000</v>
      </c>
      <c r="O460" s="1205">
        <f t="shared" si="153"/>
        <v>700000</v>
      </c>
      <c r="P460" s="1205">
        <f t="shared" si="153"/>
        <v>50000</v>
      </c>
    </row>
    <row r="461" spans="1:16" s="324" customFormat="1" ht="19.5" customHeight="1">
      <c r="A461" s="786"/>
      <c r="B461" s="787">
        <v>80101</v>
      </c>
      <c r="C461" s="653" t="s">
        <v>449</v>
      </c>
      <c r="D461" s="664">
        <f t="shared" si="147"/>
        <v>10900000</v>
      </c>
      <c r="E461" s="664"/>
      <c r="F461" s="664">
        <v>1713491</v>
      </c>
      <c r="G461" s="664">
        <v>17874</v>
      </c>
      <c r="H461" s="664">
        <v>1243446</v>
      </c>
      <c r="I461" s="664">
        <f>4658189-4148459</f>
        <v>509730</v>
      </c>
      <c r="J461" s="664">
        <f>217000+4148459</f>
        <v>4365459</v>
      </c>
      <c r="K461" s="664">
        <f>400000+1000000</f>
        <v>1400000</v>
      </c>
      <c r="L461" s="664">
        <v>400000</v>
      </c>
      <c r="M461" s="664">
        <v>400000</v>
      </c>
      <c r="N461" s="664">
        <v>400000</v>
      </c>
      <c r="O461" s="664">
        <v>400000</v>
      </c>
      <c r="P461" s="664">
        <v>50000</v>
      </c>
    </row>
    <row r="462" spans="1:16" s="324" customFormat="1" ht="19.5" customHeight="1">
      <c r="A462" s="786"/>
      <c r="B462" s="1146">
        <v>80104</v>
      </c>
      <c r="C462" s="668" t="s">
        <v>1038</v>
      </c>
      <c r="D462" s="664">
        <f t="shared" si="147"/>
        <v>500000</v>
      </c>
      <c r="E462" s="748"/>
      <c r="F462" s="748"/>
      <c r="G462" s="748"/>
      <c r="H462" s="748">
        <v>22106</v>
      </c>
      <c r="I462" s="748">
        <f>110394-110248</f>
        <v>146</v>
      </c>
      <c r="J462" s="748">
        <v>110248</v>
      </c>
      <c r="K462" s="748">
        <v>190000</v>
      </c>
      <c r="L462" s="748">
        <v>100000</v>
      </c>
      <c r="M462" s="748">
        <v>77500</v>
      </c>
      <c r="N462" s="748"/>
      <c r="O462" s="748"/>
      <c r="P462" s="748"/>
    </row>
    <row r="463" spans="1:16" s="324" customFormat="1" ht="19.5" customHeight="1">
      <c r="A463" s="786"/>
      <c r="B463" s="1146">
        <v>80110</v>
      </c>
      <c r="C463" s="668" t="s">
        <v>450</v>
      </c>
      <c r="D463" s="664">
        <f t="shared" si="147"/>
        <v>1000000</v>
      </c>
      <c r="E463" s="748"/>
      <c r="F463" s="748"/>
      <c r="G463" s="748"/>
      <c r="H463" s="748"/>
      <c r="I463" s="748"/>
      <c r="J463" s="748">
        <v>1000</v>
      </c>
      <c r="K463" s="748"/>
      <c r="L463" s="748">
        <v>300000</v>
      </c>
      <c r="M463" s="748">
        <v>99000</v>
      </c>
      <c r="N463" s="748">
        <v>300000</v>
      </c>
      <c r="O463" s="748">
        <v>300000</v>
      </c>
      <c r="P463" s="748"/>
    </row>
    <row r="464" spans="1:16" s="324" customFormat="1" ht="19.5" customHeight="1">
      <c r="A464" s="786"/>
      <c r="B464" s="1146">
        <v>80120</v>
      </c>
      <c r="C464" s="668" t="s">
        <v>814</v>
      </c>
      <c r="D464" s="664">
        <f t="shared" si="147"/>
        <v>50000</v>
      </c>
      <c r="E464" s="748">
        <v>24367</v>
      </c>
      <c r="F464" s="748"/>
      <c r="G464" s="748">
        <v>6133</v>
      </c>
      <c r="H464" s="748"/>
      <c r="I464" s="748"/>
      <c r="J464" s="748">
        <f>1000+9500</f>
        <v>10500</v>
      </c>
      <c r="K464" s="748">
        <v>9000</v>
      </c>
      <c r="L464" s="748"/>
      <c r="M464" s="748"/>
      <c r="N464" s="748"/>
      <c r="O464" s="748"/>
      <c r="P464" s="748"/>
    </row>
    <row r="465" spans="1:16" s="324" customFormat="1" ht="19.5" customHeight="1">
      <c r="A465" s="786"/>
      <c r="B465" s="787">
        <v>80130</v>
      </c>
      <c r="C465" s="653" t="s">
        <v>494</v>
      </c>
      <c r="D465" s="664">
        <f t="shared" si="147"/>
        <v>1100000</v>
      </c>
      <c r="E465" s="664">
        <v>98</v>
      </c>
      <c r="F465" s="664"/>
      <c r="G465" s="664">
        <v>128100</v>
      </c>
      <c r="H465" s="664">
        <v>75444</v>
      </c>
      <c r="I465" s="664">
        <f>194358-132499</f>
        <v>61859</v>
      </c>
      <c r="J465" s="664">
        <f>200000+132499</f>
        <v>332499</v>
      </c>
      <c r="K465" s="664">
        <v>420000</v>
      </c>
      <c r="L465" s="664">
        <v>82000</v>
      </c>
      <c r="M465" s="664"/>
      <c r="N465" s="664"/>
      <c r="O465" s="664"/>
      <c r="P465" s="664"/>
    </row>
    <row r="466" spans="1:16" s="324" customFormat="1" ht="19.5" customHeight="1">
      <c r="A466" s="1203">
        <v>852</v>
      </c>
      <c r="B466" s="1197"/>
      <c r="C466" s="801" t="s">
        <v>129</v>
      </c>
      <c r="D466" s="1198">
        <f t="shared" si="147"/>
        <v>5000000</v>
      </c>
      <c r="E466" s="1198"/>
      <c r="F466" s="1198"/>
      <c r="G466" s="1198">
        <f>G467</f>
        <v>146400</v>
      </c>
      <c r="H466" s="1198"/>
      <c r="I466" s="1198"/>
      <c r="J466" s="1198">
        <f>J467</f>
        <v>3600</v>
      </c>
      <c r="K466" s="1198">
        <f aca="true" t="shared" si="154" ref="K466:P466">K467</f>
        <v>750000</v>
      </c>
      <c r="L466" s="1198">
        <f t="shared" si="154"/>
        <v>900000</v>
      </c>
      <c r="M466" s="1198">
        <f t="shared" si="154"/>
        <v>900000</v>
      </c>
      <c r="N466" s="1198">
        <f t="shared" si="154"/>
        <v>900000</v>
      </c>
      <c r="O466" s="1198">
        <f t="shared" si="154"/>
        <v>700000</v>
      </c>
      <c r="P466" s="1198">
        <f t="shared" si="154"/>
        <v>700000</v>
      </c>
    </row>
    <row r="467" spans="1:16" s="324" customFormat="1" ht="19.5" customHeight="1">
      <c r="A467" s="786"/>
      <c r="B467" s="652">
        <v>85202</v>
      </c>
      <c r="C467" s="653" t="s">
        <v>125</v>
      </c>
      <c r="D467" s="664">
        <f t="shared" si="147"/>
        <v>5000000</v>
      </c>
      <c r="E467" s="664"/>
      <c r="F467" s="664"/>
      <c r="G467" s="664">
        <v>146400</v>
      </c>
      <c r="H467" s="664"/>
      <c r="I467" s="664"/>
      <c r="J467" s="664">
        <v>3600</v>
      </c>
      <c r="K467" s="664">
        <v>750000</v>
      </c>
      <c r="L467" s="664">
        <v>900000</v>
      </c>
      <c r="M467" s="664">
        <v>900000</v>
      </c>
      <c r="N467" s="664">
        <v>900000</v>
      </c>
      <c r="O467" s="664">
        <v>700000</v>
      </c>
      <c r="P467" s="664">
        <v>700000</v>
      </c>
    </row>
    <row r="468" spans="1:16" s="324" customFormat="1" ht="31.5" customHeight="1">
      <c r="A468" s="1203">
        <v>900</v>
      </c>
      <c r="B468" s="1203"/>
      <c r="C468" s="801" t="s">
        <v>1048</v>
      </c>
      <c r="D468" s="1198">
        <f t="shared" si="147"/>
        <v>37405159</v>
      </c>
      <c r="E468" s="1205">
        <f aca="true" t="shared" si="155" ref="E468:P468">E469+E470+E471+E473+E472</f>
        <v>545938</v>
      </c>
      <c r="F468" s="1205">
        <f t="shared" si="155"/>
        <v>584808</v>
      </c>
      <c r="G468" s="1205">
        <f t="shared" si="155"/>
        <v>1163124</v>
      </c>
      <c r="H468" s="1205">
        <f t="shared" si="155"/>
        <v>653961</v>
      </c>
      <c r="I468" s="1205">
        <f t="shared" si="155"/>
        <v>1662977</v>
      </c>
      <c r="J468" s="1205">
        <f t="shared" si="155"/>
        <v>10891110</v>
      </c>
      <c r="K468" s="1205">
        <f t="shared" si="155"/>
        <v>5700000</v>
      </c>
      <c r="L468" s="1205">
        <f t="shared" si="155"/>
        <v>4393652</v>
      </c>
      <c r="M468" s="1205">
        <f t="shared" si="155"/>
        <v>3508000</v>
      </c>
      <c r="N468" s="1205">
        <f t="shared" si="155"/>
        <v>4020000</v>
      </c>
      <c r="O468" s="1205">
        <f t="shared" si="155"/>
        <v>2470000</v>
      </c>
      <c r="P468" s="1205">
        <f t="shared" si="155"/>
        <v>1811589</v>
      </c>
    </row>
    <row r="469" spans="1:16" s="324" customFormat="1" ht="19.5" customHeight="1">
      <c r="A469" s="786"/>
      <c r="B469" s="787">
        <v>90001</v>
      </c>
      <c r="C469" s="653" t="s">
        <v>1110</v>
      </c>
      <c r="D469" s="664">
        <f t="shared" si="147"/>
        <v>13545000</v>
      </c>
      <c r="E469" s="664">
        <v>418307</v>
      </c>
      <c r="F469" s="664">
        <v>323716</v>
      </c>
      <c r="G469" s="664">
        <v>558217</v>
      </c>
      <c r="H469" s="664">
        <v>433340</v>
      </c>
      <c r="I469" s="664">
        <f>2551520-1923636</f>
        <v>627884</v>
      </c>
      <c r="J469" s="664">
        <f>1246900+1923636</f>
        <v>3170536</v>
      </c>
      <c r="K469" s="664">
        <f>1485000+165000</f>
        <v>1650000</v>
      </c>
      <c r="L469" s="664">
        <v>1240000</v>
      </c>
      <c r="M469" s="664">
        <f>858000+200000</f>
        <v>1058000</v>
      </c>
      <c r="N469" s="664">
        <f>1370000+250000</f>
        <v>1620000</v>
      </c>
      <c r="O469" s="664">
        <f>1320000+200000</f>
        <v>1520000</v>
      </c>
      <c r="P469" s="664">
        <v>925000</v>
      </c>
    </row>
    <row r="470" spans="1:16" s="324" customFormat="1" ht="19.5" customHeight="1">
      <c r="A470" s="786"/>
      <c r="B470" s="1146">
        <v>90002</v>
      </c>
      <c r="C470" s="653" t="s">
        <v>176</v>
      </c>
      <c r="D470" s="664">
        <f t="shared" si="147"/>
        <v>364500</v>
      </c>
      <c r="E470" s="748"/>
      <c r="F470" s="748"/>
      <c r="G470" s="748"/>
      <c r="H470" s="748"/>
      <c r="I470" s="748"/>
      <c r="J470" s="748">
        <f>50000+70000</f>
        <v>120000</v>
      </c>
      <c r="K470" s="748">
        <v>50000</v>
      </c>
      <c r="L470" s="748">
        <v>44500</v>
      </c>
      <c r="M470" s="748">
        <v>50000</v>
      </c>
      <c r="N470" s="748">
        <v>50000</v>
      </c>
      <c r="O470" s="748">
        <v>30000</v>
      </c>
      <c r="P470" s="748">
        <v>20000</v>
      </c>
    </row>
    <row r="471" spans="1:16" s="324" customFormat="1" ht="19.5" customHeight="1">
      <c r="A471" s="786"/>
      <c r="B471" s="1146">
        <v>90004</v>
      </c>
      <c r="C471" s="653" t="s">
        <v>1000</v>
      </c>
      <c r="D471" s="664">
        <f t="shared" si="147"/>
        <v>1750000</v>
      </c>
      <c r="E471" s="748"/>
      <c r="F471" s="748">
        <v>146</v>
      </c>
      <c r="G471" s="748">
        <v>116</v>
      </c>
      <c r="H471" s="748"/>
      <c r="I471" s="748"/>
      <c r="J471" s="748">
        <v>586</v>
      </c>
      <c r="K471" s="748">
        <f>150000+1000000</f>
        <v>1150000</v>
      </c>
      <c r="L471" s="748">
        <v>599152</v>
      </c>
      <c r="M471" s="748"/>
      <c r="N471" s="748"/>
      <c r="O471" s="748"/>
      <c r="P471" s="748"/>
    </row>
    <row r="472" spans="1:16" s="324" customFormat="1" ht="19.5" customHeight="1">
      <c r="A472" s="786"/>
      <c r="B472" s="1146">
        <v>90015</v>
      </c>
      <c r="C472" s="653" t="s">
        <v>1002</v>
      </c>
      <c r="D472" s="664">
        <f t="shared" si="147"/>
        <v>1040000</v>
      </c>
      <c r="E472" s="748"/>
      <c r="F472" s="748">
        <v>1215</v>
      </c>
      <c r="G472" s="748"/>
      <c r="H472" s="748"/>
      <c r="I472" s="748"/>
      <c r="J472" s="748">
        <v>28785</v>
      </c>
      <c r="K472" s="748">
        <v>600000</v>
      </c>
      <c r="L472" s="748">
        <v>410000</v>
      </c>
      <c r="M472" s="748"/>
      <c r="N472" s="748"/>
      <c r="O472" s="748"/>
      <c r="P472" s="748"/>
    </row>
    <row r="473" spans="1:16" s="324" customFormat="1" ht="19.5" customHeight="1">
      <c r="A473" s="787"/>
      <c r="B473" s="1146">
        <v>90095</v>
      </c>
      <c r="C473" s="653" t="s">
        <v>100</v>
      </c>
      <c r="D473" s="664">
        <f t="shared" si="147"/>
        <v>20705659</v>
      </c>
      <c r="E473" s="748">
        <v>127631</v>
      </c>
      <c r="F473" s="748">
        <v>259731</v>
      </c>
      <c r="G473" s="748">
        <v>604791</v>
      </c>
      <c r="H473" s="748">
        <v>220621</v>
      </c>
      <c r="I473" s="748">
        <f>6506296-5471203</f>
        <v>1035093</v>
      </c>
      <c r="J473" s="748">
        <f>2100000+5471203</f>
        <v>7571203</v>
      </c>
      <c r="K473" s="748">
        <v>2250000</v>
      </c>
      <c r="L473" s="748">
        <v>2100000</v>
      </c>
      <c r="M473" s="748">
        <v>2400000</v>
      </c>
      <c r="N473" s="748">
        <v>2350000</v>
      </c>
      <c r="O473" s="748">
        <v>920000</v>
      </c>
      <c r="P473" s="748">
        <v>866589</v>
      </c>
    </row>
    <row r="474" spans="1:16" s="324" customFormat="1" ht="27" customHeight="1">
      <c r="A474" s="1203">
        <v>921</v>
      </c>
      <c r="B474" s="1203"/>
      <c r="C474" s="1204" t="s">
        <v>401</v>
      </c>
      <c r="D474" s="1205">
        <f t="shared" si="147"/>
        <v>3125000</v>
      </c>
      <c r="E474" s="1205"/>
      <c r="F474" s="1205"/>
      <c r="G474" s="1205">
        <f aca="true" t="shared" si="156" ref="G474:P474">G475+G476</f>
        <v>19520</v>
      </c>
      <c r="H474" s="1205">
        <f t="shared" si="156"/>
        <v>6283</v>
      </c>
      <c r="I474" s="1205">
        <f t="shared" si="156"/>
        <v>55000</v>
      </c>
      <c r="J474" s="1205">
        <f t="shared" si="156"/>
        <v>795050</v>
      </c>
      <c r="K474" s="1205">
        <f t="shared" si="156"/>
        <v>265000</v>
      </c>
      <c r="L474" s="1205">
        <f t="shared" si="156"/>
        <v>565000</v>
      </c>
      <c r="M474" s="1205">
        <f t="shared" si="156"/>
        <v>665000</v>
      </c>
      <c r="N474" s="1205">
        <f t="shared" si="156"/>
        <v>320000</v>
      </c>
      <c r="O474" s="1205">
        <f t="shared" si="156"/>
        <v>269147</v>
      </c>
      <c r="P474" s="1205">
        <f t="shared" si="156"/>
        <v>165000</v>
      </c>
    </row>
    <row r="475" spans="1:16" s="324" customFormat="1" ht="21" customHeight="1">
      <c r="A475" s="786"/>
      <c r="B475" s="787">
        <v>92113</v>
      </c>
      <c r="C475" s="653" t="s">
        <v>398</v>
      </c>
      <c r="D475" s="664">
        <f t="shared" si="147"/>
        <v>300000</v>
      </c>
      <c r="E475" s="664"/>
      <c r="F475" s="664"/>
      <c r="G475" s="664">
        <v>19520</v>
      </c>
      <c r="H475" s="664">
        <v>6283</v>
      </c>
      <c r="I475" s="664"/>
      <c r="J475" s="664">
        <v>70050</v>
      </c>
      <c r="K475" s="664"/>
      <c r="L475" s="664"/>
      <c r="M475" s="664"/>
      <c r="N475" s="664">
        <v>100000</v>
      </c>
      <c r="O475" s="664">
        <v>104147</v>
      </c>
      <c r="P475" s="664"/>
    </row>
    <row r="476" spans="1:16" s="324" customFormat="1" ht="21" customHeight="1">
      <c r="A476" s="787"/>
      <c r="B476" s="1192">
        <v>92120</v>
      </c>
      <c r="C476" s="788" t="s">
        <v>97</v>
      </c>
      <c r="D476" s="664">
        <f t="shared" si="147"/>
        <v>2825000</v>
      </c>
      <c r="E476" s="748"/>
      <c r="F476" s="748"/>
      <c r="G476" s="748"/>
      <c r="H476" s="748"/>
      <c r="I476" s="748">
        <f>615000-560000</f>
        <v>55000</v>
      </c>
      <c r="J476" s="748">
        <f>165000+560000</f>
        <v>725000</v>
      </c>
      <c r="K476" s="748">
        <v>265000</v>
      </c>
      <c r="L476" s="748">
        <f>265000+300000</f>
        <v>565000</v>
      </c>
      <c r="M476" s="748">
        <f>265000+400000</f>
        <v>665000</v>
      </c>
      <c r="N476" s="748">
        <v>220000</v>
      </c>
      <c r="O476" s="748">
        <v>165000</v>
      </c>
      <c r="P476" s="748">
        <v>165000</v>
      </c>
    </row>
    <row r="477" spans="1:16" s="324" customFormat="1" ht="21" customHeight="1">
      <c r="A477" s="1203">
        <v>926</v>
      </c>
      <c r="B477" s="1203"/>
      <c r="C477" s="1203" t="s">
        <v>1045</v>
      </c>
      <c r="D477" s="1205">
        <f t="shared" si="147"/>
        <v>10350000</v>
      </c>
      <c r="E477" s="1205">
        <f aca="true" t="shared" si="157" ref="E477:P477">E479+E480+E478</f>
        <v>24400</v>
      </c>
      <c r="F477" s="1205"/>
      <c r="G477" s="1205">
        <f t="shared" si="157"/>
        <v>6110</v>
      </c>
      <c r="H477" s="1205">
        <f t="shared" si="157"/>
        <v>6100</v>
      </c>
      <c r="I477" s="1205">
        <f t="shared" si="157"/>
        <v>48190</v>
      </c>
      <c r="J477" s="1205">
        <f t="shared" si="157"/>
        <v>263032</v>
      </c>
      <c r="K477" s="1205">
        <f t="shared" si="157"/>
        <v>4452168</v>
      </c>
      <c r="L477" s="1205">
        <f t="shared" si="157"/>
        <v>1080000</v>
      </c>
      <c r="M477" s="1205">
        <f t="shared" si="157"/>
        <v>1750000</v>
      </c>
      <c r="N477" s="1205">
        <f t="shared" si="157"/>
        <v>1350000</v>
      </c>
      <c r="O477" s="1205">
        <f t="shared" si="157"/>
        <v>900000</v>
      </c>
      <c r="P477" s="1205">
        <f t="shared" si="157"/>
        <v>470000</v>
      </c>
    </row>
    <row r="478" spans="1:16" s="324" customFormat="1" ht="21" customHeight="1">
      <c r="A478" s="786"/>
      <c r="B478" s="787">
        <v>92601</v>
      </c>
      <c r="C478" s="788" t="s">
        <v>1046</v>
      </c>
      <c r="D478" s="664">
        <f t="shared" si="147"/>
        <v>200000</v>
      </c>
      <c r="E478" s="664"/>
      <c r="F478" s="664"/>
      <c r="G478" s="664"/>
      <c r="H478" s="664"/>
      <c r="I478" s="664"/>
      <c r="J478" s="664"/>
      <c r="K478" s="664">
        <v>150000</v>
      </c>
      <c r="L478" s="664"/>
      <c r="M478" s="664">
        <f>500000-450000</f>
        <v>50000</v>
      </c>
      <c r="N478" s="664"/>
      <c r="O478" s="664"/>
      <c r="P478" s="664"/>
    </row>
    <row r="479" spans="1:16" s="324" customFormat="1" ht="21" customHeight="1">
      <c r="A479" s="786"/>
      <c r="B479" s="787">
        <v>92604</v>
      </c>
      <c r="C479" s="788" t="s">
        <v>1047</v>
      </c>
      <c r="D479" s="748">
        <f t="shared" si="147"/>
        <v>9250000</v>
      </c>
      <c r="E479" s="748"/>
      <c r="F479" s="748"/>
      <c r="G479" s="748"/>
      <c r="H479" s="748"/>
      <c r="I479" s="748">
        <f>2160000-1911810-200000</f>
        <v>48190</v>
      </c>
      <c r="J479" s="748">
        <v>263032</v>
      </c>
      <c r="K479" s="748">
        <v>3588778</v>
      </c>
      <c r="L479" s="748">
        <f>1080000-50000</f>
        <v>1030000</v>
      </c>
      <c r="M479" s="748">
        <f>1150000+500000</f>
        <v>1650000</v>
      </c>
      <c r="N479" s="748">
        <f>700000+600000</f>
        <v>1300000</v>
      </c>
      <c r="O479" s="748">
        <f>800000+100000</f>
        <v>900000</v>
      </c>
      <c r="P479" s="748">
        <v>470000</v>
      </c>
    </row>
    <row r="480" spans="1:16" s="324" customFormat="1" ht="21" customHeight="1">
      <c r="A480" s="787"/>
      <c r="B480" s="787">
        <v>92605</v>
      </c>
      <c r="C480" s="788" t="s">
        <v>402</v>
      </c>
      <c r="D480" s="748">
        <f t="shared" si="147"/>
        <v>900000</v>
      </c>
      <c r="E480" s="748">
        <v>24400</v>
      </c>
      <c r="F480" s="748"/>
      <c r="G480" s="748">
        <v>6110</v>
      </c>
      <c r="H480" s="748">
        <v>6100</v>
      </c>
      <c r="I480" s="748"/>
      <c r="J480" s="748"/>
      <c r="K480" s="748">
        <v>713390</v>
      </c>
      <c r="L480" s="748">
        <v>50000</v>
      </c>
      <c r="M480" s="748">
        <v>50000</v>
      </c>
      <c r="N480" s="748">
        <v>50000</v>
      </c>
      <c r="O480" s="748"/>
      <c r="P480" s="748"/>
    </row>
    <row r="481" spans="1:16" s="324" customFormat="1" ht="33.75" customHeight="1" thickBot="1">
      <c r="A481" s="787"/>
      <c r="B481" s="787"/>
      <c r="C481" s="739" t="s">
        <v>1041</v>
      </c>
      <c r="D481" s="725">
        <f t="shared" si="147"/>
        <v>318000</v>
      </c>
      <c r="E481" s="725"/>
      <c r="F481" s="725"/>
      <c r="G481" s="725"/>
      <c r="H481" s="725"/>
      <c r="I481" s="725"/>
      <c r="J481" s="725"/>
      <c r="K481" s="725"/>
      <c r="L481" s="725"/>
      <c r="M481" s="725"/>
      <c r="N481" s="725">
        <f>N482</f>
        <v>105500</v>
      </c>
      <c r="O481" s="725">
        <f>O482</f>
        <v>212500</v>
      </c>
      <c r="P481" s="725"/>
    </row>
    <row r="482" spans="1:16" s="324" customFormat="1" ht="21.75" customHeight="1" thickTop="1">
      <c r="A482" s="1197">
        <v>900</v>
      </c>
      <c r="B482" s="1197"/>
      <c r="C482" s="801" t="s">
        <v>433</v>
      </c>
      <c r="D482" s="1198">
        <f t="shared" si="147"/>
        <v>318000</v>
      </c>
      <c r="E482" s="1198"/>
      <c r="F482" s="1198"/>
      <c r="G482" s="1198"/>
      <c r="H482" s="1198"/>
      <c r="I482" s="1198"/>
      <c r="J482" s="1198"/>
      <c r="K482" s="1198"/>
      <c r="L482" s="1198"/>
      <c r="M482" s="1198"/>
      <c r="N482" s="1198">
        <f>N483+N484</f>
        <v>105500</v>
      </c>
      <c r="O482" s="1198">
        <f>O483+O484</f>
        <v>212500</v>
      </c>
      <c r="P482" s="1198"/>
    </row>
    <row r="483" spans="1:16" s="324" customFormat="1" ht="21.75" customHeight="1">
      <c r="A483" s="786"/>
      <c r="B483" s="787">
        <v>90002</v>
      </c>
      <c r="C483" s="653" t="s">
        <v>176</v>
      </c>
      <c r="D483" s="664">
        <f t="shared" si="147"/>
        <v>35500</v>
      </c>
      <c r="E483" s="664"/>
      <c r="F483" s="664"/>
      <c r="G483" s="664"/>
      <c r="H483" s="664"/>
      <c r="I483" s="664"/>
      <c r="J483" s="664"/>
      <c r="K483" s="664"/>
      <c r="L483" s="664"/>
      <c r="M483" s="664"/>
      <c r="N483" s="664">
        <v>25500</v>
      </c>
      <c r="O483" s="664">
        <v>10000</v>
      </c>
      <c r="P483" s="664"/>
    </row>
    <row r="484" spans="1:16" s="324" customFormat="1" ht="21.75" customHeight="1">
      <c r="A484" s="786"/>
      <c r="B484" s="1146">
        <v>90095</v>
      </c>
      <c r="C484" s="668" t="s">
        <v>100</v>
      </c>
      <c r="D484" s="748">
        <f t="shared" si="147"/>
        <v>282500</v>
      </c>
      <c r="E484" s="748"/>
      <c r="F484" s="748"/>
      <c r="G484" s="748"/>
      <c r="H484" s="748"/>
      <c r="I484" s="748"/>
      <c r="J484" s="748"/>
      <c r="K484" s="748"/>
      <c r="L484" s="748"/>
      <c r="M484" s="748"/>
      <c r="N484" s="748">
        <v>80000</v>
      </c>
      <c r="O484" s="748">
        <v>202500</v>
      </c>
      <c r="P484" s="748"/>
    </row>
    <row r="485" spans="1:16" s="324" customFormat="1" ht="47.25" customHeight="1" thickBot="1">
      <c r="A485" s="787"/>
      <c r="B485" s="787"/>
      <c r="C485" s="739" t="s">
        <v>1021</v>
      </c>
      <c r="D485" s="725">
        <f t="shared" si="147"/>
        <v>300000</v>
      </c>
      <c r="E485" s="725"/>
      <c r="F485" s="725"/>
      <c r="G485" s="725"/>
      <c r="H485" s="725"/>
      <c r="I485" s="725"/>
      <c r="J485" s="725"/>
      <c r="K485" s="725"/>
      <c r="L485" s="725"/>
      <c r="M485" s="725"/>
      <c r="N485" s="725"/>
      <c r="O485" s="725">
        <f>O486</f>
        <v>150000</v>
      </c>
      <c r="P485" s="725">
        <f>P486</f>
        <v>150000</v>
      </c>
    </row>
    <row r="486" spans="1:16" s="324" customFormat="1" ht="21.75" customHeight="1" thickTop="1">
      <c r="A486" s="1197">
        <v>700</v>
      </c>
      <c r="B486" s="1197"/>
      <c r="C486" s="801" t="s">
        <v>433</v>
      </c>
      <c r="D486" s="1198">
        <f t="shared" si="147"/>
        <v>300000</v>
      </c>
      <c r="E486" s="1198"/>
      <c r="F486" s="1198"/>
      <c r="G486" s="1198"/>
      <c r="H486" s="1198"/>
      <c r="I486" s="1198"/>
      <c r="J486" s="1198"/>
      <c r="K486" s="1198"/>
      <c r="L486" s="1198"/>
      <c r="M486" s="1198"/>
      <c r="N486" s="1198"/>
      <c r="O486" s="1198">
        <f>O487</f>
        <v>150000</v>
      </c>
      <c r="P486" s="1198">
        <f>P487</f>
        <v>150000</v>
      </c>
    </row>
    <row r="487" spans="1:16" s="324" customFormat="1" ht="21.75" customHeight="1">
      <c r="A487" s="786"/>
      <c r="B487" s="787">
        <v>70005</v>
      </c>
      <c r="C487" s="653" t="s">
        <v>958</v>
      </c>
      <c r="D487" s="664">
        <f t="shared" si="147"/>
        <v>300000</v>
      </c>
      <c r="E487" s="664"/>
      <c r="F487" s="664"/>
      <c r="G487" s="664"/>
      <c r="H487" s="664"/>
      <c r="I487" s="664"/>
      <c r="J487" s="664"/>
      <c r="K487" s="664"/>
      <c r="L487" s="664"/>
      <c r="M487" s="664"/>
      <c r="N487" s="664"/>
      <c r="O487" s="664">
        <v>150000</v>
      </c>
      <c r="P487" s="664">
        <v>150000</v>
      </c>
    </row>
    <row r="488" spans="1:16" s="324" customFormat="1" ht="27.75" customHeight="1">
      <c r="A488" s="786"/>
      <c r="B488" s="786"/>
      <c r="C488" s="640" t="s">
        <v>920</v>
      </c>
      <c r="D488" s="1190">
        <f t="shared" si="133"/>
        <v>-50000</v>
      </c>
      <c r="E488" s="1190"/>
      <c r="F488" s="1190">
        <f>F489</f>
        <v>-50000</v>
      </c>
      <c r="G488" s="1190"/>
      <c r="H488" s="1190"/>
      <c r="I488" s="1190"/>
      <c r="J488" s="1190"/>
      <c r="K488" s="1190"/>
      <c r="L488" s="1190"/>
      <c r="M488" s="1190"/>
      <c r="N488" s="1190"/>
      <c r="O488" s="1190"/>
      <c r="P488" s="1190"/>
    </row>
    <row r="489" spans="1:16" s="324" customFormat="1" ht="21" customHeight="1" thickBot="1">
      <c r="A489" s="787"/>
      <c r="B489" s="787"/>
      <c r="C489" s="739" t="s">
        <v>646</v>
      </c>
      <c r="D489" s="1175">
        <f t="shared" si="133"/>
        <v>-50000</v>
      </c>
      <c r="E489" s="1175"/>
      <c r="F489" s="1175">
        <f>F490</f>
        <v>-50000</v>
      </c>
      <c r="G489" s="1175"/>
      <c r="H489" s="1175"/>
      <c r="I489" s="1175"/>
      <c r="J489" s="1175"/>
      <c r="K489" s="1175"/>
      <c r="L489" s="1175"/>
      <c r="M489" s="1175"/>
      <c r="N489" s="1175"/>
      <c r="O489" s="1175"/>
      <c r="P489" s="1175"/>
    </row>
    <row r="490" spans="1:16" s="324" customFormat="1" ht="22.5" customHeight="1" thickTop="1">
      <c r="A490" s="1203">
        <v>750</v>
      </c>
      <c r="B490" s="1203"/>
      <c r="C490" s="801" t="s">
        <v>439</v>
      </c>
      <c r="D490" s="1198">
        <f t="shared" si="133"/>
        <v>-50000</v>
      </c>
      <c r="E490" s="1198"/>
      <c r="F490" s="1198">
        <f>F491</f>
        <v>-50000</v>
      </c>
      <c r="G490" s="1198"/>
      <c r="H490" s="1198"/>
      <c r="I490" s="1198"/>
      <c r="J490" s="1198"/>
      <c r="K490" s="1198"/>
      <c r="L490" s="1198"/>
      <c r="M490" s="1198"/>
      <c r="N490" s="1198"/>
      <c r="O490" s="1198"/>
      <c r="P490" s="1198"/>
    </row>
    <row r="491" spans="1:16" s="324" customFormat="1" ht="22.5" customHeight="1">
      <c r="A491" s="786"/>
      <c r="B491" s="787">
        <v>75075</v>
      </c>
      <c r="C491" s="653" t="s">
        <v>993</v>
      </c>
      <c r="D491" s="664">
        <f t="shared" si="133"/>
        <v>-50000</v>
      </c>
      <c r="E491" s="664"/>
      <c r="F491" s="664">
        <v>-50000</v>
      </c>
      <c r="G491" s="664"/>
      <c r="H491" s="664"/>
      <c r="I491" s="664"/>
      <c r="J491" s="664"/>
      <c r="K491" s="664"/>
      <c r="L491" s="664"/>
      <c r="M491" s="664"/>
      <c r="N491" s="664"/>
      <c r="O491" s="664"/>
      <c r="P491" s="664"/>
    </row>
    <row r="492" spans="1:16" s="324" customFormat="1" ht="27.75" customHeight="1">
      <c r="A492" s="786"/>
      <c r="B492" s="786"/>
      <c r="C492" s="640" t="s">
        <v>921</v>
      </c>
      <c r="D492" s="1190">
        <f t="shared" si="133"/>
        <v>50000</v>
      </c>
      <c r="E492" s="1190"/>
      <c r="F492" s="1190"/>
      <c r="G492" s="1190"/>
      <c r="H492" s="1190"/>
      <c r="I492" s="1190"/>
      <c r="J492" s="1190"/>
      <c r="K492" s="1190">
        <f aca="true" t="shared" si="158" ref="K492:P494">K493</f>
        <v>8000</v>
      </c>
      <c r="L492" s="1190">
        <f t="shared" si="158"/>
        <v>8400</v>
      </c>
      <c r="M492" s="1190">
        <f t="shared" si="158"/>
        <v>8400</v>
      </c>
      <c r="N492" s="1190">
        <f t="shared" si="158"/>
        <v>8400</v>
      </c>
      <c r="O492" s="1190">
        <f t="shared" si="158"/>
        <v>8400</v>
      </c>
      <c r="P492" s="1190">
        <f t="shared" si="158"/>
        <v>8400</v>
      </c>
    </row>
    <row r="493" spans="1:16" s="324" customFormat="1" ht="21" customHeight="1" thickBot="1">
      <c r="A493" s="787"/>
      <c r="B493" s="787"/>
      <c r="C493" s="739" t="s">
        <v>646</v>
      </c>
      <c r="D493" s="1175">
        <f t="shared" si="133"/>
        <v>50000</v>
      </c>
      <c r="E493" s="1175"/>
      <c r="F493" s="1175"/>
      <c r="G493" s="1175"/>
      <c r="H493" s="1175"/>
      <c r="I493" s="1175"/>
      <c r="J493" s="1175"/>
      <c r="K493" s="1175">
        <f t="shared" si="158"/>
        <v>8000</v>
      </c>
      <c r="L493" s="1175">
        <f t="shared" si="158"/>
        <v>8400</v>
      </c>
      <c r="M493" s="1175">
        <f t="shared" si="158"/>
        <v>8400</v>
      </c>
      <c r="N493" s="1175">
        <f t="shared" si="158"/>
        <v>8400</v>
      </c>
      <c r="O493" s="1175">
        <f t="shared" si="158"/>
        <v>8400</v>
      </c>
      <c r="P493" s="1175">
        <f t="shared" si="158"/>
        <v>8400</v>
      </c>
    </row>
    <row r="494" spans="1:16" s="324" customFormat="1" ht="22.5" customHeight="1" thickTop="1">
      <c r="A494" s="1203">
        <v>750</v>
      </c>
      <c r="B494" s="1203"/>
      <c r="C494" s="801" t="s">
        <v>439</v>
      </c>
      <c r="D494" s="1198">
        <f t="shared" si="133"/>
        <v>50000</v>
      </c>
      <c r="E494" s="1198"/>
      <c r="F494" s="1198"/>
      <c r="G494" s="1198"/>
      <c r="H494" s="1198"/>
      <c r="I494" s="1198"/>
      <c r="J494" s="1198"/>
      <c r="K494" s="1198">
        <f t="shared" si="158"/>
        <v>8000</v>
      </c>
      <c r="L494" s="1198">
        <f t="shared" si="158"/>
        <v>8400</v>
      </c>
      <c r="M494" s="1198">
        <f t="shared" si="158"/>
        <v>8400</v>
      </c>
      <c r="N494" s="1198">
        <f t="shared" si="158"/>
        <v>8400</v>
      </c>
      <c r="O494" s="1198">
        <f t="shared" si="158"/>
        <v>8400</v>
      </c>
      <c r="P494" s="1198">
        <f t="shared" si="158"/>
        <v>8400</v>
      </c>
    </row>
    <row r="495" spans="1:16" s="324" customFormat="1" ht="22.5" customHeight="1">
      <c r="A495" s="787"/>
      <c r="B495" s="787">
        <v>75075</v>
      </c>
      <c r="C495" s="653" t="s">
        <v>993</v>
      </c>
      <c r="D495" s="664">
        <f t="shared" si="133"/>
        <v>50000</v>
      </c>
      <c r="E495" s="664"/>
      <c r="F495" s="664"/>
      <c r="G495" s="664"/>
      <c r="H495" s="664"/>
      <c r="I495" s="664"/>
      <c r="J495" s="664"/>
      <c r="K495" s="664">
        <v>8000</v>
      </c>
      <c r="L495" s="664">
        <v>8400</v>
      </c>
      <c r="M495" s="664">
        <v>8400</v>
      </c>
      <c r="N495" s="664">
        <v>8400</v>
      </c>
      <c r="O495" s="664">
        <v>8400</v>
      </c>
      <c r="P495" s="664">
        <v>8400</v>
      </c>
    </row>
    <row r="496" spans="1:34" s="1196" customFormat="1" ht="29.25" customHeight="1">
      <c r="A496" s="611"/>
      <c r="B496" s="611"/>
      <c r="C496" s="61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643"/>
      <c r="R496" s="643"/>
      <c r="S496" s="643"/>
      <c r="T496" s="643"/>
      <c r="U496" s="643"/>
      <c r="V496" s="643"/>
      <c r="W496" s="643"/>
      <c r="X496" s="643"/>
      <c r="Y496" s="643"/>
      <c r="Z496" s="643"/>
      <c r="AA496" s="643"/>
      <c r="AB496" s="643"/>
      <c r="AC496" s="643"/>
      <c r="AD496" s="643"/>
      <c r="AE496" s="643"/>
      <c r="AF496" s="643"/>
      <c r="AG496" s="643"/>
      <c r="AH496" s="643"/>
    </row>
    <row r="497" spans="1:34" s="1196" customFormat="1" ht="23.25" customHeight="1">
      <c r="A497" s="611"/>
      <c r="B497" s="611"/>
      <c r="C497" s="61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643"/>
      <c r="R497" s="643"/>
      <c r="S497" s="643"/>
      <c r="T497" s="643"/>
      <c r="U497" s="643"/>
      <c r="V497" s="643"/>
      <c r="W497" s="643"/>
      <c r="X497" s="643"/>
      <c r="Y497" s="643"/>
      <c r="Z497" s="643"/>
      <c r="AA497" s="643"/>
      <c r="AB497" s="643"/>
      <c r="AC497" s="643"/>
      <c r="AD497" s="643"/>
      <c r="AE497" s="643"/>
      <c r="AF497" s="643"/>
      <c r="AG497" s="643"/>
      <c r="AH497" s="643"/>
    </row>
    <row r="498" spans="3:13" s="141" customFormat="1" ht="12.75">
      <c r="C498" s="141" t="s">
        <v>781</v>
      </c>
      <c r="E498" s="1"/>
      <c r="G498" s="1"/>
      <c r="H498" s="1"/>
      <c r="M498" s="1" t="s">
        <v>783</v>
      </c>
    </row>
    <row r="499" spans="3:13" s="141" customFormat="1" ht="12.75">
      <c r="C499" s="174" t="s">
        <v>782</v>
      </c>
      <c r="E499" s="1"/>
      <c r="G499" s="1"/>
      <c r="H499" s="1"/>
      <c r="M499" s="1" t="s">
        <v>784</v>
      </c>
    </row>
    <row r="500" spans="1:34" s="1196" customFormat="1" ht="30" customHeight="1">
      <c r="A500" s="611"/>
      <c r="B500" s="611"/>
      <c r="C500" s="61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643"/>
      <c r="R500" s="643"/>
      <c r="S500" s="643"/>
      <c r="T500" s="643"/>
      <c r="U500" s="643"/>
      <c r="V500" s="643"/>
      <c r="W500" s="643"/>
      <c r="X500" s="643"/>
      <c r="Y500" s="643"/>
      <c r="Z500" s="643"/>
      <c r="AA500" s="643"/>
      <c r="AB500" s="643"/>
      <c r="AC500" s="643"/>
      <c r="AD500" s="643"/>
      <c r="AE500" s="643"/>
      <c r="AF500" s="643"/>
      <c r="AG500" s="643"/>
      <c r="AH500" s="643"/>
    </row>
    <row r="501" spans="1:34" s="1196" customFormat="1" ht="30" customHeight="1">
      <c r="A501" s="611"/>
      <c r="B501" s="611"/>
      <c r="C501" s="61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643"/>
      <c r="R501" s="643"/>
      <c r="S501" s="643"/>
      <c r="T501" s="643"/>
      <c r="U501" s="643"/>
      <c r="V501" s="643"/>
      <c r="W501" s="643"/>
      <c r="X501" s="643"/>
      <c r="Y501" s="643"/>
      <c r="Z501" s="643"/>
      <c r="AA501" s="643"/>
      <c r="AB501" s="643"/>
      <c r="AC501" s="643"/>
      <c r="AD501" s="643"/>
      <c r="AE501" s="643"/>
      <c r="AF501" s="643"/>
      <c r="AG501" s="643"/>
      <c r="AH501" s="643"/>
    </row>
    <row r="502" spans="1:34" s="1196" customFormat="1" ht="31.5" customHeight="1">
      <c r="A502" s="611"/>
      <c r="B502" s="611"/>
      <c r="C502" s="61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643"/>
      <c r="R502" s="643"/>
      <c r="S502" s="643"/>
      <c r="T502" s="643"/>
      <c r="U502" s="643"/>
      <c r="V502" s="643"/>
      <c r="W502" s="643"/>
      <c r="X502" s="643"/>
      <c r="Y502" s="643"/>
      <c r="Z502" s="643"/>
      <c r="AA502" s="643"/>
      <c r="AB502" s="643"/>
      <c r="AC502" s="643"/>
      <c r="AD502" s="643"/>
      <c r="AE502" s="643"/>
      <c r="AF502" s="643"/>
      <c r="AG502" s="643"/>
      <c r="AH502" s="643"/>
    </row>
    <row r="503" spans="1:34" s="1196" customFormat="1" ht="33.75" customHeight="1">
      <c r="A503" s="611"/>
      <c r="B503" s="611"/>
      <c r="C503" s="61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643"/>
      <c r="R503" s="643"/>
      <c r="S503" s="643"/>
      <c r="T503" s="643"/>
      <c r="U503" s="643"/>
      <c r="V503" s="643"/>
      <c r="W503" s="643"/>
      <c r="X503" s="643"/>
      <c r="Y503" s="643"/>
      <c r="Z503" s="643"/>
      <c r="AA503" s="643"/>
      <c r="AB503" s="643"/>
      <c r="AC503" s="643"/>
      <c r="AD503" s="643"/>
      <c r="AE503" s="643"/>
      <c r="AF503" s="643"/>
      <c r="AG503" s="643"/>
      <c r="AH503" s="643"/>
    </row>
    <row r="504" spans="1:34" s="1196" customFormat="1" ht="30" customHeight="1">
      <c r="A504" s="611"/>
      <c r="B504" s="611"/>
      <c r="C504" s="61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643"/>
      <c r="R504" s="643"/>
      <c r="S504" s="643"/>
      <c r="T504" s="643"/>
      <c r="U504" s="643"/>
      <c r="V504" s="643"/>
      <c r="W504" s="643"/>
      <c r="X504" s="643"/>
      <c r="Y504" s="643"/>
      <c r="Z504" s="643"/>
      <c r="AA504" s="643"/>
      <c r="AB504" s="643"/>
      <c r="AC504" s="643"/>
      <c r="AD504" s="643"/>
      <c r="AE504" s="643"/>
      <c r="AF504" s="643"/>
      <c r="AG504" s="643"/>
      <c r="AH504" s="643"/>
    </row>
    <row r="505" spans="1:34" s="1196" customFormat="1" ht="30" customHeight="1">
      <c r="A505" s="611"/>
      <c r="B505" s="611"/>
      <c r="C505" s="61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643"/>
      <c r="R505" s="643"/>
      <c r="S505" s="643"/>
      <c r="T505" s="643"/>
      <c r="U505" s="643"/>
      <c r="V505" s="643"/>
      <c r="W505" s="643"/>
      <c r="X505" s="643"/>
      <c r="Y505" s="643"/>
      <c r="Z505" s="643"/>
      <c r="AA505" s="643"/>
      <c r="AB505" s="643"/>
      <c r="AC505" s="643"/>
      <c r="AD505" s="643"/>
      <c r="AE505" s="643"/>
      <c r="AF505" s="643"/>
      <c r="AG505" s="643"/>
      <c r="AH505" s="643"/>
    </row>
    <row r="506" spans="1:16" s="643" customFormat="1" ht="33.75" customHeight="1">
      <c r="A506" s="611"/>
      <c r="B506" s="611"/>
      <c r="C506" s="610"/>
      <c r="D506" s="246"/>
      <c r="E506" s="246"/>
      <c r="F506" s="246"/>
      <c r="G506" s="246"/>
      <c r="H506" s="246"/>
      <c r="I506" s="246"/>
      <c r="J506" s="246"/>
      <c r="K506" s="246"/>
      <c r="L506" s="246"/>
      <c r="M506" s="246"/>
      <c r="N506" s="246"/>
      <c r="O506" s="246"/>
      <c r="P506" s="246"/>
    </row>
    <row r="507" spans="1:16" s="643" customFormat="1" ht="30" customHeight="1">
      <c r="A507" s="611"/>
      <c r="B507" s="611"/>
      <c r="C507" s="610"/>
      <c r="D507" s="246"/>
      <c r="E507" s="246"/>
      <c r="F507" s="246"/>
      <c r="G507" s="246"/>
      <c r="H507" s="246"/>
      <c r="I507" s="246"/>
      <c r="J507" s="246"/>
      <c r="K507" s="246"/>
      <c r="L507" s="246"/>
      <c r="M507" s="246"/>
      <c r="N507" s="246"/>
      <c r="O507" s="246"/>
      <c r="P507" s="246"/>
    </row>
    <row r="508" spans="1:16" s="643" customFormat="1" ht="39.75" customHeight="1">
      <c r="A508" s="611"/>
      <c r="B508" s="611"/>
      <c r="C508" s="610"/>
      <c r="D508" s="246"/>
      <c r="E508" s="246"/>
      <c r="F508" s="246"/>
      <c r="G508" s="246"/>
      <c r="H508" s="246"/>
      <c r="I508" s="246"/>
      <c r="J508" s="246"/>
      <c r="K508" s="246"/>
      <c r="L508" s="246"/>
      <c r="M508" s="246"/>
      <c r="N508" s="246"/>
      <c r="O508" s="246"/>
      <c r="P508" s="246"/>
    </row>
    <row r="509" spans="1:16" s="643" customFormat="1" ht="47.25" customHeight="1">
      <c r="A509" s="611"/>
      <c r="B509" s="611"/>
      <c r="C509" s="610"/>
      <c r="D509" s="246"/>
      <c r="E509" s="246"/>
      <c r="F509" s="246"/>
      <c r="G509" s="246"/>
      <c r="H509" s="246"/>
      <c r="I509" s="246"/>
      <c r="J509" s="246"/>
      <c r="K509" s="246"/>
      <c r="L509" s="246"/>
      <c r="M509" s="246"/>
      <c r="N509" s="246"/>
      <c r="O509" s="246"/>
      <c r="P509" s="246"/>
    </row>
    <row r="510" spans="1:16" s="643" customFormat="1" ht="35.25" customHeight="1">
      <c r="A510" s="611"/>
      <c r="B510" s="611"/>
      <c r="C510" s="610"/>
      <c r="D510" s="246"/>
      <c r="E510" s="246"/>
      <c r="F510" s="246"/>
      <c r="G510" s="246"/>
      <c r="H510" s="246"/>
      <c r="I510" s="246"/>
      <c r="J510" s="246"/>
      <c r="K510" s="246"/>
      <c r="L510" s="246"/>
      <c r="M510" s="246"/>
      <c r="N510" s="246"/>
      <c r="O510" s="246"/>
      <c r="P510" s="246"/>
    </row>
    <row r="511" spans="1:16" s="643" customFormat="1" ht="35.25" customHeight="1">
      <c r="A511" s="611"/>
      <c r="B511" s="611"/>
      <c r="C511" s="610"/>
      <c r="D511" s="246"/>
      <c r="E511" s="246"/>
      <c r="F511" s="246"/>
      <c r="G511" s="246"/>
      <c r="H511" s="246"/>
      <c r="I511" s="246"/>
      <c r="J511" s="246"/>
      <c r="K511" s="246"/>
      <c r="L511" s="246"/>
      <c r="M511" s="246"/>
      <c r="N511" s="246"/>
      <c r="O511" s="246"/>
      <c r="P511" s="246"/>
    </row>
    <row r="512" spans="1:16" s="643" customFormat="1" ht="30" customHeight="1">
      <c r="A512" s="611"/>
      <c r="B512" s="611"/>
      <c r="C512" s="610"/>
      <c r="D512" s="246"/>
      <c r="E512" s="246"/>
      <c r="F512" s="246"/>
      <c r="G512" s="246"/>
      <c r="H512" s="246"/>
      <c r="I512" s="246"/>
      <c r="J512" s="246"/>
      <c r="K512" s="246"/>
      <c r="L512" s="246"/>
      <c r="M512" s="246"/>
      <c r="N512" s="246"/>
      <c r="O512" s="246"/>
      <c r="P512" s="246"/>
    </row>
    <row r="513" spans="1:16" s="643" customFormat="1" ht="30" customHeight="1">
      <c r="A513" s="611"/>
      <c r="B513" s="611"/>
      <c r="C513" s="610"/>
      <c r="D513" s="246"/>
      <c r="E513" s="246"/>
      <c r="F513" s="246"/>
      <c r="G513" s="246"/>
      <c r="H513" s="246"/>
      <c r="I513" s="246"/>
      <c r="J513" s="246"/>
      <c r="K513" s="246"/>
      <c r="L513" s="246"/>
      <c r="M513" s="246"/>
      <c r="N513" s="246"/>
      <c r="O513" s="246"/>
      <c r="P513" s="246"/>
    </row>
    <row r="514" spans="1:16" s="643" customFormat="1" ht="30" customHeight="1">
      <c r="A514" s="611"/>
      <c r="B514" s="611"/>
      <c r="C514" s="610"/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6"/>
      <c r="P514" s="246"/>
    </row>
    <row r="515" spans="1:16" s="643" customFormat="1" ht="30" customHeight="1">
      <c r="A515" s="611"/>
      <c r="B515" s="611"/>
      <c r="C515" s="610"/>
      <c r="D515" s="246"/>
      <c r="E515" s="246"/>
      <c r="F515" s="246"/>
      <c r="G515" s="246"/>
      <c r="H515" s="246"/>
      <c r="I515" s="246"/>
      <c r="J515" s="246"/>
      <c r="K515" s="246"/>
      <c r="L515" s="246"/>
      <c r="M515" s="246"/>
      <c r="N515" s="246"/>
      <c r="O515" s="246"/>
      <c r="P515" s="246"/>
    </row>
    <row r="516" spans="1:16" s="643" customFormat="1" ht="30" customHeight="1">
      <c r="A516" s="611"/>
      <c r="B516" s="611"/>
      <c r="C516" s="610"/>
      <c r="D516" s="246"/>
      <c r="E516" s="246"/>
      <c r="F516" s="246"/>
      <c r="G516" s="246"/>
      <c r="H516" s="246"/>
      <c r="I516" s="246"/>
      <c r="J516" s="246"/>
      <c r="K516" s="246"/>
      <c r="L516" s="246"/>
      <c r="M516" s="246"/>
      <c r="N516" s="246"/>
      <c r="O516" s="246"/>
      <c r="P516" s="246"/>
    </row>
    <row r="517" spans="1:16" s="643" customFormat="1" ht="30" customHeight="1">
      <c r="A517" s="611"/>
      <c r="B517" s="611"/>
      <c r="C517" s="610"/>
      <c r="D517" s="246"/>
      <c r="E517" s="246"/>
      <c r="F517" s="246"/>
      <c r="G517" s="246"/>
      <c r="H517" s="246"/>
      <c r="I517" s="246"/>
      <c r="J517" s="246"/>
      <c r="K517" s="246"/>
      <c r="L517" s="246"/>
      <c r="M517" s="246"/>
      <c r="N517" s="246"/>
      <c r="O517" s="246"/>
      <c r="P517" s="246"/>
    </row>
    <row r="518" spans="1:16" s="643" customFormat="1" ht="30" customHeight="1">
      <c r="A518" s="611"/>
      <c r="B518" s="611"/>
      <c r="C518" s="610"/>
      <c r="D518" s="246"/>
      <c r="E518" s="246"/>
      <c r="F518" s="246"/>
      <c r="G518" s="246"/>
      <c r="H518" s="246"/>
      <c r="I518" s="246"/>
      <c r="J518" s="246"/>
      <c r="K518" s="246"/>
      <c r="L518" s="246"/>
      <c r="M518" s="246"/>
      <c r="N518" s="246"/>
      <c r="O518" s="246"/>
      <c r="P518" s="246"/>
    </row>
    <row r="519" spans="1:16" s="643" customFormat="1" ht="30" customHeight="1">
      <c r="A519" s="611"/>
      <c r="B519" s="611"/>
      <c r="C519" s="610"/>
      <c r="D519" s="246"/>
      <c r="E519" s="246"/>
      <c r="F519" s="246"/>
      <c r="G519" s="246"/>
      <c r="H519" s="246"/>
      <c r="I519" s="246"/>
      <c r="J519" s="246"/>
      <c r="K519" s="246"/>
      <c r="L519" s="246"/>
      <c r="M519" s="246"/>
      <c r="N519" s="246"/>
      <c r="O519" s="246"/>
      <c r="P519" s="246"/>
    </row>
    <row r="520" spans="1:16" s="643" customFormat="1" ht="30" customHeight="1">
      <c r="A520" s="611"/>
      <c r="B520" s="611"/>
      <c r="C520" s="610"/>
      <c r="D520" s="246"/>
      <c r="E520" s="246"/>
      <c r="F520" s="246"/>
      <c r="G520" s="246"/>
      <c r="H520" s="246"/>
      <c r="I520" s="246"/>
      <c r="J520" s="246"/>
      <c r="K520" s="246"/>
      <c r="L520" s="246"/>
      <c r="M520" s="246"/>
      <c r="N520" s="246"/>
      <c r="O520" s="246"/>
      <c r="P520" s="246"/>
    </row>
    <row r="521" spans="1:16" s="643" customFormat="1" ht="30" customHeight="1">
      <c r="A521" s="611"/>
      <c r="B521" s="611"/>
      <c r="C521" s="610"/>
      <c r="D521" s="246"/>
      <c r="E521" s="246"/>
      <c r="F521" s="246"/>
      <c r="G521" s="246"/>
      <c r="H521" s="246"/>
      <c r="I521" s="246"/>
      <c r="J521" s="246"/>
      <c r="K521" s="246"/>
      <c r="L521" s="246"/>
      <c r="M521" s="246"/>
      <c r="N521" s="246"/>
      <c r="O521" s="246"/>
      <c r="P521" s="246"/>
    </row>
    <row r="522" spans="1:16" s="643" customFormat="1" ht="30" customHeight="1">
      <c r="A522" s="611"/>
      <c r="B522" s="611"/>
      <c r="C522" s="610"/>
      <c r="D522" s="246"/>
      <c r="E522" s="246"/>
      <c r="F522" s="246"/>
      <c r="G522" s="246"/>
      <c r="H522" s="246"/>
      <c r="I522" s="246"/>
      <c r="J522" s="246"/>
      <c r="K522" s="246"/>
      <c r="L522" s="246"/>
      <c r="M522" s="246"/>
      <c r="N522" s="246"/>
      <c r="O522" s="246"/>
      <c r="P522" s="246"/>
    </row>
    <row r="523" spans="1:16" s="643" customFormat="1" ht="30" customHeight="1">
      <c r="A523" s="611"/>
      <c r="B523" s="611"/>
      <c r="C523" s="610"/>
      <c r="D523" s="246"/>
      <c r="E523" s="246"/>
      <c r="F523" s="246"/>
      <c r="G523" s="246"/>
      <c r="H523" s="246"/>
      <c r="I523" s="246"/>
      <c r="J523" s="246"/>
      <c r="K523" s="246"/>
      <c r="L523" s="246"/>
      <c r="M523" s="246"/>
      <c r="N523" s="246"/>
      <c r="O523" s="246"/>
      <c r="P523" s="246"/>
    </row>
    <row r="524" spans="1:16" s="643" customFormat="1" ht="30" customHeight="1">
      <c r="A524" s="611"/>
      <c r="B524" s="611"/>
      <c r="C524" s="610"/>
      <c r="D524" s="246"/>
      <c r="E524" s="246"/>
      <c r="F524" s="246"/>
      <c r="G524" s="246"/>
      <c r="H524" s="246"/>
      <c r="I524" s="246"/>
      <c r="J524" s="246"/>
      <c r="K524" s="246"/>
      <c r="L524" s="246"/>
      <c r="M524" s="246"/>
      <c r="N524" s="246"/>
      <c r="O524" s="246"/>
      <c r="P524" s="246"/>
    </row>
    <row r="525" spans="1:16" s="643" customFormat="1" ht="30" customHeight="1">
      <c r="A525" s="611"/>
      <c r="B525" s="611"/>
      <c r="C525" s="610"/>
      <c r="D525" s="246"/>
      <c r="E525" s="246"/>
      <c r="F525" s="246"/>
      <c r="G525" s="246"/>
      <c r="H525" s="246"/>
      <c r="I525" s="246"/>
      <c r="J525" s="246"/>
      <c r="K525" s="246"/>
      <c r="L525" s="246"/>
      <c r="M525" s="246"/>
      <c r="N525" s="246"/>
      <c r="O525" s="246"/>
      <c r="P525" s="246"/>
    </row>
    <row r="526" spans="1:16" s="643" customFormat="1" ht="30" customHeight="1">
      <c r="A526" s="611"/>
      <c r="B526" s="611"/>
      <c r="C526" s="610"/>
      <c r="D526" s="246"/>
      <c r="E526" s="246"/>
      <c r="F526" s="246"/>
      <c r="G526" s="246"/>
      <c r="H526" s="246"/>
      <c r="I526" s="246"/>
      <c r="J526" s="246"/>
      <c r="K526" s="246"/>
      <c r="L526" s="246"/>
      <c r="M526" s="246"/>
      <c r="N526" s="246"/>
      <c r="O526" s="246"/>
      <c r="P526" s="246"/>
    </row>
    <row r="527" spans="1:16" s="643" customFormat="1" ht="30" customHeight="1">
      <c r="A527" s="611"/>
      <c r="B527" s="611"/>
      <c r="C527" s="610"/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6"/>
    </row>
    <row r="528" spans="1:16" s="643" customFormat="1" ht="48.75" customHeight="1">
      <c r="A528" s="611"/>
      <c r="B528" s="611"/>
      <c r="C528" s="610"/>
      <c r="D528" s="246"/>
      <c r="E528" s="246"/>
      <c r="F528" s="246"/>
      <c r="G528" s="246"/>
      <c r="H528" s="246"/>
      <c r="I528" s="246"/>
      <c r="J528" s="246"/>
      <c r="K528" s="246"/>
      <c r="L528" s="246"/>
      <c r="M528" s="246"/>
      <c r="N528" s="246"/>
      <c r="O528" s="246"/>
      <c r="P528" s="246"/>
    </row>
    <row r="529" spans="1:16" s="643" customFormat="1" ht="48.75" customHeight="1">
      <c r="A529" s="611"/>
      <c r="B529" s="611"/>
      <c r="C529" s="610"/>
      <c r="D529" s="246"/>
      <c r="E529" s="246"/>
      <c r="F529" s="246"/>
      <c r="G529" s="246"/>
      <c r="H529" s="246"/>
      <c r="I529" s="246"/>
      <c r="J529" s="246"/>
      <c r="K529" s="246"/>
      <c r="L529" s="246"/>
      <c r="M529" s="246"/>
      <c r="N529" s="246"/>
      <c r="O529" s="246"/>
      <c r="P529" s="246"/>
    </row>
    <row r="530" spans="1:16" s="643" customFormat="1" ht="48.75" customHeight="1">
      <c r="A530" s="611"/>
      <c r="B530" s="611"/>
      <c r="C530" s="610"/>
      <c r="D530" s="246"/>
      <c r="E530" s="246"/>
      <c r="F530" s="246"/>
      <c r="G530" s="246"/>
      <c r="H530" s="246"/>
      <c r="I530" s="246"/>
      <c r="J530" s="246"/>
      <c r="K530" s="246"/>
      <c r="L530" s="246"/>
      <c r="M530" s="246"/>
      <c r="N530" s="246"/>
      <c r="O530" s="246"/>
      <c r="P530" s="246"/>
    </row>
    <row r="531" spans="1:16" s="643" customFormat="1" ht="30" customHeight="1">
      <c r="A531" s="611"/>
      <c r="B531" s="611"/>
      <c r="C531" s="610"/>
      <c r="D531" s="246"/>
      <c r="E531" s="246"/>
      <c r="F531" s="246"/>
      <c r="G531" s="246"/>
      <c r="H531" s="246"/>
      <c r="I531" s="246"/>
      <c r="J531" s="246"/>
      <c r="K531" s="246"/>
      <c r="L531" s="246"/>
      <c r="M531" s="246"/>
      <c r="N531" s="246"/>
      <c r="O531" s="246"/>
      <c r="P531" s="246"/>
    </row>
    <row r="532" spans="1:16" s="643" customFormat="1" ht="30" customHeight="1">
      <c r="A532" s="611"/>
      <c r="B532" s="611"/>
      <c r="C532" s="610"/>
      <c r="D532" s="246"/>
      <c r="E532" s="246"/>
      <c r="F532" s="246"/>
      <c r="G532" s="246"/>
      <c r="H532" s="246"/>
      <c r="I532" s="246"/>
      <c r="J532" s="246"/>
      <c r="K532" s="246"/>
      <c r="L532" s="246"/>
      <c r="M532" s="246"/>
      <c r="N532" s="246"/>
      <c r="O532" s="246"/>
      <c r="P532" s="246"/>
    </row>
    <row r="533" spans="1:16" s="643" customFormat="1" ht="30" customHeight="1">
      <c r="A533" s="611"/>
      <c r="B533" s="611"/>
      <c r="C533" s="610"/>
      <c r="D533" s="246"/>
      <c r="E533" s="246"/>
      <c r="F533" s="246"/>
      <c r="G533" s="246"/>
      <c r="H533" s="246"/>
      <c r="I533" s="246"/>
      <c r="J533" s="246"/>
      <c r="K533" s="246"/>
      <c r="L533" s="246"/>
      <c r="M533" s="246"/>
      <c r="N533" s="246"/>
      <c r="O533" s="246"/>
      <c r="P533" s="246"/>
    </row>
    <row r="534" spans="1:16" s="643" customFormat="1" ht="30" customHeight="1">
      <c r="A534" s="611"/>
      <c r="B534" s="611"/>
      <c r="C534" s="610"/>
      <c r="D534" s="246"/>
      <c r="E534" s="246"/>
      <c r="F534" s="246"/>
      <c r="G534" s="246"/>
      <c r="H534" s="246"/>
      <c r="I534" s="246"/>
      <c r="J534" s="246"/>
      <c r="K534" s="246"/>
      <c r="L534" s="246"/>
      <c r="M534" s="246"/>
      <c r="N534" s="246"/>
      <c r="O534" s="246"/>
      <c r="P534" s="246"/>
    </row>
    <row r="535" spans="1:16" s="643" customFormat="1" ht="30" customHeight="1">
      <c r="A535" s="611"/>
      <c r="B535" s="611"/>
      <c r="C535" s="610"/>
      <c r="D535" s="246"/>
      <c r="E535" s="246"/>
      <c r="F535" s="246"/>
      <c r="G535" s="246"/>
      <c r="H535" s="246"/>
      <c r="I535" s="246"/>
      <c r="J535" s="246"/>
      <c r="K535" s="246"/>
      <c r="L535" s="246"/>
      <c r="M535" s="246"/>
      <c r="N535" s="246"/>
      <c r="O535" s="246"/>
      <c r="P535" s="246"/>
    </row>
    <row r="536" spans="1:16" s="643" customFormat="1" ht="30" customHeight="1">
      <c r="A536" s="611"/>
      <c r="B536" s="611"/>
      <c r="C536" s="610"/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6"/>
      <c r="P536" s="246"/>
    </row>
    <row r="537" spans="1:16" s="643" customFormat="1" ht="30" customHeight="1">
      <c r="A537" s="611"/>
      <c r="B537" s="611"/>
      <c r="C537" s="610"/>
      <c r="D537" s="612"/>
      <c r="E537" s="612"/>
      <c r="F537" s="612"/>
      <c r="G537" s="612"/>
      <c r="H537" s="612"/>
      <c r="I537" s="612"/>
      <c r="J537" s="612"/>
      <c r="K537" s="612"/>
      <c r="L537" s="612"/>
      <c r="M537" s="612"/>
      <c r="N537" s="612"/>
      <c r="O537" s="612"/>
      <c r="P537" s="612"/>
    </row>
    <row r="538" spans="1:16" s="643" customFormat="1" ht="30" customHeight="1">
      <c r="A538" s="611"/>
      <c r="B538" s="611"/>
      <c r="C538" s="610"/>
      <c r="D538" s="612"/>
      <c r="E538" s="612"/>
      <c r="F538" s="612"/>
      <c r="G538" s="612"/>
      <c r="H538" s="612"/>
      <c r="I538" s="612"/>
      <c r="J538" s="612"/>
      <c r="K538" s="612"/>
      <c r="L538" s="612"/>
      <c r="M538" s="612"/>
      <c r="N538" s="612"/>
      <c r="O538" s="612"/>
      <c r="P538" s="612"/>
    </row>
    <row r="539" spans="1:16" s="643" customFormat="1" ht="30" customHeight="1">
      <c r="A539" s="611"/>
      <c r="B539" s="611"/>
      <c r="C539" s="610"/>
      <c r="D539" s="612"/>
      <c r="E539" s="612"/>
      <c r="F539" s="612"/>
      <c r="G539" s="612"/>
      <c r="H539" s="612"/>
      <c r="I539" s="612"/>
      <c r="J539" s="612"/>
      <c r="K539" s="612"/>
      <c r="L539" s="612"/>
      <c r="M539" s="612"/>
      <c r="N539" s="612"/>
      <c r="O539" s="612"/>
      <c r="P539" s="612"/>
    </row>
    <row r="540" spans="1:16" s="643" customFormat="1" ht="30" customHeight="1">
      <c r="A540" s="611"/>
      <c r="B540" s="611"/>
      <c r="C540" s="610"/>
      <c r="D540" s="612"/>
      <c r="E540" s="612"/>
      <c r="F540" s="612"/>
      <c r="G540" s="612"/>
      <c r="H540" s="612"/>
      <c r="I540" s="612"/>
      <c r="J540" s="612"/>
      <c r="K540" s="612"/>
      <c r="L540" s="612"/>
      <c r="M540" s="612"/>
      <c r="N540" s="612"/>
      <c r="O540" s="612"/>
      <c r="P540" s="612"/>
    </row>
    <row r="541" spans="1:16" s="643" customFormat="1" ht="30" customHeight="1">
      <c r="A541" s="611"/>
      <c r="B541" s="611"/>
      <c r="C541" s="610"/>
      <c r="D541" s="612"/>
      <c r="E541" s="612"/>
      <c r="F541" s="612"/>
      <c r="G541" s="612"/>
      <c r="H541" s="612"/>
      <c r="I541" s="612"/>
      <c r="J541" s="612"/>
      <c r="K541" s="612"/>
      <c r="L541" s="612"/>
      <c r="M541" s="612"/>
      <c r="N541" s="612"/>
      <c r="O541" s="612"/>
      <c r="P541" s="612"/>
    </row>
    <row r="542" spans="1:16" s="643" customFormat="1" ht="30" customHeight="1">
      <c r="A542" s="611"/>
      <c r="B542" s="611"/>
      <c r="C542" s="610"/>
      <c r="D542" s="612"/>
      <c r="E542" s="612"/>
      <c r="F542" s="612"/>
      <c r="G542" s="612"/>
      <c r="H542" s="612"/>
      <c r="I542" s="612"/>
      <c r="J542" s="612"/>
      <c r="K542" s="612"/>
      <c r="L542" s="612"/>
      <c r="M542" s="612"/>
      <c r="N542" s="612"/>
      <c r="O542" s="612"/>
      <c r="P542" s="612"/>
    </row>
    <row r="543" spans="1:16" s="643" customFormat="1" ht="30" customHeight="1">
      <c r="A543" s="611"/>
      <c r="B543" s="611"/>
      <c r="C543" s="610"/>
      <c r="D543" s="612"/>
      <c r="E543" s="612"/>
      <c r="F543" s="612"/>
      <c r="G543" s="612"/>
      <c r="H543" s="612"/>
      <c r="I543" s="612"/>
      <c r="J543" s="612"/>
      <c r="K543" s="612"/>
      <c r="L543" s="612"/>
      <c r="M543" s="612"/>
      <c r="N543" s="612"/>
      <c r="O543" s="612"/>
      <c r="P543" s="612"/>
    </row>
    <row r="544" spans="1:16" s="643" customFormat="1" ht="30" customHeight="1">
      <c r="A544" s="611"/>
      <c r="B544" s="611"/>
      <c r="C544" s="610"/>
      <c r="D544" s="612"/>
      <c r="E544" s="612"/>
      <c r="F544" s="612"/>
      <c r="G544" s="612"/>
      <c r="H544" s="612"/>
      <c r="I544" s="612"/>
      <c r="J544" s="612"/>
      <c r="K544" s="612"/>
      <c r="L544" s="612"/>
      <c r="M544" s="612"/>
      <c r="N544" s="612"/>
      <c r="O544" s="612"/>
      <c r="P544" s="612"/>
    </row>
    <row r="545" spans="1:16" s="643" customFormat="1" ht="30" customHeight="1">
      <c r="A545" s="611"/>
      <c r="B545" s="611"/>
      <c r="C545" s="610"/>
      <c r="D545" s="612"/>
      <c r="E545" s="612"/>
      <c r="F545" s="612"/>
      <c r="G545" s="612"/>
      <c r="H545" s="612"/>
      <c r="I545" s="612"/>
      <c r="J545" s="612"/>
      <c r="K545" s="612"/>
      <c r="L545" s="612"/>
      <c r="M545" s="612"/>
      <c r="N545" s="612"/>
      <c r="O545" s="612"/>
      <c r="P545" s="612"/>
    </row>
    <row r="546" spans="1:16" s="643" customFormat="1" ht="30" customHeight="1">
      <c r="A546" s="611"/>
      <c r="B546" s="611"/>
      <c r="C546" s="610"/>
      <c r="D546" s="612"/>
      <c r="E546" s="612"/>
      <c r="F546" s="612"/>
      <c r="G546" s="612"/>
      <c r="H546" s="612"/>
      <c r="I546" s="612"/>
      <c r="J546" s="612"/>
      <c r="K546" s="612"/>
      <c r="L546" s="612"/>
      <c r="M546" s="612"/>
      <c r="N546" s="612"/>
      <c r="O546" s="612"/>
      <c r="P546" s="612"/>
    </row>
    <row r="547" spans="1:16" s="643" customFormat="1" ht="106.5" customHeight="1">
      <c r="A547" s="611"/>
      <c r="B547" s="611"/>
      <c r="C547" s="610"/>
      <c r="D547" s="612"/>
      <c r="E547" s="612"/>
      <c r="F547" s="612"/>
      <c r="G547" s="612"/>
      <c r="H547" s="612"/>
      <c r="I547" s="612"/>
      <c r="J547" s="612"/>
      <c r="K547" s="612"/>
      <c r="L547" s="612"/>
      <c r="M547" s="612"/>
      <c r="N547" s="612"/>
      <c r="O547" s="612"/>
      <c r="P547" s="612"/>
    </row>
    <row r="548" spans="1:16" s="643" customFormat="1" ht="77.25" customHeight="1">
      <c r="A548" s="611"/>
      <c r="B548" s="611"/>
      <c r="C548" s="610"/>
      <c r="D548" s="612"/>
      <c r="E548" s="612"/>
      <c r="F548" s="612"/>
      <c r="G548" s="612"/>
      <c r="H548" s="612"/>
      <c r="I548" s="612"/>
      <c r="J548" s="612"/>
      <c r="K548" s="612"/>
      <c r="L548" s="612"/>
      <c r="M548" s="612"/>
      <c r="N548" s="612"/>
      <c r="O548" s="612"/>
      <c r="P548" s="612"/>
    </row>
    <row r="549" spans="1:16" s="643" customFormat="1" ht="30" customHeight="1">
      <c r="A549" s="611"/>
      <c r="B549" s="611"/>
      <c r="C549" s="610"/>
      <c r="D549" s="612"/>
      <c r="E549" s="612"/>
      <c r="F549" s="612"/>
      <c r="G549" s="612"/>
      <c r="H549" s="612"/>
      <c r="I549" s="612"/>
      <c r="J549" s="612"/>
      <c r="K549" s="612"/>
      <c r="L549" s="612"/>
      <c r="M549" s="612"/>
      <c r="N549" s="612"/>
      <c r="O549" s="612"/>
      <c r="P549" s="612"/>
    </row>
    <row r="550" spans="1:16" s="643" customFormat="1" ht="28.5" customHeight="1">
      <c r="A550" s="611"/>
      <c r="B550" s="611"/>
      <c r="C550" s="610"/>
      <c r="D550" s="612"/>
      <c r="E550" s="612"/>
      <c r="F550" s="612"/>
      <c r="G550" s="612"/>
      <c r="H550" s="612"/>
      <c r="I550" s="612"/>
      <c r="J550" s="612"/>
      <c r="K550" s="612"/>
      <c r="L550" s="612"/>
      <c r="M550" s="612"/>
      <c r="N550" s="612"/>
      <c r="O550" s="612"/>
      <c r="P550" s="612"/>
    </row>
    <row r="551" spans="1:16" s="643" customFormat="1" ht="30" customHeight="1">
      <c r="A551" s="611"/>
      <c r="B551" s="611"/>
      <c r="C551" s="610"/>
      <c r="D551" s="612"/>
      <c r="E551" s="612"/>
      <c r="F551" s="612"/>
      <c r="G551" s="612"/>
      <c r="H551" s="612"/>
      <c r="I551" s="612"/>
      <c r="J551" s="612"/>
      <c r="K551" s="612"/>
      <c r="L551" s="612"/>
      <c r="M551" s="612"/>
      <c r="N551" s="612"/>
      <c r="O551" s="612"/>
      <c r="P551" s="612"/>
    </row>
    <row r="552" spans="1:16" s="643" customFormat="1" ht="21.75" customHeight="1">
      <c r="A552" s="611"/>
      <c r="B552" s="611"/>
      <c r="C552" s="610"/>
      <c r="D552" s="612"/>
      <c r="E552" s="612"/>
      <c r="F552" s="612"/>
      <c r="G552" s="612"/>
      <c r="H552" s="612"/>
      <c r="I552" s="612"/>
      <c r="J552" s="612"/>
      <c r="K552" s="612"/>
      <c r="L552" s="612"/>
      <c r="M552" s="612"/>
      <c r="N552" s="612"/>
      <c r="O552" s="612"/>
      <c r="P552" s="612"/>
    </row>
    <row r="553" spans="1:16" s="643" customFormat="1" ht="30" customHeight="1">
      <c r="A553" s="611"/>
      <c r="B553" s="611"/>
      <c r="C553" s="610"/>
      <c r="D553" s="612"/>
      <c r="E553" s="612"/>
      <c r="F553" s="612"/>
      <c r="G553" s="612"/>
      <c r="H553" s="612"/>
      <c r="I553" s="612"/>
      <c r="J553" s="612"/>
      <c r="K553" s="612"/>
      <c r="L553" s="612"/>
      <c r="M553" s="612"/>
      <c r="N553" s="612"/>
      <c r="O553" s="612"/>
      <c r="P553" s="612"/>
    </row>
    <row r="554" spans="1:16" s="643" customFormat="1" ht="30" customHeight="1">
      <c r="A554" s="611"/>
      <c r="B554" s="611"/>
      <c r="C554" s="610"/>
      <c r="D554" s="612"/>
      <c r="E554" s="612"/>
      <c r="F554" s="612"/>
      <c r="G554" s="612"/>
      <c r="H554" s="612"/>
      <c r="I554" s="612"/>
      <c r="J554" s="612"/>
      <c r="K554" s="612"/>
      <c r="L554" s="612"/>
      <c r="M554" s="612"/>
      <c r="N554" s="612"/>
      <c r="O554" s="612"/>
      <c r="P554" s="612"/>
    </row>
    <row r="555" spans="1:16" s="643" customFormat="1" ht="27.75" customHeight="1">
      <c r="A555" s="611"/>
      <c r="B555" s="611"/>
      <c r="C555" s="610"/>
      <c r="D555" s="612"/>
      <c r="E555" s="612"/>
      <c r="F555" s="612"/>
      <c r="G555" s="612"/>
      <c r="H555" s="612"/>
      <c r="I555" s="612"/>
      <c r="J555" s="612"/>
      <c r="K555" s="612"/>
      <c r="L555" s="612"/>
      <c r="M555" s="612"/>
      <c r="N555" s="612"/>
      <c r="O555" s="612"/>
      <c r="P555" s="612"/>
    </row>
    <row r="556" spans="1:16" s="643" customFormat="1" ht="33" customHeight="1">
      <c r="A556" s="611"/>
      <c r="B556" s="611"/>
      <c r="C556" s="610"/>
      <c r="D556" s="612"/>
      <c r="E556" s="612"/>
      <c r="F556" s="612"/>
      <c r="G556" s="612"/>
      <c r="H556" s="612"/>
      <c r="I556" s="612"/>
      <c r="J556" s="612"/>
      <c r="K556" s="612"/>
      <c r="L556" s="612"/>
      <c r="M556" s="612"/>
      <c r="N556" s="612"/>
      <c r="O556" s="612"/>
      <c r="P556" s="612"/>
    </row>
    <row r="557" spans="1:16" s="643" customFormat="1" ht="32.25" customHeight="1">
      <c r="A557" s="611"/>
      <c r="B557" s="611"/>
      <c r="C557" s="610"/>
      <c r="D557" s="612"/>
      <c r="E557" s="612"/>
      <c r="F557" s="612"/>
      <c r="G557" s="612"/>
      <c r="H557" s="612"/>
      <c r="I557" s="612"/>
      <c r="J557" s="612"/>
      <c r="K557" s="612"/>
      <c r="L557" s="612"/>
      <c r="M557" s="612"/>
      <c r="N557" s="612"/>
      <c r="O557" s="612"/>
      <c r="P557" s="612"/>
    </row>
    <row r="558" spans="1:16" s="643" customFormat="1" ht="21" customHeight="1">
      <c r="A558" s="611"/>
      <c r="B558" s="611"/>
      <c r="C558" s="610"/>
      <c r="D558" s="612"/>
      <c r="E558" s="612"/>
      <c r="F558" s="612"/>
      <c r="G558" s="612"/>
      <c r="H558" s="612"/>
      <c r="I558" s="612"/>
      <c r="J558" s="612"/>
      <c r="K558" s="612"/>
      <c r="L558" s="612"/>
      <c r="M558" s="612"/>
      <c r="N558" s="612"/>
      <c r="O558" s="612"/>
      <c r="P558" s="612"/>
    </row>
    <row r="559" spans="1:16" s="643" customFormat="1" ht="30" customHeight="1">
      <c r="A559" s="611"/>
      <c r="B559" s="611"/>
      <c r="C559" s="610"/>
      <c r="D559" s="612"/>
      <c r="E559" s="612"/>
      <c r="F559" s="612"/>
      <c r="G559" s="612"/>
      <c r="H559" s="612"/>
      <c r="I559" s="612"/>
      <c r="J559" s="612"/>
      <c r="K559" s="612"/>
      <c r="L559" s="612"/>
      <c r="M559" s="612"/>
      <c r="N559" s="612"/>
      <c r="O559" s="612"/>
      <c r="P559" s="612"/>
    </row>
    <row r="560" spans="1:16" s="643" customFormat="1" ht="24" customHeight="1">
      <c r="A560" s="611"/>
      <c r="B560" s="611"/>
      <c r="C560" s="610"/>
      <c r="D560" s="612"/>
      <c r="E560" s="612"/>
      <c r="F560" s="612"/>
      <c r="G560" s="612"/>
      <c r="H560" s="612"/>
      <c r="I560" s="612"/>
      <c r="J560" s="612"/>
      <c r="K560" s="612"/>
      <c r="L560" s="612"/>
      <c r="M560" s="612"/>
      <c r="N560" s="612"/>
      <c r="O560" s="612"/>
      <c r="P560" s="612"/>
    </row>
    <row r="561" spans="1:16" s="643" customFormat="1" ht="24.75" customHeight="1">
      <c r="A561" s="611"/>
      <c r="B561" s="611"/>
      <c r="C561" s="610"/>
      <c r="D561" s="612"/>
      <c r="E561" s="612"/>
      <c r="F561" s="612"/>
      <c r="G561" s="612"/>
      <c r="H561" s="612"/>
      <c r="I561" s="612"/>
      <c r="J561" s="612"/>
      <c r="K561" s="612"/>
      <c r="L561" s="612"/>
      <c r="M561" s="612"/>
      <c r="N561" s="612"/>
      <c r="O561" s="612"/>
      <c r="P561" s="612"/>
    </row>
    <row r="562" spans="1:16" s="643" customFormat="1" ht="24.75" customHeight="1">
      <c r="A562" s="611"/>
      <c r="B562" s="611"/>
      <c r="C562" s="610"/>
      <c r="D562" s="612"/>
      <c r="E562" s="612"/>
      <c r="F562" s="612"/>
      <c r="G562" s="612"/>
      <c r="H562" s="612"/>
      <c r="I562" s="612"/>
      <c r="J562" s="612"/>
      <c r="K562" s="612"/>
      <c r="L562" s="612"/>
      <c r="M562" s="612"/>
      <c r="N562" s="612"/>
      <c r="O562" s="612"/>
      <c r="P562" s="612"/>
    </row>
    <row r="563" spans="1:16" s="643" customFormat="1" ht="26.25" customHeight="1">
      <c r="A563" s="611"/>
      <c r="B563" s="611"/>
      <c r="C563" s="610"/>
      <c r="D563" s="612"/>
      <c r="E563" s="612"/>
      <c r="F563" s="612"/>
      <c r="G563" s="612"/>
      <c r="H563" s="612"/>
      <c r="I563" s="612"/>
      <c r="J563" s="612"/>
      <c r="K563" s="612"/>
      <c r="L563" s="612"/>
      <c r="M563" s="612"/>
      <c r="N563" s="612"/>
      <c r="O563" s="612"/>
      <c r="P563" s="612"/>
    </row>
    <row r="564" spans="1:16" s="643" customFormat="1" ht="24" customHeight="1">
      <c r="A564" s="611"/>
      <c r="B564" s="611"/>
      <c r="C564" s="610"/>
      <c r="D564" s="612"/>
      <c r="E564" s="612"/>
      <c r="F564" s="612"/>
      <c r="G564" s="612"/>
      <c r="H564" s="612"/>
      <c r="I564" s="612"/>
      <c r="J564" s="612"/>
      <c r="K564" s="612"/>
      <c r="L564" s="612"/>
      <c r="M564" s="612"/>
      <c r="N564" s="612"/>
      <c r="O564" s="612"/>
      <c r="P564" s="612"/>
    </row>
    <row r="565" spans="1:16" s="643" customFormat="1" ht="24" customHeight="1">
      <c r="A565" s="611"/>
      <c r="B565" s="611"/>
      <c r="C565" s="610"/>
      <c r="D565" s="612"/>
      <c r="E565" s="612"/>
      <c r="F565" s="612"/>
      <c r="G565" s="612"/>
      <c r="H565" s="612"/>
      <c r="I565" s="612"/>
      <c r="J565" s="612"/>
      <c r="K565" s="612"/>
      <c r="L565" s="612"/>
      <c r="M565" s="612"/>
      <c r="N565" s="612"/>
      <c r="O565" s="612"/>
      <c r="P565" s="612"/>
    </row>
    <row r="566" spans="1:16" s="643" customFormat="1" ht="24.75" customHeight="1">
      <c r="A566" s="611"/>
      <c r="B566" s="611"/>
      <c r="C566" s="610"/>
      <c r="D566" s="612"/>
      <c r="E566" s="612"/>
      <c r="F566" s="612"/>
      <c r="G566" s="612"/>
      <c r="H566" s="612"/>
      <c r="I566" s="612"/>
      <c r="J566" s="612"/>
      <c r="K566" s="612"/>
      <c r="L566" s="612"/>
      <c r="M566" s="612"/>
      <c r="N566" s="612"/>
      <c r="O566" s="612"/>
      <c r="P566" s="612"/>
    </row>
    <row r="567" spans="1:16" s="643" customFormat="1" ht="33.75" customHeight="1">
      <c r="A567" s="611"/>
      <c r="B567" s="611"/>
      <c r="C567" s="610"/>
      <c r="D567" s="612"/>
      <c r="E567" s="612"/>
      <c r="F567" s="612"/>
      <c r="G567" s="612"/>
      <c r="H567" s="612"/>
      <c r="I567" s="612"/>
      <c r="J567" s="612"/>
      <c r="K567" s="612"/>
      <c r="L567" s="612"/>
      <c r="M567" s="612"/>
      <c r="N567" s="612"/>
      <c r="O567" s="612"/>
      <c r="P567" s="612"/>
    </row>
    <row r="568" spans="1:16" s="643" customFormat="1" ht="33.75" customHeight="1">
      <c r="A568" s="611"/>
      <c r="B568" s="611"/>
      <c r="C568" s="610"/>
      <c r="D568" s="612"/>
      <c r="E568" s="612"/>
      <c r="F568" s="612"/>
      <c r="G568" s="612"/>
      <c r="H568" s="612"/>
      <c r="I568" s="612"/>
      <c r="J568" s="612"/>
      <c r="K568" s="612"/>
      <c r="L568" s="612"/>
      <c r="M568" s="612"/>
      <c r="N568" s="612"/>
      <c r="O568" s="612"/>
      <c r="P568" s="612"/>
    </row>
    <row r="569" spans="1:16" s="643" customFormat="1" ht="39.75" customHeight="1">
      <c r="A569" s="611"/>
      <c r="B569" s="611"/>
      <c r="C569" s="610"/>
      <c r="D569" s="612"/>
      <c r="E569" s="612"/>
      <c r="F569" s="612"/>
      <c r="G569" s="612"/>
      <c r="H569" s="612"/>
      <c r="I569" s="612"/>
      <c r="J569" s="612"/>
      <c r="K569" s="612"/>
      <c r="L569" s="612"/>
      <c r="M569" s="612"/>
      <c r="N569" s="612"/>
      <c r="O569" s="612"/>
      <c r="P569" s="612"/>
    </row>
    <row r="570" spans="1:16" s="768" customFormat="1" ht="21.75" customHeight="1">
      <c r="A570" s="611"/>
      <c r="B570" s="611"/>
      <c r="C570" s="610"/>
      <c r="D570" s="612"/>
      <c r="E570" s="612"/>
      <c r="F570" s="612"/>
      <c r="G570" s="612"/>
      <c r="H570" s="612"/>
      <c r="I570" s="612"/>
      <c r="J570" s="612"/>
      <c r="K570" s="612"/>
      <c r="L570" s="612"/>
      <c r="M570" s="612"/>
      <c r="N570" s="612"/>
      <c r="O570" s="612"/>
      <c r="P570" s="612"/>
    </row>
    <row r="571" spans="1:16" s="643" customFormat="1" ht="24.75" customHeight="1">
      <c r="A571" s="611"/>
      <c r="B571" s="611"/>
      <c r="C571" s="610"/>
      <c r="D571" s="612"/>
      <c r="E571" s="612"/>
      <c r="F571" s="612"/>
      <c r="G571" s="612"/>
      <c r="H571" s="612"/>
      <c r="I571" s="612"/>
      <c r="J571" s="612"/>
      <c r="K571" s="612"/>
      <c r="L571" s="612"/>
      <c r="M571" s="612"/>
      <c r="N571" s="612"/>
      <c r="O571" s="612"/>
      <c r="P571" s="612"/>
    </row>
    <row r="572" spans="1:16" s="643" customFormat="1" ht="49.5" customHeight="1">
      <c r="A572" s="611"/>
      <c r="B572" s="611"/>
      <c r="C572" s="610"/>
      <c r="D572" s="612"/>
      <c r="E572" s="612"/>
      <c r="F572" s="612"/>
      <c r="G572" s="612"/>
      <c r="H572" s="612"/>
      <c r="I572" s="612"/>
      <c r="J572" s="612"/>
      <c r="K572" s="612"/>
      <c r="L572" s="612"/>
      <c r="M572" s="612"/>
      <c r="N572" s="612"/>
      <c r="O572" s="612"/>
      <c r="P572" s="612"/>
    </row>
    <row r="573" spans="1:16" s="643" customFormat="1" ht="30.75" customHeight="1">
      <c r="A573" s="611"/>
      <c r="B573" s="611"/>
      <c r="C573" s="610"/>
      <c r="D573" s="612"/>
      <c r="E573" s="612"/>
      <c r="F573" s="612"/>
      <c r="G573" s="612"/>
      <c r="H573" s="612"/>
      <c r="I573" s="612"/>
      <c r="J573" s="612"/>
      <c r="K573" s="612"/>
      <c r="L573" s="612"/>
      <c r="M573" s="612"/>
      <c r="N573" s="612"/>
      <c r="O573" s="612"/>
      <c r="P573" s="612"/>
    </row>
    <row r="574" spans="1:16" s="643" customFormat="1" ht="27.75" customHeight="1">
      <c r="A574" s="611"/>
      <c r="B574" s="611"/>
      <c r="C574" s="610"/>
      <c r="D574" s="612"/>
      <c r="E574" s="612"/>
      <c r="F574" s="612"/>
      <c r="G574" s="612"/>
      <c r="H574" s="612"/>
      <c r="I574" s="612"/>
      <c r="J574" s="612"/>
      <c r="K574" s="612"/>
      <c r="L574" s="612"/>
      <c r="M574" s="612"/>
      <c r="N574" s="612"/>
      <c r="O574" s="612"/>
      <c r="P574" s="612"/>
    </row>
    <row r="575" spans="1:16" s="643" customFormat="1" ht="15">
      <c r="A575" s="611"/>
      <c r="B575" s="611"/>
      <c r="C575" s="610"/>
      <c r="D575" s="612"/>
      <c r="E575" s="612"/>
      <c r="F575" s="612"/>
      <c r="G575" s="612"/>
      <c r="H575" s="612"/>
      <c r="I575" s="612"/>
      <c r="J575" s="612"/>
      <c r="K575" s="612"/>
      <c r="L575" s="612"/>
      <c r="M575" s="612"/>
      <c r="N575" s="612"/>
      <c r="O575" s="612"/>
      <c r="P575" s="612"/>
    </row>
    <row r="576" spans="1:16" s="643" customFormat="1" ht="15">
      <c r="A576" s="611"/>
      <c r="B576" s="611"/>
      <c r="C576" s="610"/>
      <c r="D576" s="612"/>
      <c r="E576" s="612"/>
      <c r="F576" s="612"/>
      <c r="G576" s="612"/>
      <c r="H576" s="612"/>
      <c r="I576" s="612"/>
      <c r="J576" s="612"/>
      <c r="K576" s="612"/>
      <c r="L576" s="612"/>
      <c r="M576" s="612"/>
      <c r="N576" s="612"/>
      <c r="O576" s="612"/>
      <c r="P576" s="612"/>
    </row>
    <row r="577" spans="1:16" s="643" customFormat="1" ht="15">
      <c r="A577" s="611"/>
      <c r="B577" s="611"/>
      <c r="C577" s="610"/>
      <c r="D577" s="612"/>
      <c r="E577" s="612"/>
      <c r="F577" s="612"/>
      <c r="G577" s="612"/>
      <c r="H577" s="612"/>
      <c r="I577" s="612"/>
      <c r="J577" s="612"/>
      <c r="K577" s="612"/>
      <c r="L577" s="612"/>
      <c r="M577" s="612"/>
      <c r="N577" s="612"/>
      <c r="O577" s="612"/>
      <c r="P577" s="612"/>
    </row>
    <row r="578" spans="1:16" s="643" customFormat="1" ht="15">
      <c r="A578" s="611"/>
      <c r="B578" s="611"/>
      <c r="C578" s="610"/>
      <c r="D578" s="612"/>
      <c r="E578" s="612"/>
      <c r="F578" s="612"/>
      <c r="G578" s="612"/>
      <c r="H578" s="612"/>
      <c r="I578" s="612"/>
      <c r="J578" s="612"/>
      <c r="K578" s="612"/>
      <c r="L578" s="612"/>
      <c r="M578" s="612"/>
      <c r="N578" s="612"/>
      <c r="O578" s="612"/>
      <c r="P578" s="612"/>
    </row>
    <row r="579" spans="1:16" s="643" customFormat="1" ht="15">
      <c r="A579" s="611"/>
      <c r="B579" s="611"/>
      <c r="C579" s="610"/>
      <c r="D579" s="612"/>
      <c r="E579" s="612"/>
      <c r="F579" s="612"/>
      <c r="G579" s="612"/>
      <c r="H579" s="612"/>
      <c r="I579" s="612"/>
      <c r="J579" s="612"/>
      <c r="K579" s="612"/>
      <c r="L579" s="612"/>
      <c r="M579" s="612"/>
      <c r="N579" s="612"/>
      <c r="O579" s="612"/>
      <c r="P579" s="612"/>
    </row>
    <row r="580" spans="1:16" s="643" customFormat="1" ht="15">
      <c r="A580" s="611"/>
      <c r="B580" s="611"/>
      <c r="C580" s="610"/>
      <c r="D580" s="612"/>
      <c r="E580" s="612"/>
      <c r="F580" s="612"/>
      <c r="G580" s="612"/>
      <c r="H580" s="612"/>
      <c r="I580" s="612"/>
      <c r="J580" s="612"/>
      <c r="K580" s="612"/>
      <c r="L580" s="612"/>
      <c r="M580" s="612"/>
      <c r="N580" s="612"/>
      <c r="O580" s="612"/>
      <c r="P580" s="612"/>
    </row>
    <row r="581" spans="1:16" s="643" customFormat="1" ht="15">
      <c r="A581" s="611"/>
      <c r="B581" s="611"/>
      <c r="C581" s="610"/>
      <c r="D581" s="612"/>
      <c r="E581" s="612"/>
      <c r="F581" s="612"/>
      <c r="G581" s="612"/>
      <c r="H581" s="612"/>
      <c r="I581" s="612"/>
      <c r="J581" s="612"/>
      <c r="K581" s="612"/>
      <c r="L581" s="612"/>
      <c r="M581" s="612"/>
      <c r="N581" s="612"/>
      <c r="O581" s="612"/>
      <c r="P581" s="612"/>
    </row>
    <row r="582" spans="1:16" s="643" customFormat="1" ht="15">
      <c r="A582" s="611"/>
      <c r="B582" s="611"/>
      <c r="C582" s="610"/>
      <c r="D582" s="612"/>
      <c r="E582" s="612"/>
      <c r="F582" s="612"/>
      <c r="G582" s="612"/>
      <c r="H582" s="612"/>
      <c r="I582" s="612"/>
      <c r="J582" s="612"/>
      <c r="K582" s="612"/>
      <c r="L582" s="612"/>
      <c r="M582" s="612"/>
      <c r="N582" s="612"/>
      <c r="O582" s="612"/>
      <c r="P582" s="612"/>
    </row>
    <row r="583" spans="1:16" s="643" customFormat="1" ht="15">
      <c r="A583" s="611"/>
      <c r="B583" s="611"/>
      <c r="C583" s="610"/>
      <c r="D583" s="612"/>
      <c r="E583" s="612"/>
      <c r="F583" s="612"/>
      <c r="G583" s="612"/>
      <c r="H583" s="612"/>
      <c r="I583" s="612"/>
      <c r="J583" s="612"/>
      <c r="K583" s="612"/>
      <c r="L583" s="612"/>
      <c r="M583" s="612"/>
      <c r="N583" s="612"/>
      <c r="O583" s="612"/>
      <c r="P583" s="612"/>
    </row>
    <row r="584" spans="1:16" s="643" customFormat="1" ht="15">
      <c r="A584" s="611"/>
      <c r="B584" s="611"/>
      <c r="C584" s="610"/>
      <c r="D584" s="612"/>
      <c r="E584" s="612"/>
      <c r="F584" s="612"/>
      <c r="G584" s="612"/>
      <c r="H584" s="612"/>
      <c r="I584" s="612"/>
      <c r="J584" s="612"/>
      <c r="K584" s="612"/>
      <c r="L584" s="612"/>
      <c r="M584" s="612"/>
      <c r="N584" s="612"/>
      <c r="O584" s="612"/>
      <c r="P584" s="612"/>
    </row>
    <row r="585" spans="1:16" s="643" customFormat="1" ht="15">
      <c r="A585" s="611"/>
      <c r="B585" s="611"/>
      <c r="C585" s="610"/>
      <c r="D585" s="612"/>
      <c r="E585" s="612"/>
      <c r="F585" s="612"/>
      <c r="G585" s="612"/>
      <c r="H585" s="612"/>
      <c r="I585" s="612"/>
      <c r="J585" s="612"/>
      <c r="K585" s="612"/>
      <c r="L585" s="612"/>
      <c r="M585" s="612"/>
      <c r="N585" s="612"/>
      <c r="O585" s="612"/>
      <c r="P585" s="612"/>
    </row>
    <row r="586" spans="1:16" s="643" customFormat="1" ht="15">
      <c r="A586" s="611"/>
      <c r="B586" s="611"/>
      <c r="C586" s="610"/>
      <c r="D586" s="612"/>
      <c r="E586" s="612"/>
      <c r="F586" s="612"/>
      <c r="G586" s="612"/>
      <c r="H586" s="612"/>
      <c r="I586" s="612"/>
      <c r="J586" s="612"/>
      <c r="K586" s="612"/>
      <c r="L586" s="612"/>
      <c r="M586" s="612"/>
      <c r="N586" s="612"/>
      <c r="O586" s="612"/>
      <c r="P586" s="612"/>
    </row>
    <row r="587" spans="1:16" s="643" customFormat="1" ht="15">
      <c r="A587" s="611"/>
      <c r="B587" s="611"/>
      <c r="C587" s="610"/>
      <c r="D587" s="612"/>
      <c r="E587" s="612"/>
      <c r="F587" s="612"/>
      <c r="G587" s="612"/>
      <c r="H587" s="612"/>
      <c r="I587" s="612"/>
      <c r="J587" s="612"/>
      <c r="K587" s="612"/>
      <c r="L587" s="612"/>
      <c r="M587" s="612"/>
      <c r="N587" s="612"/>
      <c r="O587" s="612"/>
      <c r="P587" s="612"/>
    </row>
    <row r="588" spans="1:16" s="643" customFormat="1" ht="15">
      <c r="A588" s="611"/>
      <c r="B588" s="611"/>
      <c r="C588" s="610"/>
      <c r="D588" s="612"/>
      <c r="E588" s="612"/>
      <c r="F588" s="612"/>
      <c r="G588" s="612"/>
      <c r="H588" s="612"/>
      <c r="I588" s="612"/>
      <c r="J588" s="612"/>
      <c r="K588" s="612"/>
      <c r="L588" s="612"/>
      <c r="M588" s="612"/>
      <c r="N588" s="612"/>
      <c r="O588" s="612"/>
      <c r="P588" s="612"/>
    </row>
    <row r="589" spans="1:16" s="643" customFormat="1" ht="15">
      <c r="A589" s="611"/>
      <c r="B589" s="611"/>
      <c r="C589" s="610"/>
      <c r="D589" s="612"/>
      <c r="E589" s="612"/>
      <c r="F589" s="612"/>
      <c r="G589" s="612"/>
      <c r="H589" s="612"/>
      <c r="I589" s="612"/>
      <c r="J589" s="612"/>
      <c r="K589" s="612"/>
      <c r="L589" s="612"/>
      <c r="M589" s="612"/>
      <c r="N589" s="612"/>
      <c r="O589" s="612"/>
      <c r="P589" s="612"/>
    </row>
    <row r="590" spans="1:16" s="643" customFormat="1" ht="15">
      <c r="A590" s="611"/>
      <c r="B590" s="611"/>
      <c r="C590" s="610"/>
      <c r="D590" s="612"/>
      <c r="E590" s="612"/>
      <c r="F590" s="612"/>
      <c r="G590" s="612"/>
      <c r="H590" s="612"/>
      <c r="I590" s="612"/>
      <c r="J590" s="612"/>
      <c r="K590" s="612"/>
      <c r="L590" s="612"/>
      <c r="M590" s="612"/>
      <c r="N590" s="612"/>
      <c r="O590" s="612"/>
      <c r="P590" s="612"/>
    </row>
    <row r="591" spans="1:16" s="643" customFormat="1" ht="15">
      <c r="A591" s="611"/>
      <c r="B591" s="611"/>
      <c r="C591" s="610"/>
      <c r="D591" s="612"/>
      <c r="E591" s="612"/>
      <c r="F591" s="612"/>
      <c r="G591" s="612"/>
      <c r="H591" s="612"/>
      <c r="I591" s="612"/>
      <c r="J591" s="612"/>
      <c r="K591" s="612"/>
      <c r="L591" s="612"/>
      <c r="M591" s="612"/>
      <c r="N591" s="612"/>
      <c r="O591" s="612"/>
      <c r="P591" s="612"/>
    </row>
    <row r="592" spans="1:16" s="643" customFormat="1" ht="15">
      <c r="A592" s="611"/>
      <c r="B592" s="611"/>
      <c r="C592" s="610"/>
      <c r="D592" s="612"/>
      <c r="E592" s="612"/>
      <c r="F592" s="612"/>
      <c r="G592" s="612"/>
      <c r="H592" s="612"/>
      <c r="I592" s="612"/>
      <c r="J592" s="612"/>
      <c r="K592" s="612"/>
      <c r="L592" s="612"/>
      <c r="M592" s="612"/>
      <c r="N592" s="612"/>
      <c r="O592" s="612"/>
      <c r="P592" s="612"/>
    </row>
    <row r="593" spans="1:16" s="643" customFormat="1" ht="15">
      <c r="A593" s="611"/>
      <c r="B593" s="611"/>
      <c r="C593" s="610"/>
      <c r="D593" s="612"/>
      <c r="E593" s="612"/>
      <c r="F593" s="612"/>
      <c r="G593" s="612"/>
      <c r="H593" s="612"/>
      <c r="I593" s="612"/>
      <c r="J593" s="612"/>
      <c r="K593" s="612"/>
      <c r="L593" s="612"/>
      <c r="M593" s="612"/>
      <c r="N593" s="612"/>
      <c r="O593" s="612"/>
      <c r="P593" s="612"/>
    </row>
    <row r="594" spans="1:16" s="643" customFormat="1" ht="15">
      <c r="A594" s="611"/>
      <c r="B594" s="611"/>
      <c r="C594" s="610"/>
      <c r="D594" s="612"/>
      <c r="E594" s="612"/>
      <c r="F594" s="612"/>
      <c r="G594" s="612"/>
      <c r="H594" s="612"/>
      <c r="I594" s="612"/>
      <c r="J594" s="612"/>
      <c r="K594" s="612"/>
      <c r="L594" s="612"/>
      <c r="M594" s="612"/>
      <c r="N594" s="612"/>
      <c r="O594" s="612"/>
      <c r="P594" s="612"/>
    </row>
    <row r="595" spans="1:16" s="643" customFormat="1" ht="15">
      <c r="A595" s="611"/>
      <c r="B595" s="611"/>
      <c r="C595" s="610"/>
      <c r="D595" s="612"/>
      <c r="E595" s="612"/>
      <c r="F595" s="612"/>
      <c r="G595" s="612"/>
      <c r="H595" s="612"/>
      <c r="I595" s="612"/>
      <c r="J595" s="612"/>
      <c r="K595" s="612"/>
      <c r="L595" s="612"/>
      <c r="M595" s="612"/>
      <c r="N595" s="612"/>
      <c r="O595" s="612"/>
      <c r="P595" s="612"/>
    </row>
    <row r="596" spans="1:16" s="643" customFormat="1" ht="15">
      <c r="A596" s="611"/>
      <c r="B596" s="611"/>
      <c r="C596" s="610"/>
      <c r="D596" s="612"/>
      <c r="E596" s="612"/>
      <c r="F596" s="612"/>
      <c r="G596" s="612"/>
      <c r="H596" s="612"/>
      <c r="I596" s="612"/>
      <c r="J596" s="612"/>
      <c r="K596" s="612"/>
      <c r="L596" s="612"/>
      <c r="M596" s="612"/>
      <c r="N596" s="612"/>
      <c r="O596" s="612"/>
      <c r="P596" s="612"/>
    </row>
    <row r="597" spans="1:16" s="643" customFormat="1" ht="15">
      <c r="A597" s="611"/>
      <c r="B597" s="611"/>
      <c r="C597" s="610"/>
      <c r="D597" s="612"/>
      <c r="E597" s="612"/>
      <c r="F597" s="612"/>
      <c r="G597" s="612"/>
      <c r="H597" s="612"/>
      <c r="I597" s="612"/>
      <c r="J597" s="612"/>
      <c r="K597" s="612"/>
      <c r="L597" s="612"/>
      <c r="M597" s="612"/>
      <c r="N597" s="612"/>
      <c r="O597" s="612"/>
      <c r="P597" s="612"/>
    </row>
    <row r="598" spans="1:16" s="643" customFormat="1" ht="15">
      <c r="A598" s="611"/>
      <c r="B598" s="611"/>
      <c r="C598" s="610"/>
      <c r="D598" s="612"/>
      <c r="E598" s="612"/>
      <c r="F598" s="612"/>
      <c r="G598" s="612"/>
      <c r="H598" s="612"/>
      <c r="I598" s="612"/>
      <c r="J598" s="612"/>
      <c r="K598" s="612"/>
      <c r="L598" s="612"/>
      <c r="M598" s="612"/>
      <c r="N598" s="612"/>
      <c r="O598" s="612"/>
      <c r="P598" s="612"/>
    </row>
    <row r="599" spans="1:16" s="643" customFormat="1" ht="15">
      <c r="A599" s="611"/>
      <c r="B599" s="611"/>
      <c r="C599" s="610"/>
      <c r="D599" s="612"/>
      <c r="E599" s="612"/>
      <c r="F599" s="612"/>
      <c r="G599" s="612"/>
      <c r="H599" s="612"/>
      <c r="I599" s="612"/>
      <c r="J599" s="612"/>
      <c r="K599" s="612"/>
      <c r="L599" s="612"/>
      <c r="M599" s="612"/>
      <c r="N599" s="612"/>
      <c r="O599" s="612"/>
      <c r="P599" s="612"/>
    </row>
    <row r="600" spans="1:16" s="643" customFormat="1" ht="15">
      <c r="A600" s="611"/>
      <c r="B600" s="611"/>
      <c r="C600" s="610"/>
      <c r="D600" s="612"/>
      <c r="E600" s="612"/>
      <c r="F600" s="612"/>
      <c r="G600" s="612"/>
      <c r="H600" s="612"/>
      <c r="I600" s="612"/>
      <c r="J600" s="612"/>
      <c r="K600" s="612"/>
      <c r="L600" s="612"/>
      <c r="M600" s="612"/>
      <c r="N600" s="612"/>
      <c r="O600" s="612"/>
      <c r="P600" s="612"/>
    </row>
    <row r="601" spans="1:16" s="643" customFormat="1" ht="15">
      <c r="A601" s="611"/>
      <c r="B601" s="611"/>
      <c r="C601" s="610"/>
      <c r="D601" s="612"/>
      <c r="E601" s="612"/>
      <c r="F601" s="612"/>
      <c r="G601" s="612"/>
      <c r="H601" s="612"/>
      <c r="I601" s="612"/>
      <c r="J601" s="612"/>
      <c r="K601" s="612"/>
      <c r="L601" s="612"/>
      <c r="M601" s="612"/>
      <c r="N601" s="612"/>
      <c r="O601" s="612"/>
      <c r="P601" s="612"/>
    </row>
    <row r="602" spans="1:16" s="643" customFormat="1" ht="15">
      <c r="A602" s="611"/>
      <c r="B602" s="611"/>
      <c r="C602" s="610"/>
      <c r="D602" s="612"/>
      <c r="E602" s="612"/>
      <c r="F602" s="612"/>
      <c r="G602" s="612"/>
      <c r="H602" s="612"/>
      <c r="I602" s="612"/>
      <c r="J602" s="612"/>
      <c r="K602" s="612"/>
      <c r="L602" s="612"/>
      <c r="M602" s="612"/>
      <c r="N602" s="612"/>
      <c r="O602" s="612"/>
      <c r="P602" s="612"/>
    </row>
    <row r="603" spans="1:16" s="643" customFormat="1" ht="15">
      <c r="A603" s="611"/>
      <c r="B603" s="611"/>
      <c r="C603" s="610"/>
      <c r="D603" s="612"/>
      <c r="E603" s="612"/>
      <c r="F603" s="612"/>
      <c r="G603" s="612"/>
      <c r="H603" s="612"/>
      <c r="I603" s="612"/>
      <c r="J603" s="612"/>
      <c r="K603" s="612"/>
      <c r="L603" s="612"/>
      <c r="M603" s="612"/>
      <c r="N603" s="612"/>
      <c r="O603" s="612"/>
      <c r="P603" s="612"/>
    </row>
    <row r="604" spans="1:16" s="643" customFormat="1" ht="15">
      <c r="A604" s="611"/>
      <c r="B604" s="611"/>
      <c r="C604" s="610"/>
      <c r="D604" s="612"/>
      <c r="E604" s="612"/>
      <c r="F604" s="612"/>
      <c r="G604" s="612"/>
      <c r="H604" s="612"/>
      <c r="I604" s="612"/>
      <c r="J604" s="612"/>
      <c r="K604" s="612"/>
      <c r="L604" s="612"/>
      <c r="M604" s="612"/>
      <c r="N604" s="612"/>
      <c r="O604" s="612"/>
      <c r="P604" s="612"/>
    </row>
    <row r="605" spans="1:16" s="643" customFormat="1" ht="15">
      <c r="A605" s="611"/>
      <c r="B605" s="611"/>
      <c r="C605" s="610"/>
      <c r="D605" s="612"/>
      <c r="E605" s="612"/>
      <c r="F605" s="612"/>
      <c r="G605" s="612"/>
      <c r="H605" s="612"/>
      <c r="I605" s="612"/>
      <c r="J605" s="612"/>
      <c r="K605" s="612"/>
      <c r="L605" s="612"/>
      <c r="M605" s="612"/>
      <c r="N605" s="612"/>
      <c r="O605" s="612"/>
      <c r="P605" s="612"/>
    </row>
    <row r="606" spans="1:16" s="643" customFormat="1" ht="15">
      <c r="A606" s="611"/>
      <c r="B606" s="611"/>
      <c r="C606" s="610"/>
      <c r="D606" s="612"/>
      <c r="E606" s="612"/>
      <c r="F606" s="612"/>
      <c r="G606" s="612"/>
      <c r="H606" s="612"/>
      <c r="I606" s="612"/>
      <c r="J606" s="612"/>
      <c r="K606" s="612"/>
      <c r="L606" s="612"/>
      <c r="M606" s="612"/>
      <c r="N606" s="612"/>
      <c r="O606" s="612"/>
      <c r="P606" s="612"/>
    </row>
    <row r="607" spans="1:16" s="643" customFormat="1" ht="15">
      <c r="A607" s="611"/>
      <c r="B607" s="611"/>
      <c r="C607" s="610"/>
      <c r="D607" s="612"/>
      <c r="E607" s="612"/>
      <c r="F607" s="612"/>
      <c r="G607" s="612"/>
      <c r="H607" s="612"/>
      <c r="I607" s="612"/>
      <c r="J607" s="612"/>
      <c r="K607" s="612"/>
      <c r="L607" s="612"/>
      <c r="M607" s="612"/>
      <c r="N607" s="612"/>
      <c r="O607" s="612"/>
      <c r="P607" s="612"/>
    </row>
    <row r="608" spans="1:16" s="643" customFormat="1" ht="15">
      <c r="A608" s="611"/>
      <c r="B608" s="611"/>
      <c r="C608" s="610"/>
      <c r="D608" s="612"/>
      <c r="E608" s="612"/>
      <c r="F608" s="612"/>
      <c r="G608" s="612"/>
      <c r="H608" s="612"/>
      <c r="I608" s="612"/>
      <c r="J608" s="612"/>
      <c r="K608" s="612"/>
      <c r="L608" s="612"/>
      <c r="M608" s="612"/>
      <c r="N608" s="612"/>
      <c r="O608" s="612"/>
      <c r="P608" s="612"/>
    </row>
    <row r="609" spans="1:16" s="643" customFormat="1" ht="15">
      <c r="A609" s="611"/>
      <c r="B609" s="611"/>
      <c r="C609" s="610"/>
      <c r="D609" s="612"/>
      <c r="E609" s="612"/>
      <c r="F609" s="612"/>
      <c r="G609" s="612"/>
      <c r="H609" s="612"/>
      <c r="I609" s="612"/>
      <c r="J609" s="612"/>
      <c r="K609" s="612"/>
      <c r="L609" s="612"/>
      <c r="M609" s="612"/>
      <c r="N609" s="612"/>
      <c r="O609" s="612"/>
      <c r="P609" s="612"/>
    </row>
    <row r="610" spans="1:16" s="643" customFormat="1" ht="15">
      <c r="A610" s="611"/>
      <c r="B610" s="611"/>
      <c r="C610" s="610"/>
      <c r="D610" s="612"/>
      <c r="E610" s="612"/>
      <c r="F610" s="612"/>
      <c r="G610" s="612"/>
      <c r="H610" s="612"/>
      <c r="I610" s="612"/>
      <c r="J610" s="612"/>
      <c r="K610" s="612"/>
      <c r="L610" s="612"/>
      <c r="M610" s="612"/>
      <c r="N610" s="612"/>
      <c r="O610" s="612"/>
      <c r="P610" s="612"/>
    </row>
    <row r="611" spans="1:16" s="643" customFormat="1" ht="15">
      <c r="A611" s="611"/>
      <c r="B611" s="611"/>
      <c r="C611" s="610"/>
      <c r="D611" s="612"/>
      <c r="E611" s="612"/>
      <c r="F611" s="612"/>
      <c r="G611" s="612"/>
      <c r="H611" s="612"/>
      <c r="I611" s="612"/>
      <c r="J611" s="612"/>
      <c r="K611" s="612"/>
      <c r="L611" s="612"/>
      <c r="M611" s="612"/>
      <c r="N611" s="612"/>
      <c r="O611" s="612"/>
      <c r="P611" s="612"/>
    </row>
    <row r="612" spans="1:16" s="643" customFormat="1" ht="15">
      <c r="A612" s="611"/>
      <c r="B612" s="611"/>
      <c r="C612" s="610"/>
      <c r="D612" s="612"/>
      <c r="E612" s="612"/>
      <c r="F612" s="612"/>
      <c r="G612" s="612"/>
      <c r="H612" s="612"/>
      <c r="I612" s="612"/>
      <c r="J612" s="612"/>
      <c r="K612" s="612"/>
      <c r="L612" s="612"/>
      <c r="M612" s="612"/>
      <c r="N612" s="612"/>
      <c r="O612" s="612"/>
      <c r="P612" s="612"/>
    </row>
    <row r="613" spans="1:16" s="643" customFormat="1" ht="15">
      <c r="A613" s="611"/>
      <c r="B613" s="611"/>
      <c r="C613" s="610"/>
      <c r="D613" s="612"/>
      <c r="E613" s="612"/>
      <c r="F613" s="612"/>
      <c r="G613" s="612"/>
      <c r="H613" s="612"/>
      <c r="I613" s="612"/>
      <c r="J613" s="612"/>
      <c r="K613" s="612"/>
      <c r="L613" s="612"/>
      <c r="M613" s="612"/>
      <c r="N613" s="612"/>
      <c r="O613" s="612"/>
      <c r="P613" s="612"/>
    </row>
    <row r="614" spans="1:16" s="643" customFormat="1" ht="15">
      <c r="A614" s="611"/>
      <c r="B614" s="611"/>
      <c r="C614" s="610"/>
      <c r="D614" s="612"/>
      <c r="E614" s="612"/>
      <c r="F614" s="612"/>
      <c r="G614" s="612"/>
      <c r="H614" s="612"/>
      <c r="I614" s="612"/>
      <c r="J614" s="612"/>
      <c r="K614" s="612"/>
      <c r="L614" s="612"/>
      <c r="M614" s="612"/>
      <c r="N614" s="612"/>
      <c r="O614" s="612"/>
      <c r="P614" s="612"/>
    </row>
    <row r="615" spans="1:16" s="643" customFormat="1" ht="15">
      <c r="A615" s="611"/>
      <c r="B615" s="611"/>
      <c r="C615" s="610"/>
      <c r="D615" s="612"/>
      <c r="E615" s="612"/>
      <c r="F615" s="612"/>
      <c r="G615" s="612"/>
      <c r="H615" s="612"/>
      <c r="I615" s="612"/>
      <c r="J615" s="612"/>
      <c r="K615" s="612"/>
      <c r="L615" s="612"/>
      <c r="M615" s="612"/>
      <c r="N615" s="612"/>
      <c r="O615" s="612"/>
      <c r="P615" s="612"/>
    </row>
    <row r="616" spans="1:16" s="643" customFormat="1" ht="15">
      <c r="A616" s="611"/>
      <c r="B616" s="611"/>
      <c r="C616" s="610"/>
      <c r="D616" s="612"/>
      <c r="E616" s="612"/>
      <c r="F616" s="612"/>
      <c r="G616" s="612"/>
      <c r="H616" s="612"/>
      <c r="I616" s="612"/>
      <c r="J616" s="612"/>
      <c r="K616" s="612"/>
      <c r="L616" s="612"/>
      <c r="M616" s="612"/>
      <c r="N616" s="612"/>
      <c r="O616" s="612"/>
      <c r="P616" s="612"/>
    </row>
    <row r="617" spans="1:16" s="643" customFormat="1" ht="15">
      <c r="A617" s="611"/>
      <c r="B617" s="611"/>
      <c r="C617" s="610"/>
      <c r="D617" s="612"/>
      <c r="E617" s="612"/>
      <c r="F617" s="612"/>
      <c r="G617" s="612"/>
      <c r="H617" s="612"/>
      <c r="I617" s="612"/>
      <c r="J617" s="612"/>
      <c r="K617" s="612"/>
      <c r="L617" s="612"/>
      <c r="M617" s="612"/>
      <c r="N617" s="612"/>
      <c r="O617" s="612"/>
      <c r="P617" s="612"/>
    </row>
    <row r="618" spans="1:16" s="643" customFormat="1" ht="15">
      <c r="A618" s="611"/>
      <c r="B618" s="611"/>
      <c r="C618" s="610"/>
      <c r="D618" s="612"/>
      <c r="E618" s="612"/>
      <c r="F618" s="612"/>
      <c r="G618" s="612"/>
      <c r="H618" s="612"/>
      <c r="I618" s="612"/>
      <c r="J618" s="612"/>
      <c r="K618" s="612"/>
      <c r="L618" s="612"/>
      <c r="M618" s="612"/>
      <c r="N618" s="612"/>
      <c r="O618" s="612"/>
      <c r="P618" s="612"/>
    </row>
    <row r="619" spans="1:16" s="643" customFormat="1" ht="15">
      <c r="A619" s="611"/>
      <c r="B619" s="611"/>
      <c r="C619" s="610"/>
      <c r="D619" s="612"/>
      <c r="E619" s="612"/>
      <c r="F619" s="612"/>
      <c r="G619" s="612"/>
      <c r="H619" s="612"/>
      <c r="I619" s="612"/>
      <c r="J619" s="612"/>
      <c r="K619" s="612"/>
      <c r="L619" s="612"/>
      <c r="M619" s="612"/>
      <c r="N619" s="612"/>
      <c r="O619" s="612"/>
      <c r="P619" s="612"/>
    </row>
    <row r="620" spans="1:16" s="643" customFormat="1" ht="15">
      <c r="A620" s="611"/>
      <c r="B620" s="611"/>
      <c r="C620" s="610"/>
      <c r="D620" s="612"/>
      <c r="E620" s="612"/>
      <c r="F620" s="612"/>
      <c r="G620" s="612"/>
      <c r="H620" s="612"/>
      <c r="I620" s="612"/>
      <c r="J620" s="612"/>
      <c r="K620" s="612"/>
      <c r="L620" s="612"/>
      <c r="M620" s="612"/>
      <c r="N620" s="612"/>
      <c r="O620" s="612"/>
      <c r="P620" s="612"/>
    </row>
    <row r="621" spans="1:16" s="643" customFormat="1" ht="15">
      <c r="A621" s="611"/>
      <c r="B621" s="611"/>
      <c r="C621" s="610"/>
      <c r="D621" s="612"/>
      <c r="E621" s="612"/>
      <c r="F621" s="612"/>
      <c r="G621" s="612"/>
      <c r="H621" s="612"/>
      <c r="I621" s="612"/>
      <c r="J621" s="612"/>
      <c r="K621" s="612"/>
      <c r="L621" s="612"/>
      <c r="M621" s="612"/>
      <c r="N621" s="612"/>
      <c r="O621" s="612"/>
      <c r="P621" s="612"/>
    </row>
    <row r="622" spans="1:16" s="643" customFormat="1" ht="15">
      <c r="A622" s="611"/>
      <c r="B622" s="611"/>
      <c r="C622" s="610"/>
      <c r="D622" s="612"/>
      <c r="E622" s="612"/>
      <c r="F622" s="612"/>
      <c r="G622" s="612"/>
      <c r="H622" s="612"/>
      <c r="I622" s="612"/>
      <c r="J622" s="612"/>
      <c r="K622" s="612"/>
      <c r="L622" s="612"/>
      <c r="M622" s="612"/>
      <c r="N622" s="612"/>
      <c r="O622" s="612"/>
      <c r="P622" s="612"/>
    </row>
    <row r="623" spans="1:16" s="643" customFormat="1" ht="15">
      <c r="A623" s="611"/>
      <c r="B623" s="611"/>
      <c r="C623" s="610"/>
      <c r="D623" s="612"/>
      <c r="E623" s="612"/>
      <c r="F623" s="612"/>
      <c r="G623" s="612"/>
      <c r="H623" s="612"/>
      <c r="I623" s="612"/>
      <c r="J623" s="612"/>
      <c r="K623" s="612"/>
      <c r="L623" s="612"/>
      <c r="M623" s="612"/>
      <c r="N623" s="612"/>
      <c r="O623" s="612"/>
      <c r="P623" s="612"/>
    </row>
    <row r="624" spans="1:16" s="643" customFormat="1" ht="15">
      <c r="A624" s="611"/>
      <c r="B624" s="611"/>
      <c r="C624" s="610"/>
      <c r="D624" s="612"/>
      <c r="E624" s="612"/>
      <c r="F624" s="612"/>
      <c r="G624" s="612"/>
      <c r="H624" s="612"/>
      <c r="I624" s="612"/>
      <c r="J624" s="612"/>
      <c r="K624" s="612"/>
      <c r="L624" s="612"/>
      <c r="M624" s="612"/>
      <c r="N624" s="612"/>
      <c r="O624" s="612"/>
      <c r="P624" s="612"/>
    </row>
    <row r="625" spans="1:16" s="643" customFormat="1" ht="15">
      <c r="A625" s="611"/>
      <c r="B625" s="611"/>
      <c r="C625" s="610"/>
      <c r="D625" s="612"/>
      <c r="E625" s="612"/>
      <c r="F625" s="612"/>
      <c r="G625" s="612"/>
      <c r="H625" s="612"/>
      <c r="I625" s="612"/>
      <c r="J625" s="612"/>
      <c r="K625" s="612"/>
      <c r="L625" s="612"/>
      <c r="M625" s="612"/>
      <c r="N625" s="612"/>
      <c r="O625" s="612"/>
      <c r="P625" s="612"/>
    </row>
    <row r="626" spans="1:16" s="643" customFormat="1" ht="15">
      <c r="A626" s="611"/>
      <c r="B626" s="611"/>
      <c r="C626" s="610"/>
      <c r="D626" s="612"/>
      <c r="E626" s="612"/>
      <c r="F626" s="612"/>
      <c r="G626" s="612"/>
      <c r="H626" s="612"/>
      <c r="I626" s="612"/>
      <c r="J626" s="612"/>
      <c r="K626" s="612"/>
      <c r="L626" s="612"/>
      <c r="M626" s="612"/>
      <c r="N626" s="612"/>
      <c r="O626" s="612"/>
      <c r="P626" s="612"/>
    </row>
    <row r="627" spans="1:16" s="643" customFormat="1" ht="15">
      <c r="A627" s="611"/>
      <c r="B627" s="611"/>
      <c r="C627" s="610"/>
      <c r="D627" s="612"/>
      <c r="E627" s="612"/>
      <c r="F627" s="612"/>
      <c r="G627" s="612"/>
      <c r="H627" s="612"/>
      <c r="I627" s="612"/>
      <c r="J627" s="612"/>
      <c r="K627" s="612"/>
      <c r="L627" s="612"/>
      <c r="M627" s="612"/>
      <c r="N627" s="612"/>
      <c r="O627" s="612"/>
      <c r="P627" s="612"/>
    </row>
    <row r="628" spans="1:16" s="643" customFormat="1" ht="15">
      <c r="A628" s="611"/>
      <c r="B628" s="611"/>
      <c r="C628" s="610"/>
      <c r="D628" s="612"/>
      <c r="E628" s="612"/>
      <c r="F628" s="612"/>
      <c r="G628" s="612"/>
      <c r="H628" s="612"/>
      <c r="I628" s="612"/>
      <c r="J628" s="612"/>
      <c r="K628" s="612"/>
      <c r="L628" s="612"/>
      <c r="M628" s="612"/>
      <c r="N628" s="612"/>
      <c r="O628" s="612"/>
      <c r="P628" s="612"/>
    </row>
    <row r="629" spans="1:16" s="643" customFormat="1" ht="15">
      <c r="A629" s="611"/>
      <c r="B629" s="611"/>
      <c r="C629" s="610"/>
      <c r="D629" s="612"/>
      <c r="E629" s="612"/>
      <c r="F629" s="612"/>
      <c r="G629" s="612"/>
      <c r="H629" s="612"/>
      <c r="I629" s="612"/>
      <c r="J629" s="612"/>
      <c r="K629" s="612"/>
      <c r="L629" s="612"/>
      <c r="M629" s="612"/>
      <c r="N629" s="612"/>
      <c r="O629" s="612"/>
      <c r="P629" s="612"/>
    </row>
    <row r="630" spans="1:16" s="643" customFormat="1" ht="15">
      <c r="A630" s="611"/>
      <c r="B630" s="611"/>
      <c r="C630" s="610"/>
      <c r="D630" s="612"/>
      <c r="E630" s="612"/>
      <c r="F630" s="612"/>
      <c r="G630" s="612"/>
      <c r="H630" s="612"/>
      <c r="I630" s="612"/>
      <c r="J630" s="612"/>
      <c r="K630" s="612"/>
      <c r="L630" s="612"/>
      <c r="M630" s="612"/>
      <c r="N630" s="612"/>
      <c r="O630" s="612"/>
      <c r="P630" s="612"/>
    </row>
    <row r="631" spans="1:16" s="643" customFormat="1" ht="15">
      <c r="A631" s="611"/>
      <c r="B631" s="611"/>
      <c r="C631" s="610"/>
      <c r="D631" s="612"/>
      <c r="E631" s="612"/>
      <c r="F631" s="612"/>
      <c r="G631" s="612"/>
      <c r="H631" s="612"/>
      <c r="I631" s="612"/>
      <c r="J631" s="612"/>
      <c r="K631" s="612"/>
      <c r="L631" s="612"/>
      <c r="M631" s="612"/>
      <c r="N631" s="612"/>
      <c r="O631" s="612"/>
      <c r="P631" s="612"/>
    </row>
    <row r="632" spans="1:16" s="643" customFormat="1" ht="15">
      <c r="A632" s="611"/>
      <c r="B632" s="611"/>
      <c r="C632" s="610"/>
      <c r="D632" s="612"/>
      <c r="E632" s="612"/>
      <c r="F632" s="612"/>
      <c r="G632" s="612"/>
      <c r="H632" s="612"/>
      <c r="I632" s="612"/>
      <c r="J632" s="612"/>
      <c r="K632" s="612"/>
      <c r="L632" s="612"/>
      <c r="M632" s="612"/>
      <c r="N632" s="612"/>
      <c r="O632" s="612"/>
      <c r="P632" s="612"/>
    </row>
    <row r="633" spans="1:16" s="643" customFormat="1" ht="15">
      <c r="A633" s="611"/>
      <c r="B633" s="611"/>
      <c r="C633" s="610"/>
      <c r="D633" s="612"/>
      <c r="E633" s="612"/>
      <c r="F633" s="612"/>
      <c r="G633" s="612"/>
      <c r="H633" s="612"/>
      <c r="I633" s="612"/>
      <c r="J633" s="612"/>
      <c r="K633" s="612"/>
      <c r="L633" s="612"/>
      <c r="M633" s="612"/>
      <c r="N633" s="612"/>
      <c r="O633" s="612"/>
      <c r="P633" s="612"/>
    </row>
    <row r="634" spans="1:16" s="643" customFormat="1" ht="15">
      <c r="A634" s="611"/>
      <c r="B634" s="611"/>
      <c r="C634" s="610"/>
      <c r="D634" s="612"/>
      <c r="E634" s="612"/>
      <c r="F634" s="612"/>
      <c r="G634" s="612"/>
      <c r="H634" s="612"/>
      <c r="I634" s="612"/>
      <c r="J634" s="612"/>
      <c r="K634" s="612"/>
      <c r="L634" s="612"/>
      <c r="M634" s="612"/>
      <c r="N634" s="612"/>
      <c r="O634" s="612"/>
      <c r="P634" s="612"/>
    </row>
    <row r="635" spans="1:16" s="643" customFormat="1" ht="15">
      <c r="A635" s="611"/>
      <c r="B635" s="611"/>
      <c r="C635" s="610"/>
      <c r="D635" s="612"/>
      <c r="E635" s="612"/>
      <c r="F635" s="612"/>
      <c r="G635" s="612"/>
      <c r="H635" s="612"/>
      <c r="I635" s="612"/>
      <c r="J635" s="612"/>
      <c r="K635" s="612"/>
      <c r="L635" s="612"/>
      <c r="M635" s="612"/>
      <c r="N635" s="612"/>
      <c r="O635" s="612"/>
      <c r="P635" s="612"/>
    </row>
    <row r="636" spans="1:16" s="643" customFormat="1" ht="15">
      <c r="A636" s="611"/>
      <c r="B636" s="611"/>
      <c r="C636" s="610"/>
      <c r="D636" s="612"/>
      <c r="E636" s="612"/>
      <c r="F636" s="612"/>
      <c r="G636" s="612"/>
      <c r="H636" s="612"/>
      <c r="I636" s="612"/>
      <c r="J636" s="612"/>
      <c r="K636" s="612"/>
      <c r="L636" s="612"/>
      <c r="M636" s="612"/>
      <c r="N636" s="612"/>
      <c r="O636" s="612"/>
      <c r="P636" s="612"/>
    </row>
    <row r="637" spans="1:16" s="643" customFormat="1" ht="15">
      <c r="A637" s="611"/>
      <c r="B637" s="611"/>
      <c r="C637" s="610"/>
      <c r="D637" s="612"/>
      <c r="E637" s="612"/>
      <c r="F637" s="612"/>
      <c r="G637" s="612"/>
      <c r="H637" s="612"/>
      <c r="I637" s="612"/>
      <c r="J637" s="612"/>
      <c r="K637" s="612"/>
      <c r="L637" s="612"/>
      <c r="M637" s="612"/>
      <c r="N637" s="612"/>
      <c r="O637" s="612"/>
      <c r="P637" s="612"/>
    </row>
    <row r="638" spans="1:16" s="643" customFormat="1" ht="15">
      <c r="A638" s="611"/>
      <c r="B638" s="611"/>
      <c r="C638" s="610"/>
      <c r="D638" s="612"/>
      <c r="E638" s="612"/>
      <c r="F638" s="612"/>
      <c r="G638" s="612"/>
      <c r="H638" s="612"/>
      <c r="I638" s="612"/>
      <c r="J638" s="612"/>
      <c r="K638" s="612"/>
      <c r="L638" s="612"/>
      <c r="M638" s="612"/>
      <c r="N638" s="612"/>
      <c r="O638" s="612"/>
      <c r="P638" s="612"/>
    </row>
    <row r="639" spans="1:16" s="643" customFormat="1" ht="15">
      <c r="A639" s="611"/>
      <c r="B639" s="611"/>
      <c r="C639" s="610"/>
      <c r="D639" s="612"/>
      <c r="E639" s="612"/>
      <c r="F639" s="612"/>
      <c r="G639" s="612"/>
      <c r="H639" s="612"/>
      <c r="I639" s="612"/>
      <c r="J639" s="612"/>
      <c r="K639" s="612"/>
      <c r="L639" s="612"/>
      <c r="M639" s="612"/>
      <c r="N639" s="612"/>
      <c r="O639" s="612"/>
      <c r="P639" s="612"/>
    </row>
    <row r="640" spans="1:16" s="643" customFormat="1" ht="15">
      <c r="A640" s="611"/>
      <c r="B640" s="611"/>
      <c r="C640" s="610"/>
      <c r="D640" s="612"/>
      <c r="E640" s="612"/>
      <c r="F640" s="612"/>
      <c r="G640" s="612"/>
      <c r="H640" s="612"/>
      <c r="I640" s="612"/>
      <c r="J640" s="612"/>
      <c r="K640" s="612"/>
      <c r="L640" s="612"/>
      <c r="M640" s="612"/>
      <c r="N640" s="612"/>
      <c r="O640" s="612"/>
      <c r="P640" s="612"/>
    </row>
    <row r="641" spans="1:16" s="643" customFormat="1" ht="15">
      <c r="A641" s="611"/>
      <c r="B641" s="611"/>
      <c r="C641" s="610"/>
      <c r="D641" s="612"/>
      <c r="E641" s="612"/>
      <c r="F641" s="612"/>
      <c r="G641" s="612"/>
      <c r="H641" s="612"/>
      <c r="I641" s="612"/>
      <c r="J641" s="612"/>
      <c r="K641" s="612"/>
      <c r="L641" s="612"/>
      <c r="M641" s="612"/>
      <c r="N641" s="612"/>
      <c r="O641" s="612"/>
      <c r="P641" s="612"/>
    </row>
    <row r="642" spans="1:16" s="643" customFormat="1" ht="15">
      <c r="A642" s="611"/>
      <c r="B642" s="611"/>
      <c r="C642" s="610"/>
      <c r="D642" s="612"/>
      <c r="E642" s="612"/>
      <c r="F642" s="612"/>
      <c r="G642" s="612"/>
      <c r="H642" s="612"/>
      <c r="I642" s="612"/>
      <c r="J642" s="612"/>
      <c r="K642" s="612"/>
      <c r="L642" s="612"/>
      <c r="M642" s="612"/>
      <c r="N642" s="612"/>
      <c r="O642" s="612"/>
      <c r="P642" s="612"/>
    </row>
    <row r="643" spans="1:16" s="643" customFormat="1" ht="15">
      <c r="A643" s="611"/>
      <c r="B643" s="611"/>
      <c r="C643" s="610"/>
      <c r="D643" s="612"/>
      <c r="E643" s="612"/>
      <c r="F643" s="612"/>
      <c r="G643" s="612"/>
      <c r="H643" s="612"/>
      <c r="I643" s="612"/>
      <c r="J643" s="612"/>
      <c r="K643" s="612"/>
      <c r="L643" s="612"/>
      <c r="M643" s="612"/>
      <c r="N643" s="612"/>
      <c r="O643" s="612"/>
      <c r="P643" s="612"/>
    </row>
    <row r="644" spans="1:16" s="643" customFormat="1" ht="15">
      <c r="A644" s="611"/>
      <c r="B644" s="611"/>
      <c r="C644" s="610"/>
      <c r="D644" s="612"/>
      <c r="E644" s="612"/>
      <c r="F644" s="612"/>
      <c r="G644" s="612"/>
      <c r="H644" s="612"/>
      <c r="I644" s="612"/>
      <c r="J644" s="612"/>
      <c r="K644" s="612"/>
      <c r="L644" s="612"/>
      <c r="M644" s="612"/>
      <c r="N644" s="612"/>
      <c r="O644" s="612"/>
      <c r="P644" s="612"/>
    </row>
    <row r="645" spans="1:16" s="643" customFormat="1" ht="15">
      <c r="A645" s="611"/>
      <c r="B645" s="611"/>
      <c r="C645" s="610"/>
      <c r="D645" s="612"/>
      <c r="E645" s="612"/>
      <c r="F645" s="612"/>
      <c r="G645" s="612"/>
      <c r="H645" s="612"/>
      <c r="I645" s="612"/>
      <c r="J645" s="612"/>
      <c r="K645" s="612"/>
      <c r="L645" s="612"/>
      <c r="M645" s="612"/>
      <c r="N645" s="612"/>
      <c r="O645" s="612"/>
      <c r="P645" s="612"/>
    </row>
    <row r="646" spans="1:16" s="643" customFormat="1" ht="15">
      <c r="A646" s="611"/>
      <c r="B646" s="611"/>
      <c r="C646" s="610"/>
      <c r="D646" s="612"/>
      <c r="E646" s="612"/>
      <c r="F646" s="612"/>
      <c r="G646" s="612"/>
      <c r="H646" s="612"/>
      <c r="I646" s="612"/>
      <c r="J646" s="612"/>
      <c r="K646" s="612"/>
      <c r="L646" s="612"/>
      <c r="M646" s="612"/>
      <c r="N646" s="612"/>
      <c r="O646" s="612"/>
      <c r="P646" s="612"/>
    </row>
    <row r="647" spans="1:16" s="643" customFormat="1" ht="15">
      <c r="A647" s="611"/>
      <c r="B647" s="611"/>
      <c r="C647" s="610"/>
      <c r="D647" s="612"/>
      <c r="E647" s="612"/>
      <c r="F647" s="612"/>
      <c r="G647" s="612"/>
      <c r="H647" s="612"/>
      <c r="I647" s="612"/>
      <c r="J647" s="612"/>
      <c r="K647" s="612"/>
      <c r="L647" s="612"/>
      <c r="M647" s="612"/>
      <c r="N647" s="612"/>
      <c r="O647" s="612"/>
      <c r="P647" s="612"/>
    </row>
    <row r="648" spans="1:16" s="643" customFormat="1" ht="15">
      <c r="A648" s="611"/>
      <c r="B648" s="611"/>
      <c r="C648" s="610"/>
      <c r="D648" s="612"/>
      <c r="E648" s="612"/>
      <c r="F648" s="612"/>
      <c r="G648" s="612"/>
      <c r="H648" s="612"/>
      <c r="I648" s="612"/>
      <c r="J648" s="612"/>
      <c r="K648" s="612"/>
      <c r="L648" s="612"/>
      <c r="M648" s="612"/>
      <c r="N648" s="612"/>
      <c r="O648" s="612"/>
      <c r="P648" s="612"/>
    </row>
    <row r="649" spans="1:16" s="643" customFormat="1" ht="15">
      <c r="A649" s="611"/>
      <c r="B649" s="611"/>
      <c r="C649" s="610"/>
      <c r="D649" s="612"/>
      <c r="E649" s="612"/>
      <c r="F649" s="612"/>
      <c r="G649" s="612"/>
      <c r="H649" s="612"/>
      <c r="I649" s="612"/>
      <c r="J649" s="612"/>
      <c r="K649" s="612"/>
      <c r="L649" s="612"/>
      <c r="M649" s="612"/>
      <c r="N649" s="612"/>
      <c r="O649" s="612"/>
      <c r="P649" s="612"/>
    </row>
    <row r="650" spans="1:16" s="643" customFormat="1" ht="15">
      <c r="A650" s="611"/>
      <c r="B650" s="611"/>
      <c r="C650" s="610"/>
      <c r="D650" s="612"/>
      <c r="E650" s="612"/>
      <c r="F650" s="612"/>
      <c r="G650" s="612"/>
      <c r="H650" s="612"/>
      <c r="I650" s="612"/>
      <c r="J650" s="612"/>
      <c r="K650" s="612"/>
      <c r="L650" s="612"/>
      <c r="M650" s="612"/>
      <c r="N650" s="612"/>
      <c r="O650" s="612"/>
      <c r="P650" s="612"/>
    </row>
    <row r="651" spans="1:16" s="643" customFormat="1" ht="15">
      <c r="A651" s="611"/>
      <c r="B651" s="611"/>
      <c r="C651" s="610"/>
      <c r="D651" s="612"/>
      <c r="E651" s="612"/>
      <c r="F651" s="612"/>
      <c r="G651" s="612"/>
      <c r="H651" s="612"/>
      <c r="I651" s="612"/>
      <c r="J651" s="612"/>
      <c r="K651" s="612"/>
      <c r="L651" s="612"/>
      <c r="M651" s="612"/>
      <c r="N651" s="612"/>
      <c r="O651" s="612"/>
      <c r="P651" s="612"/>
    </row>
    <row r="652" spans="1:16" s="643" customFormat="1" ht="15">
      <c r="A652" s="611"/>
      <c r="B652" s="611"/>
      <c r="C652" s="610"/>
      <c r="D652" s="612"/>
      <c r="E652" s="612"/>
      <c r="F652" s="612"/>
      <c r="G652" s="612"/>
      <c r="H652" s="612"/>
      <c r="I652" s="612"/>
      <c r="J652" s="612"/>
      <c r="K652" s="612"/>
      <c r="L652" s="612"/>
      <c r="M652" s="612"/>
      <c r="N652" s="612"/>
      <c r="O652" s="612"/>
      <c r="P652" s="612"/>
    </row>
    <row r="653" spans="1:16" s="643" customFormat="1" ht="15">
      <c r="A653" s="611"/>
      <c r="B653" s="611"/>
      <c r="C653" s="610"/>
      <c r="D653" s="612"/>
      <c r="E653" s="612"/>
      <c r="F653" s="612"/>
      <c r="G653" s="612"/>
      <c r="H653" s="612"/>
      <c r="I653" s="612"/>
      <c r="J653" s="612"/>
      <c r="K653" s="612"/>
      <c r="L653" s="612"/>
      <c r="M653" s="612"/>
      <c r="N653" s="612"/>
      <c r="O653" s="612"/>
      <c r="P653" s="612"/>
    </row>
    <row r="654" spans="1:16" s="643" customFormat="1" ht="15">
      <c r="A654" s="611"/>
      <c r="B654" s="611"/>
      <c r="C654" s="610"/>
      <c r="D654" s="612"/>
      <c r="E654" s="612"/>
      <c r="F654" s="612"/>
      <c r="G654" s="612"/>
      <c r="H654" s="612"/>
      <c r="I654" s="612"/>
      <c r="J654" s="612"/>
      <c r="K654" s="612"/>
      <c r="L654" s="612"/>
      <c r="M654" s="612"/>
      <c r="N654" s="612"/>
      <c r="O654" s="612"/>
      <c r="P654" s="612"/>
    </row>
    <row r="655" spans="1:16" s="643" customFormat="1" ht="15">
      <c r="A655" s="611"/>
      <c r="B655" s="611"/>
      <c r="C655" s="610"/>
      <c r="D655" s="612"/>
      <c r="E655" s="612"/>
      <c r="F655" s="612"/>
      <c r="G655" s="612"/>
      <c r="H655" s="612"/>
      <c r="I655" s="612"/>
      <c r="J655" s="612"/>
      <c r="K655" s="612"/>
      <c r="L655" s="612"/>
      <c r="M655" s="612"/>
      <c r="N655" s="612"/>
      <c r="O655" s="612"/>
      <c r="P655" s="612"/>
    </row>
    <row r="656" spans="1:16" s="643" customFormat="1" ht="15">
      <c r="A656" s="611"/>
      <c r="B656" s="611"/>
      <c r="C656" s="610"/>
      <c r="D656" s="612"/>
      <c r="E656" s="612"/>
      <c r="F656" s="612"/>
      <c r="G656" s="612"/>
      <c r="H656" s="612"/>
      <c r="I656" s="612"/>
      <c r="J656" s="612"/>
      <c r="K656" s="612"/>
      <c r="L656" s="612"/>
      <c r="M656" s="612"/>
      <c r="N656" s="612"/>
      <c r="O656" s="612"/>
      <c r="P656" s="612"/>
    </row>
    <row r="657" spans="1:16" s="643" customFormat="1" ht="15">
      <c r="A657" s="611"/>
      <c r="B657" s="611"/>
      <c r="C657" s="610"/>
      <c r="D657" s="612"/>
      <c r="E657" s="612"/>
      <c r="F657" s="612"/>
      <c r="G657" s="612"/>
      <c r="H657" s="612"/>
      <c r="I657" s="612"/>
      <c r="J657" s="612"/>
      <c r="K657" s="612"/>
      <c r="L657" s="612"/>
      <c r="M657" s="612"/>
      <c r="N657" s="612"/>
      <c r="O657" s="612"/>
      <c r="P657" s="612"/>
    </row>
    <row r="658" spans="1:16" s="643" customFormat="1" ht="15">
      <c r="A658" s="611"/>
      <c r="B658" s="611"/>
      <c r="C658" s="610"/>
      <c r="D658" s="612"/>
      <c r="E658" s="612"/>
      <c r="F658" s="612"/>
      <c r="G658" s="612"/>
      <c r="H658" s="612"/>
      <c r="I658" s="612"/>
      <c r="J658" s="612"/>
      <c r="K658" s="612"/>
      <c r="L658" s="612"/>
      <c r="M658" s="612"/>
      <c r="N658" s="612"/>
      <c r="O658" s="612"/>
      <c r="P658" s="612"/>
    </row>
    <row r="659" spans="1:16" s="643" customFormat="1" ht="15">
      <c r="A659" s="611"/>
      <c r="B659" s="611"/>
      <c r="C659" s="610"/>
      <c r="D659" s="612"/>
      <c r="E659" s="612"/>
      <c r="F659" s="612"/>
      <c r="G659" s="612"/>
      <c r="H659" s="612"/>
      <c r="I659" s="612"/>
      <c r="J659" s="612"/>
      <c r="K659" s="612"/>
      <c r="L659" s="612"/>
      <c r="M659" s="612"/>
      <c r="N659" s="612"/>
      <c r="O659" s="612"/>
      <c r="P659" s="612"/>
    </row>
    <row r="660" spans="1:16" s="643" customFormat="1" ht="15">
      <c r="A660" s="611"/>
      <c r="B660" s="611"/>
      <c r="C660" s="610"/>
      <c r="D660" s="612"/>
      <c r="E660" s="612"/>
      <c r="F660" s="612"/>
      <c r="G660" s="612"/>
      <c r="H660" s="612"/>
      <c r="I660" s="612"/>
      <c r="J660" s="612"/>
      <c r="K660" s="612"/>
      <c r="L660" s="612"/>
      <c r="M660" s="612"/>
      <c r="N660" s="612"/>
      <c r="O660" s="612"/>
      <c r="P660" s="612"/>
    </row>
    <row r="661" spans="1:16" s="643" customFormat="1" ht="15">
      <c r="A661" s="611"/>
      <c r="B661" s="611"/>
      <c r="C661" s="610"/>
      <c r="D661" s="612"/>
      <c r="E661" s="612"/>
      <c r="F661" s="612"/>
      <c r="G661" s="612"/>
      <c r="H661" s="612"/>
      <c r="I661" s="612"/>
      <c r="J661" s="612"/>
      <c r="K661" s="612"/>
      <c r="L661" s="612"/>
      <c r="M661" s="612"/>
      <c r="N661" s="612"/>
      <c r="O661" s="612"/>
      <c r="P661" s="612"/>
    </row>
    <row r="662" spans="1:16" s="643" customFormat="1" ht="15">
      <c r="A662" s="611"/>
      <c r="B662" s="611"/>
      <c r="C662" s="610"/>
      <c r="D662" s="612"/>
      <c r="E662" s="612"/>
      <c r="F662" s="612"/>
      <c r="G662" s="612"/>
      <c r="H662" s="612"/>
      <c r="I662" s="612"/>
      <c r="J662" s="612"/>
      <c r="K662" s="612"/>
      <c r="L662" s="612"/>
      <c r="M662" s="612"/>
      <c r="N662" s="612"/>
      <c r="O662" s="612"/>
      <c r="P662" s="612"/>
    </row>
    <row r="663" spans="1:16" s="643" customFormat="1" ht="15">
      <c r="A663" s="611"/>
      <c r="B663" s="611"/>
      <c r="C663" s="610"/>
      <c r="D663" s="612"/>
      <c r="E663" s="612"/>
      <c r="F663" s="612"/>
      <c r="G663" s="612"/>
      <c r="H663" s="612"/>
      <c r="I663" s="612"/>
      <c r="J663" s="612"/>
      <c r="K663" s="612"/>
      <c r="L663" s="612"/>
      <c r="M663" s="612"/>
      <c r="N663" s="612"/>
      <c r="O663" s="612"/>
      <c r="P663" s="612"/>
    </row>
    <row r="664" spans="1:16" s="643" customFormat="1" ht="15">
      <c r="A664" s="611"/>
      <c r="B664" s="611"/>
      <c r="C664" s="610"/>
      <c r="D664" s="612"/>
      <c r="E664" s="612"/>
      <c r="F664" s="612"/>
      <c r="G664" s="612"/>
      <c r="H664" s="612"/>
      <c r="I664" s="612"/>
      <c r="J664" s="612"/>
      <c r="K664" s="612"/>
      <c r="L664" s="612"/>
      <c r="M664" s="612"/>
      <c r="N664" s="612"/>
      <c r="O664" s="612"/>
      <c r="P664" s="612"/>
    </row>
    <row r="665" spans="1:16" s="643" customFormat="1" ht="15">
      <c r="A665" s="611"/>
      <c r="B665" s="611"/>
      <c r="C665" s="610"/>
      <c r="D665" s="612"/>
      <c r="E665" s="612"/>
      <c r="F665" s="612"/>
      <c r="G665" s="612"/>
      <c r="H665" s="612"/>
      <c r="I665" s="612"/>
      <c r="J665" s="612"/>
      <c r="K665" s="612"/>
      <c r="L665" s="612"/>
      <c r="M665" s="612"/>
      <c r="N665" s="612"/>
      <c r="O665" s="612"/>
      <c r="P665" s="612"/>
    </row>
    <row r="666" spans="1:16" s="643" customFormat="1" ht="15">
      <c r="A666" s="611"/>
      <c r="B666" s="611"/>
      <c r="C666" s="610"/>
      <c r="D666" s="612"/>
      <c r="E666" s="612"/>
      <c r="F666" s="612"/>
      <c r="G666" s="612"/>
      <c r="H666" s="612"/>
      <c r="I666" s="612"/>
      <c r="J666" s="612"/>
      <c r="K666" s="612"/>
      <c r="L666" s="612"/>
      <c r="M666" s="612"/>
      <c r="N666" s="612"/>
      <c r="O666" s="612"/>
      <c r="P666" s="612"/>
    </row>
    <row r="667" spans="1:16" s="643" customFormat="1" ht="15">
      <c r="A667" s="611"/>
      <c r="B667" s="611"/>
      <c r="C667" s="610"/>
      <c r="D667" s="612"/>
      <c r="E667" s="612"/>
      <c r="F667" s="612"/>
      <c r="G667" s="612"/>
      <c r="H667" s="612"/>
      <c r="I667" s="612"/>
      <c r="J667" s="612"/>
      <c r="K667" s="612"/>
      <c r="L667" s="612"/>
      <c r="M667" s="612"/>
      <c r="N667" s="612"/>
      <c r="O667" s="612"/>
      <c r="P667" s="612"/>
    </row>
    <row r="668" spans="1:16" s="643" customFormat="1" ht="15">
      <c r="A668" s="611"/>
      <c r="B668" s="611"/>
      <c r="C668" s="610"/>
      <c r="D668" s="612"/>
      <c r="E668" s="612"/>
      <c r="F668" s="612"/>
      <c r="G668" s="612"/>
      <c r="H668" s="612"/>
      <c r="I668" s="612"/>
      <c r="J668" s="612"/>
      <c r="K668" s="612"/>
      <c r="L668" s="612"/>
      <c r="M668" s="612"/>
      <c r="N668" s="612"/>
      <c r="O668" s="612"/>
      <c r="P668" s="612"/>
    </row>
    <row r="669" spans="1:16" s="643" customFormat="1" ht="15">
      <c r="A669" s="611"/>
      <c r="B669" s="611"/>
      <c r="C669" s="610"/>
      <c r="D669" s="612"/>
      <c r="E669" s="612"/>
      <c r="F669" s="612"/>
      <c r="G669" s="612"/>
      <c r="H669" s="612"/>
      <c r="I669" s="612"/>
      <c r="J669" s="612"/>
      <c r="K669" s="612"/>
      <c r="L669" s="612"/>
      <c r="M669" s="612"/>
      <c r="N669" s="612"/>
      <c r="O669" s="612"/>
      <c r="P669" s="612"/>
    </row>
    <row r="670" spans="1:16" s="643" customFormat="1" ht="15">
      <c r="A670" s="611"/>
      <c r="B670" s="611"/>
      <c r="C670" s="610"/>
      <c r="D670" s="612"/>
      <c r="E670" s="612"/>
      <c r="F670" s="612"/>
      <c r="G670" s="612"/>
      <c r="H670" s="612"/>
      <c r="I670" s="612"/>
      <c r="J670" s="612"/>
      <c r="K670" s="612"/>
      <c r="L670" s="612"/>
      <c r="M670" s="612"/>
      <c r="N670" s="612"/>
      <c r="O670" s="612"/>
      <c r="P670" s="612"/>
    </row>
    <row r="671" spans="1:16" s="643" customFormat="1" ht="15">
      <c r="A671" s="611"/>
      <c r="B671" s="611"/>
      <c r="C671" s="610"/>
      <c r="D671" s="612"/>
      <c r="E671" s="612"/>
      <c r="F671" s="612"/>
      <c r="G671" s="612"/>
      <c r="H671" s="612"/>
      <c r="I671" s="612"/>
      <c r="J671" s="612"/>
      <c r="K671" s="612"/>
      <c r="L671" s="612"/>
      <c r="M671" s="612"/>
      <c r="N671" s="612"/>
      <c r="O671" s="612"/>
      <c r="P671" s="612"/>
    </row>
    <row r="672" spans="1:16" s="643" customFormat="1" ht="15">
      <c r="A672" s="611"/>
      <c r="B672" s="611"/>
      <c r="C672" s="610"/>
      <c r="D672" s="612"/>
      <c r="E672" s="612"/>
      <c r="F672" s="612"/>
      <c r="G672" s="612"/>
      <c r="H672" s="612"/>
      <c r="I672" s="612"/>
      <c r="J672" s="612"/>
      <c r="K672" s="612"/>
      <c r="L672" s="612"/>
      <c r="M672" s="612"/>
      <c r="N672" s="612"/>
      <c r="O672" s="612"/>
      <c r="P672" s="612"/>
    </row>
    <row r="673" spans="1:16" s="643" customFormat="1" ht="15">
      <c r="A673" s="611"/>
      <c r="B673" s="611"/>
      <c r="C673" s="610"/>
      <c r="D673" s="612"/>
      <c r="E673" s="612"/>
      <c r="F673" s="612"/>
      <c r="G673" s="612"/>
      <c r="H673" s="612"/>
      <c r="I673" s="612"/>
      <c r="J673" s="612"/>
      <c r="K673" s="612"/>
      <c r="L673" s="612"/>
      <c r="M673" s="612"/>
      <c r="N673" s="612"/>
      <c r="O673" s="612"/>
      <c r="P673" s="612"/>
    </row>
    <row r="674" spans="1:16" s="643" customFormat="1" ht="15">
      <c r="A674" s="611"/>
      <c r="B674" s="611"/>
      <c r="C674" s="610"/>
      <c r="D674" s="612"/>
      <c r="E674" s="612"/>
      <c r="F674" s="612"/>
      <c r="G674" s="612"/>
      <c r="H674" s="612"/>
      <c r="I674" s="612"/>
      <c r="J674" s="612"/>
      <c r="K674" s="612"/>
      <c r="L674" s="612"/>
      <c r="M674" s="612"/>
      <c r="N674" s="612"/>
      <c r="O674" s="612"/>
      <c r="P674" s="612"/>
    </row>
    <row r="675" spans="1:16" s="643" customFormat="1" ht="15">
      <c r="A675" s="611"/>
      <c r="B675" s="611"/>
      <c r="C675" s="610"/>
      <c r="D675" s="612"/>
      <c r="E675" s="612"/>
      <c r="F675" s="612"/>
      <c r="G675" s="612"/>
      <c r="H675" s="612"/>
      <c r="I675" s="612"/>
      <c r="J675" s="612"/>
      <c r="K675" s="612"/>
      <c r="L675" s="612"/>
      <c r="M675" s="612"/>
      <c r="N675" s="612"/>
      <c r="O675" s="612"/>
      <c r="P675" s="612"/>
    </row>
    <row r="676" spans="1:16" s="643" customFormat="1" ht="15">
      <c r="A676" s="611"/>
      <c r="B676" s="611"/>
      <c r="C676" s="610"/>
      <c r="D676" s="612"/>
      <c r="E676" s="612"/>
      <c r="F676" s="612"/>
      <c r="G676" s="612"/>
      <c r="H676" s="612"/>
      <c r="I676" s="612"/>
      <c r="J676" s="612"/>
      <c r="K676" s="612"/>
      <c r="L676" s="612"/>
      <c r="M676" s="612"/>
      <c r="N676" s="612"/>
      <c r="O676" s="612"/>
      <c r="P676" s="612"/>
    </row>
    <row r="677" spans="1:16" s="643" customFormat="1" ht="15">
      <c r="A677" s="611"/>
      <c r="B677" s="611"/>
      <c r="C677" s="610"/>
      <c r="D677" s="612"/>
      <c r="E677" s="612"/>
      <c r="F677" s="612"/>
      <c r="G677" s="612"/>
      <c r="H677" s="612"/>
      <c r="I677" s="612"/>
      <c r="J677" s="612"/>
      <c r="K677" s="612"/>
      <c r="L677" s="612"/>
      <c r="M677" s="612"/>
      <c r="N677" s="612"/>
      <c r="O677" s="612"/>
      <c r="P677" s="612"/>
    </row>
    <row r="678" spans="1:16" s="643" customFormat="1" ht="15">
      <c r="A678" s="611"/>
      <c r="B678" s="611"/>
      <c r="C678" s="610"/>
      <c r="D678" s="612"/>
      <c r="E678" s="612"/>
      <c r="F678" s="612"/>
      <c r="G678" s="612"/>
      <c r="H678" s="612"/>
      <c r="I678" s="612"/>
      <c r="J678" s="612"/>
      <c r="K678" s="612"/>
      <c r="L678" s="612"/>
      <c r="M678" s="612"/>
      <c r="N678" s="612"/>
      <c r="O678" s="612"/>
      <c r="P678" s="612"/>
    </row>
    <row r="679" spans="1:16" s="643" customFormat="1" ht="15">
      <c r="A679" s="611"/>
      <c r="B679" s="611"/>
      <c r="C679" s="610"/>
      <c r="D679" s="612"/>
      <c r="E679" s="612"/>
      <c r="F679" s="612"/>
      <c r="G679" s="612"/>
      <c r="H679" s="612"/>
      <c r="I679" s="612"/>
      <c r="J679" s="612"/>
      <c r="K679" s="612"/>
      <c r="L679" s="612"/>
      <c r="M679" s="612"/>
      <c r="N679" s="612"/>
      <c r="O679" s="612"/>
      <c r="P679" s="612"/>
    </row>
    <row r="680" spans="1:16" s="643" customFormat="1" ht="15">
      <c r="A680" s="611"/>
      <c r="B680" s="611"/>
      <c r="C680" s="610"/>
      <c r="D680" s="612"/>
      <c r="E680" s="612"/>
      <c r="F680" s="612"/>
      <c r="G680" s="612"/>
      <c r="H680" s="612"/>
      <c r="I680" s="612"/>
      <c r="J680" s="612"/>
      <c r="K680" s="612"/>
      <c r="L680" s="612"/>
      <c r="M680" s="612"/>
      <c r="N680" s="612"/>
      <c r="O680" s="612"/>
      <c r="P680" s="612"/>
    </row>
    <row r="681" spans="1:16" s="643" customFormat="1" ht="15">
      <c r="A681" s="611"/>
      <c r="B681" s="611"/>
      <c r="C681" s="610"/>
      <c r="D681" s="612"/>
      <c r="E681" s="612"/>
      <c r="F681" s="612"/>
      <c r="G681" s="612"/>
      <c r="H681" s="612"/>
      <c r="I681" s="612"/>
      <c r="J681" s="612"/>
      <c r="K681" s="612"/>
      <c r="L681" s="612"/>
      <c r="M681" s="612"/>
      <c r="N681" s="612"/>
      <c r="O681" s="612"/>
      <c r="P681" s="612"/>
    </row>
    <row r="682" spans="1:16" s="643" customFormat="1" ht="15">
      <c r="A682" s="611"/>
      <c r="B682" s="611"/>
      <c r="C682" s="610"/>
      <c r="D682" s="612"/>
      <c r="E682" s="612"/>
      <c r="F682" s="612"/>
      <c r="G682" s="612"/>
      <c r="H682" s="612"/>
      <c r="I682" s="612"/>
      <c r="J682" s="612"/>
      <c r="K682" s="612"/>
      <c r="L682" s="612"/>
      <c r="M682" s="612"/>
      <c r="N682" s="612"/>
      <c r="O682" s="612"/>
      <c r="P682" s="612"/>
    </row>
    <row r="683" spans="1:16" s="643" customFormat="1" ht="15">
      <c r="A683" s="611"/>
      <c r="B683" s="611"/>
      <c r="C683" s="610"/>
      <c r="D683" s="612"/>
      <c r="E683" s="612"/>
      <c r="F683" s="612"/>
      <c r="G683" s="612"/>
      <c r="H683" s="612"/>
      <c r="I683" s="612"/>
      <c r="J683" s="612"/>
      <c r="K683" s="612"/>
      <c r="L683" s="612"/>
      <c r="M683" s="612"/>
      <c r="N683" s="612"/>
      <c r="O683" s="612"/>
      <c r="P683" s="612"/>
    </row>
    <row r="684" spans="1:16" s="643" customFormat="1" ht="15">
      <c r="A684" s="611"/>
      <c r="B684" s="611"/>
      <c r="C684" s="610"/>
      <c r="D684" s="612"/>
      <c r="E684" s="612"/>
      <c r="F684" s="612"/>
      <c r="G684" s="612"/>
      <c r="H684" s="612"/>
      <c r="I684" s="612"/>
      <c r="J684" s="612"/>
      <c r="K684" s="612"/>
      <c r="L684" s="612"/>
      <c r="M684" s="612"/>
      <c r="N684" s="612"/>
      <c r="O684" s="612"/>
      <c r="P684" s="612"/>
    </row>
    <row r="685" spans="1:16" s="643" customFormat="1" ht="15">
      <c r="A685" s="611"/>
      <c r="B685" s="611"/>
      <c r="C685" s="610"/>
      <c r="D685" s="612"/>
      <c r="E685" s="612"/>
      <c r="F685" s="612"/>
      <c r="G685" s="612"/>
      <c r="H685" s="612"/>
      <c r="I685" s="612"/>
      <c r="J685" s="612"/>
      <c r="K685" s="612"/>
      <c r="L685" s="612"/>
      <c r="M685" s="612"/>
      <c r="N685" s="612"/>
      <c r="O685" s="612"/>
      <c r="P685" s="612"/>
    </row>
    <row r="686" spans="1:16" s="643" customFormat="1" ht="15">
      <c r="A686" s="611"/>
      <c r="B686" s="611"/>
      <c r="C686" s="610"/>
      <c r="D686" s="612"/>
      <c r="E686" s="612"/>
      <c r="F686" s="612"/>
      <c r="G686" s="612"/>
      <c r="H686" s="612"/>
      <c r="I686" s="612"/>
      <c r="J686" s="612"/>
      <c r="K686" s="612"/>
      <c r="L686" s="612"/>
      <c r="M686" s="612"/>
      <c r="N686" s="612"/>
      <c r="O686" s="612"/>
      <c r="P686" s="612"/>
    </row>
    <row r="687" spans="1:16" s="643" customFormat="1" ht="15">
      <c r="A687" s="611"/>
      <c r="B687" s="611"/>
      <c r="C687" s="610"/>
      <c r="D687" s="612"/>
      <c r="E687" s="612"/>
      <c r="F687" s="612"/>
      <c r="G687" s="612"/>
      <c r="H687" s="612"/>
      <c r="I687" s="612"/>
      <c r="J687" s="612"/>
      <c r="K687" s="612"/>
      <c r="L687" s="612"/>
      <c r="M687" s="612"/>
      <c r="N687" s="612"/>
      <c r="O687" s="612"/>
      <c r="P687" s="612"/>
    </row>
    <row r="688" spans="1:16" s="643" customFormat="1" ht="15">
      <c r="A688" s="611"/>
      <c r="B688" s="611"/>
      <c r="C688" s="610"/>
      <c r="D688" s="612"/>
      <c r="E688" s="612"/>
      <c r="F688" s="612"/>
      <c r="G688" s="612"/>
      <c r="H688" s="612"/>
      <c r="I688" s="612"/>
      <c r="J688" s="612"/>
      <c r="K688" s="612"/>
      <c r="L688" s="612"/>
      <c r="M688" s="612"/>
      <c r="N688" s="612"/>
      <c r="O688" s="612"/>
      <c r="P688" s="612"/>
    </row>
    <row r="689" spans="1:16" s="643" customFormat="1" ht="15">
      <c r="A689" s="611"/>
      <c r="B689" s="611"/>
      <c r="C689" s="610"/>
      <c r="D689" s="612"/>
      <c r="E689" s="612"/>
      <c r="F689" s="612"/>
      <c r="G689" s="612"/>
      <c r="H689" s="612"/>
      <c r="I689" s="612"/>
      <c r="J689" s="612"/>
      <c r="K689" s="612"/>
      <c r="L689" s="612"/>
      <c r="M689" s="612"/>
      <c r="N689" s="612"/>
      <c r="O689" s="612"/>
      <c r="P689" s="612"/>
    </row>
    <row r="690" spans="1:16" s="643" customFormat="1" ht="15">
      <c r="A690" s="611"/>
      <c r="B690" s="611"/>
      <c r="C690" s="610"/>
      <c r="D690" s="612"/>
      <c r="E690" s="612"/>
      <c r="F690" s="612"/>
      <c r="G690" s="612"/>
      <c r="H690" s="612"/>
      <c r="I690" s="612"/>
      <c r="J690" s="612"/>
      <c r="K690" s="612"/>
      <c r="L690" s="612"/>
      <c r="M690" s="612"/>
      <c r="N690" s="612"/>
      <c r="O690" s="612"/>
      <c r="P690" s="612"/>
    </row>
    <row r="691" spans="1:16" s="643" customFormat="1" ht="15">
      <c r="A691" s="611"/>
      <c r="B691" s="611"/>
      <c r="C691" s="610"/>
      <c r="D691" s="612"/>
      <c r="E691" s="612"/>
      <c r="F691" s="612"/>
      <c r="G691" s="612"/>
      <c r="H691" s="612"/>
      <c r="I691" s="612"/>
      <c r="J691" s="612"/>
      <c r="K691" s="612"/>
      <c r="L691" s="612"/>
      <c r="M691" s="612"/>
      <c r="N691" s="612"/>
      <c r="O691" s="612"/>
      <c r="P691" s="612"/>
    </row>
    <row r="692" spans="1:16" s="643" customFormat="1" ht="15">
      <c r="A692" s="611"/>
      <c r="B692" s="611"/>
      <c r="C692" s="610"/>
      <c r="D692" s="612"/>
      <c r="E692" s="612"/>
      <c r="F692" s="612"/>
      <c r="G692" s="612"/>
      <c r="H692" s="612"/>
      <c r="I692" s="612"/>
      <c r="J692" s="612"/>
      <c r="K692" s="612"/>
      <c r="L692" s="612"/>
      <c r="M692" s="612"/>
      <c r="N692" s="612"/>
      <c r="O692" s="612"/>
      <c r="P692" s="612"/>
    </row>
    <row r="693" spans="1:16" s="643" customFormat="1" ht="15">
      <c r="A693" s="611"/>
      <c r="B693" s="611"/>
      <c r="C693" s="610"/>
      <c r="D693" s="612"/>
      <c r="E693" s="612"/>
      <c r="F693" s="612"/>
      <c r="G693" s="612"/>
      <c r="H693" s="612"/>
      <c r="I693" s="612"/>
      <c r="J693" s="612"/>
      <c r="K693" s="612"/>
      <c r="L693" s="612"/>
      <c r="M693" s="612"/>
      <c r="N693" s="612"/>
      <c r="O693" s="612"/>
      <c r="P693" s="612"/>
    </row>
    <row r="694" spans="1:16" s="643" customFormat="1" ht="15">
      <c r="A694" s="611"/>
      <c r="B694" s="611"/>
      <c r="C694" s="610"/>
      <c r="D694" s="612"/>
      <c r="E694" s="612"/>
      <c r="F694" s="612"/>
      <c r="G694" s="612"/>
      <c r="H694" s="612"/>
      <c r="I694" s="612"/>
      <c r="J694" s="612"/>
      <c r="K694" s="612"/>
      <c r="L694" s="612"/>
      <c r="M694" s="612"/>
      <c r="N694" s="612"/>
      <c r="O694" s="612"/>
      <c r="P694" s="612"/>
    </row>
    <row r="695" spans="1:16" s="643" customFormat="1" ht="15">
      <c r="A695" s="611"/>
      <c r="B695" s="611"/>
      <c r="C695" s="610"/>
      <c r="D695" s="612"/>
      <c r="E695" s="612"/>
      <c r="F695" s="612"/>
      <c r="G695" s="612"/>
      <c r="H695" s="612"/>
      <c r="I695" s="612"/>
      <c r="J695" s="612"/>
      <c r="K695" s="612"/>
      <c r="L695" s="612"/>
      <c r="M695" s="612"/>
      <c r="N695" s="612"/>
      <c r="O695" s="612"/>
      <c r="P695" s="612"/>
    </row>
    <row r="696" spans="1:16" s="643" customFormat="1" ht="15">
      <c r="A696" s="611"/>
      <c r="B696" s="611"/>
      <c r="C696" s="610"/>
      <c r="D696" s="612"/>
      <c r="E696" s="612"/>
      <c r="F696" s="612"/>
      <c r="G696" s="612"/>
      <c r="H696" s="612"/>
      <c r="I696" s="612"/>
      <c r="J696" s="612"/>
      <c r="K696" s="612"/>
      <c r="L696" s="612"/>
      <c r="M696" s="612"/>
      <c r="N696" s="612"/>
      <c r="O696" s="612"/>
      <c r="P696" s="612"/>
    </row>
    <row r="697" spans="1:16" s="643" customFormat="1" ht="15">
      <c r="A697" s="611"/>
      <c r="B697" s="611"/>
      <c r="C697" s="610"/>
      <c r="D697" s="612"/>
      <c r="E697" s="612"/>
      <c r="F697" s="612"/>
      <c r="G697" s="612"/>
      <c r="H697" s="612"/>
      <c r="I697" s="612"/>
      <c r="J697" s="612"/>
      <c r="K697" s="612"/>
      <c r="L697" s="612"/>
      <c r="M697" s="612"/>
      <c r="N697" s="612"/>
      <c r="O697" s="612"/>
      <c r="P697" s="612"/>
    </row>
    <row r="698" spans="1:16" s="643" customFormat="1" ht="15">
      <c r="A698" s="611"/>
      <c r="B698" s="611"/>
      <c r="C698" s="610"/>
      <c r="D698" s="612"/>
      <c r="E698" s="612"/>
      <c r="F698" s="612"/>
      <c r="G698" s="612"/>
      <c r="H698" s="612"/>
      <c r="I698" s="612"/>
      <c r="J698" s="612"/>
      <c r="K698" s="612"/>
      <c r="L698" s="612"/>
      <c r="M698" s="612"/>
      <c r="N698" s="612"/>
      <c r="O698" s="612"/>
      <c r="P698" s="612"/>
    </row>
    <row r="699" spans="1:16" s="643" customFormat="1" ht="15">
      <c r="A699" s="611"/>
      <c r="B699" s="611"/>
      <c r="C699" s="610"/>
      <c r="D699" s="612"/>
      <c r="E699" s="612"/>
      <c r="F699" s="612"/>
      <c r="G699" s="612"/>
      <c r="H699" s="612"/>
      <c r="I699" s="612"/>
      <c r="J699" s="612"/>
      <c r="K699" s="612"/>
      <c r="L699" s="612"/>
      <c r="M699" s="612"/>
      <c r="N699" s="612"/>
      <c r="O699" s="612"/>
      <c r="P699" s="612"/>
    </row>
    <row r="700" spans="1:16" s="643" customFormat="1" ht="15">
      <c r="A700" s="611"/>
      <c r="B700" s="611"/>
      <c r="C700" s="610"/>
      <c r="D700" s="612"/>
      <c r="E700" s="612"/>
      <c r="F700" s="612"/>
      <c r="G700" s="612"/>
      <c r="H700" s="612"/>
      <c r="I700" s="612"/>
      <c r="J700" s="612"/>
      <c r="K700" s="612"/>
      <c r="L700" s="612"/>
      <c r="M700" s="612"/>
      <c r="N700" s="612"/>
      <c r="O700" s="612"/>
      <c r="P700" s="612"/>
    </row>
    <row r="701" spans="1:16" s="643" customFormat="1" ht="15">
      <c r="A701" s="611"/>
      <c r="B701" s="611"/>
      <c r="C701" s="610"/>
      <c r="D701" s="612"/>
      <c r="E701" s="612"/>
      <c r="F701" s="612"/>
      <c r="G701" s="612"/>
      <c r="H701" s="612"/>
      <c r="I701" s="612"/>
      <c r="J701" s="612"/>
      <c r="K701" s="612"/>
      <c r="L701" s="612"/>
      <c r="M701" s="612"/>
      <c r="N701" s="612"/>
      <c r="O701" s="612"/>
      <c r="P701" s="612"/>
    </row>
    <row r="702" spans="1:16" s="643" customFormat="1" ht="15">
      <c r="A702" s="611"/>
      <c r="B702" s="611"/>
      <c r="C702" s="610"/>
      <c r="D702" s="612"/>
      <c r="E702" s="612"/>
      <c r="F702" s="612"/>
      <c r="G702" s="612"/>
      <c r="H702" s="612"/>
      <c r="I702" s="612"/>
      <c r="J702" s="612"/>
      <c r="K702" s="612"/>
      <c r="L702" s="612"/>
      <c r="M702" s="612"/>
      <c r="N702" s="612"/>
      <c r="O702" s="612"/>
      <c r="P702" s="612"/>
    </row>
    <row r="703" spans="1:16" s="643" customFormat="1" ht="15">
      <c r="A703" s="611"/>
      <c r="B703" s="611"/>
      <c r="C703" s="610"/>
      <c r="D703" s="612"/>
      <c r="E703" s="612"/>
      <c r="F703" s="612"/>
      <c r="G703" s="612"/>
      <c r="H703" s="612"/>
      <c r="I703" s="612"/>
      <c r="J703" s="612"/>
      <c r="K703" s="612"/>
      <c r="L703" s="612"/>
      <c r="M703" s="612"/>
      <c r="N703" s="612"/>
      <c r="O703" s="612"/>
      <c r="P703" s="612"/>
    </row>
    <row r="704" spans="1:16" s="643" customFormat="1" ht="15">
      <c r="A704" s="611"/>
      <c r="B704" s="611"/>
      <c r="C704" s="610"/>
      <c r="D704" s="612"/>
      <c r="E704" s="612"/>
      <c r="F704" s="612"/>
      <c r="G704" s="612"/>
      <c r="H704" s="612"/>
      <c r="I704" s="612"/>
      <c r="J704" s="612"/>
      <c r="K704" s="612"/>
      <c r="L704" s="612"/>
      <c r="M704" s="612"/>
      <c r="N704" s="612"/>
      <c r="O704" s="612"/>
      <c r="P704" s="612"/>
    </row>
    <row r="705" spans="1:16" s="643" customFormat="1" ht="15">
      <c r="A705" s="611"/>
      <c r="B705" s="611"/>
      <c r="C705" s="610"/>
      <c r="D705" s="612"/>
      <c r="E705" s="612"/>
      <c r="F705" s="612"/>
      <c r="G705" s="612"/>
      <c r="H705" s="612"/>
      <c r="I705" s="612"/>
      <c r="J705" s="612"/>
      <c r="K705" s="612"/>
      <c r="L705" s="612"/>
      <c r="M705" s="612"/>
      <c r="N705" s="612"/>
      <c r="O705" s="612"/>
      <c r="P705" s="612"/>
    </row>
    <row r="706" spans="1:16" s="643" customFormat="1" ht="15">
      <c r="A706" s="611"/>
      <c r="B706" s="611"/>
      <c r="C706" s="610"/>
      <c r="D706" s="612"/>
      <c r="E706" s="612"/>
      <c r="F706" s="612"/>
      <c r="G706" s="612"/>
      <c r="H706" s="612"/>
      <c r="I706" s="612"/>
      <c r="J706" s="612"/>
      <c r="K706" s="612"/>
      <c r="L706" s="612"/>
      <c r="M706" s="612"/>
      <c r="N706" s="612"/>
      <c r="O706" s="612"/>
      <c r="P706" s="612"/>
    </row>
    <row r="707" spans="1:16" s="643" customFormat="1" ht="15">
      <c r="A707" s="611"/>
      <c r="B707" s="611"/>
      <c r="C707" s="610"/>
      <c r="D707" s="612"/>
      <c r="E707" s="612"/>
      <c r="F707" s="612"/>
      <c r="G707" s="612"/>
      <c r="H707" s="612"/>
      <c r="I707" s="612"/>
      <c r="J707" s="612"/>
      <c r="K707" s="612"/>
      <c r="L707" s="612"/>
      <c r="M707" s="612"/>
      <c r="N707" s="612"/>
      <c r="O707" s="612"/>
      <c r="P707" s="612"/>
    </row>
    <row r="708" spans="1:16" s="643" customFormat="1" ht="15">
      <c r="A708" s="611"/>
      <c r="B708" s="611"/>
      <c r="C708" s="610"/>
      <c r="D708" s="612"/>
      <c r="E708" s="612"/>
      <c r="F708" s="612"/>
      <c r="G708" s="612"/>
      <c r="H708" s="612"/>
      <c r="I708" s="612"/>
      <c r="J708" s="612"/>
      <c r="K708" s="612"/>
      <c r="L708" s="612"/>
      <c r="M708" s="612"/>
      <c r="N708" s="612"/>
      <c r="O708" s="612"/>
      <c r="P708" s="612"/>
    </row>
    <row r="709" spans="1:16" s="643" customFormat="1" ht="15">
      <c r="A709" s="611"/>
      <c r="B709" s="611"/>
      <c r="C709" s="610"/>
      <c r="D709" s="612"/>
      <c r="E709" s="612"/>
      <c r="F709" s="612"/>
      <c r="G709" s="612"/>
      <c r="H709" s="612"/>
      <c r="I709" s="612"/>
      <c r="J709" s="612"/>
      <c r="K709" s="612"/>
      <c r="L709" s="612"/>
      <c r="M709" s="612"/>
      <c r="N709" s="612"/>
      <c r="O709" s="612"/>
      <c r="P709" s="612"/>
    </row>
    <row r="710" spans="1:16" s="643" customFormat="1" ht="15">
      <c r="A710" s="611"/>
      <c r="B710" s="611"/>
      <c r="C710" s="610"/>
      <c r="D710" s="612"/>
      <c r="E710" s="612"/>
      <c r="F710" s="612"/>
      <c r="G710" s="612"/>
      <c r="H710" s="612"/>
      <c r="I710" s="612"/>
      <c r="J710" s="612"/>
      <c r="K710" s="612"/>
      <c r="L710" s="612"/>
      <c r="M710" s="612"/>
      <c r="N710" s="612"/>
      <c r="O710" s="612"/>
      <c r="P710" s="612"/>
    </row>
    <row r="711" spans="1:16" s="643" customFormat="1" ht="15">
      <c r="A711" s="611"/>
      <c r="B711" s="611"/>
      <c r="C711" s="610"/>
      <c r="D711" s="612"/>
      <c r="E711" s="612"/>
      <c r="F711" s="612"/>
      <c r="G711" s="612"/>
      <c r="H711" s="612"/>
      <c r="I711" s="612"/>
      <c r="J711" s="612"/>
      <c r="K711" s="612"/>
      <c r="L711" s="612"/>
      <c r="M711" s="612"/>
      <c r="N711" s="612"/>
      <c r="O711" s="612"/>
      <c r="P711" s="612"/>
    </row>
    <row r="712" spans="1:16" s="643" customFormat="1" ht="15">
      <c r="A712" s="611"/>
      <c r="B712" s="611"/>
      <c r="C712" s="610"/>
      <c r="D712" s="612"/>
      <c r="E712" s="612"/>
      <c r="F712" s="612"/>
      <c r="G712" s="612"/>
      <c r="H712" s="612"/>
      <c r="I712" s="612"/>
      <c r="J712" s="612"/>
      <c r="K712" s="612"/>
      <c r="L712" s="612"/>
      <c r="M712" s="612"/>
      <c r="N712" s="612"/>
      <c r="O712" s="612"/>
      <c r="P712" s="612"/>
    </row>
    <row r="713" spans="1:16" s="643" customFormat="1" ht="15">
      <c r="A713" s="611"/>
      <c r="B713" s="611"/>
      <c r="C713" s="610"/>
      <c r="D713" s="612"/>
      <c r="E713" s="612"/>
      <c r="F713" s="612"/>
      <c r="G713" s="612"/>
      <c r="H713" s="612"/>
      <c r="I713" s="612"/>
      <c r="J713" s="612"/>
      <c r="K713" s="612"/>
      <c r="L713" s="612"/>
      <c r="M713" s="612"/>
      <c r="N713" s="612"/>
      <c r="O713" s="612"/>
      <c r="P713" s="612"/>
    </row>
    <row r="714" spans="1:16" s="643" customFormat="1" ht="15">
      <c r="A714" s="611"/>
      <c r="B714" s="611"/>
      <c r="C714" s="610"/>
      <c r="D714" s="612"/>
      <c r="E714" s="612"/>
      <c r="F714" s="612"/>
      <c r="G714" s="612"/>
      <c r="H714" s="612"/>
      <c r="I714" s="612"/>
      <c r="J714" s="612"/>
      <c r="K714" s="612"/>
      <c r="L714" s="612"/>
      <c r="M714" s="612"/>
      <c r="N714" s="612"/>
      <c r="O714" s="612"/>
      <c r="P714" s="612"/>
    </row>
    <row r="715" spans="1:16" s="643" customFormat="1" ht="15">
      <c r="A715" s="611"/>
      <c r="B715" s="611"/>
      <c r="C715" s="610"/>
      <c r="D715" s="612"/>
      <c r="E715" s="612"/>
      <c r="F715" s="612"/>
      <c r="G715" s="612"/>
      <c r="H715" s="612"/>
      <c r="I715" s="612"/>
      <c r="J715" s="612"/>
      <c r="K715" s="612"/>
      <c r="L715" s="612"/>
      <c r="M715" s="612"/>
      <c r="N715" s="612"/>
      <c r="O715" s="612"/>
      <c r="P715" s="612"/>
    </row>
    <row r="716" spans="1:16" s="643" customFormat="1" ht="15">
      <c r="A716" s="611"/>
      <c r="B716" s="611"/>
      <c r="C716" s="610"/>
      <c r="D716" s="612"/>
      <c r="E716" s="612"/>
      <c r="F716" s="612"/>
      <c r="G716" s="612"/>
      <c r="H716" s="612"/>
      <c r="I716" s="612"/>
      <c r="J716" s="612"/>
      <c r="K716" s="612"/>
      <c r="L716" s="612"/>
      <c r="M716" s="612"/>
      <c r="N716" s="612"/>
      <c r="O716" s="612"/>
      <c r="P716" s="612"/>
    </row>
    <row r="717" spans="1:16" s="643" customFormat="1" ht="15">
      <c r="A717" s="611"/>
      <c r="B717" s="611"/>
      <c r="C717" s="610"/>
      <c r="D717" s="612"/>
      <c r="E717" s="612"/>
      <c r="F717" s="612"/>
      <c r="G717" s="612"/>
      <c r="H717" s="612"/>
      <c r="I717" s="612"/>
      <c r="J717" s="612"/>
      <c r="K717" s="612"/>
      <c r="L717" s="612"/>
      <c r="M717" s="612"/>
      <c r="N717" s="612"/>
      <c r="O717" s="612"/>
      <c r="P717" s="612"/>
    </row>
    <row r="718" spans="1:16" s="643" customFormat="1" ht="15">
      <c r="A718" s="611"/>
      <c r="B718" s="611"/>
      <c r="C718" s="610"/>
      <c r="D718" s="612"/>
      <c r="E718" s="612"/>
      <c r="F718" s="612"/>
      <c r="G718" s="612"/>
      <c r="H718" s="612"/>
      <c r="I718" s="612"/>
      <c r="J718" s="612"/>
      <c r="K718" s="612"/>
      <c r="L718" s="612"/>
      <c r="M718" s="612"/>
      <c r="N718" s="612"/>
      <c r="O718" s="612"/>
      <c r="P718" s="612"/>
    </row>
    <row r="719" spans="1:16" s="643" customFormat="1" ht="15">
      <c r="A719" s="611"/>
      <c r="B719" s="611"/>
      <c r="C719" s="610"/>
      <c r="D719" s="612"/>
      <c r="E719" s="612"/>
      <c r="F719" s="612"/>
      <c r="G719" s="612"/>
      <c r="H719" s="612"/>
      <c r="I719" s="612"/>
      <c r="J719" s="612"/>
      <c r="K719" s="612"/>
      <c r="L719" s="612"/>
      <c r="M719" s="612"/>
      <c r="N719" s="612"/>
      <c r="O719" s="612"/>
      <c r="P719" s="612"/>
    </row>
    <row r="720" spans="1:16" s="643" customFormat="1" ht="15">
      <c r="A720" s="611"/>
      <c r="B720" s="611"/>
      <c r="C720" s="610"/>
      <c r="D720" s="612"/>
      <c r="E720" s="612"/>
      <c r="F720" s="612"/>
      <c r="G720" s="612"/>
      <c r="H720" s="612"/>
      <c r="I720" s="612"/>
      <c r="J720" s="612"/>
      <c r="K720" s="612"/>
      <c r="L720" s="612"/>
      <c r="M720" s="612"/>
      <c r="N720" s="612"/>
      <c r="O720" s="612"/>
      <c r="P720" s="612"/>
    </row>
    <row r="721" spans="1:16" s="643" customFormat="1" ht="15">
      <c r="A721" s="611"/>
      <c r="B721" s="611"/>
      <c r="C721" s="610"/>
      <c r="D721" s="612"/>
      <c r="E721" s="612"/>
      <c r="F721" s="612"/>
      <c r="G721" s="612"/>
      <c r="H721" s="612"/>
      <c r="I721" s="612"/>
      <c r="J721" s="612"/>
      <c r="K721" s="612"/>
      <c r="L721" s="612"/>
      <c r="M721" s="612"/>
      <c r="N721" s="612"/>
      <c r="O721" s="612"/>
      <c r="P721" s="612"/>
    </row>
    <row r="722" spans="1:16" s="643" customFormat="1" ht="15">
      <c r="A722" s="611"/>
      <c r="B722" s="611"/>
      <c r="C722" s="610"/>
      <c r="D722" s="612"/>
      <c r="E722" s="612"/>
      <c r="F722" s="612"/>
      <c r="G722" s="612"/>
      <c r="H722" s="612"/>
      <c r="I722" s="612"/>
      <c r="J722" s="612"/>
      <c r="K722" s="612"/>
      <c r="L722" s="612"/>
      <c r="M722" s="612"/>
      <c r="N722" s="612"/>
      <c r="O722" s="612"/>
      <c r="P722" s="612"/>
    </row>
    <row r="723" spans="1:16" s="643" customFormat="1" ht="15">
      <c r="A723" s="611"/>
      <c r="B723" s="611"/>
      <c r="C723" s="610"/>
      <c r="D723" s="612"/>
      <c r="E723" s="612"/>
      <c r="F723" s="612"/>
      <c r="G723" s="612"/>
      <c r="H723" s="612"/>
      <c r="I723" s="612"/>
      <c r="J723" s="612"/>
      <c r="K723" s="612"/>
      <c r="L723" s="612"/>
      <c r="M723" s="612"/>
      <c r="N723" s="612"/>
      <c r="O723" s="612"/>
      <c r="P723" s="612"/>
    </row>
    <row r="724" spans="1:16" s="643" customFormat="1" ht="15">
      <c r="A724" s="611"/>
      <c r="B724" s="611"/>
      <c r="C724" s="610"/>
      <c r="D724" s="612"/>
      <c r="E724" s="612"/>
      <c r="F724" s="612"/>
      <c r="G724" s="612"/>
      <c r="H724" s="612"/>
      <c r="I724" s="612"/>
      <c r="J724" s="612"/>
      <c r="K724" s="612"/>
      <c r="L724" s="612"/>
      <c r="M724" s="612"/>
      <c r="N724" s="612"/>
      <c r="O724" s="612"/>
      <c r="P724" s="612"/>
    </row>
    <row r="725" spans="1:16" s="643" customFormat="1" ht="15">
      <c r="A725" s="611"/>
      <c r="B725" s="611"/>
      <c r="C725" s="610"/>
      <c r="D725" s="612"/>
      <c r="E725" s="612"/>
      <c r="F725" s="612"/>
      <c r="G725" s="612"/>
      <c r="H725" s="612"/>
      <c r="I725" s="612"/>
      <c r="J725" s="612"/>
      <c r="K725" s="612"/>
      <c r="L725" s="612"/>
      <c r="M725" s="612"/>
      <c r="N725" s="612"/>
      <c r="O725" s="612"/>
      <c r="P725" s="612"/>
    </row>
    <row r="726" spans="1:16" s="643" customFormat="1" ht="15">
      <c r="A726" s="611"/>
      <c r="B726" s="611"/>
      <c r="C726" s="610"/>
      <c r="D726" s="612"/>
      <c r="E726" s="612"/>
      <c r="F726" s="612"/>
      <c r="G726" s="612"/>
      <c r="H726" s="612"/>
      <c r="I726" s="612"/>
      <c r="J726" s="612"/>
      <c r="K726" s="612"/>
      <c r="L726" s="612"/>
      <c r="M726" s="612"/>
      <c r="N726" s="612"/>
      <c r="O726" s="612"/>
      <c r="P726" s="612"/>
    </row>
    <row r="727" spans="1:16" s="643" customFormat="1" ht="15">
      <c r="A727" s="611"/>
      <c r="B727" s="611"/>
      <c r="C727" s="610"/>
      <c r="D727" s="612"/>
      <c r="E727" s="612"/>
      <c r="F727" s="612"/>
      <c r="G727" s="612"/>
      <c r="H727" s="612"/>
      <c r="I727" s="612"/>
      <c r="J727" s="612"/>
      <c r="K727" s="612"/>
      <c r="L727" s="612"/>
      <c r="M727" s="612"/>
      <c r="N727" s="612"/>
      <c r="O727" s="612"/>
      <c r="P727" s="612"/>
    </row>
    <row r="728" spans="1:16" s="643" customFormat="1" ht="15">
      <c r="A728" s="611"/>
      <c r="B728" s="611"/>
      <c r="C728" s="610"/>
      <c r="D728" s="612"/>
      <c r="E728" s="612"/>
      <c r="F728" s="612"/>
      <c r="G728" s="612"/>
      <c r="H728" s="612"/>
      <c r="I728" s="612"/>
      <c r="J728" s="612"/>
      <c r="K728" s="612"/>
      <c r="L728" s="612"/>
      <c r="M728" s="612"/>
      <c r="N728" s="612"/>
      <c r="O728" s="612"/>
      <c r="P728" s="612"/>
    </row>
    <row r="729" spans="1:16" s="643" customFormat="1" ht="15">
      <c r="A729" s="611"/>
      <c r="B729" s="611"/>
      <c r="C729" s="610"/>
      <c r="D729" s="612"/>
      <c r="E729" s="612"/>
      <c r="F729" s="612"/>
      <c r="G729" s="612"/>
      <c r="H729" s="612"/>
      <c r="I729" s="612"/>
      <c r="J729" s="612"/>
      <c r="K729" s="612"/>
      <c r="L729" s="612"/>
      <c r="M729" s="612"/>
      <c r="N729" s="612"/>
      <c r="O729" s="612"/>
      <c r="P729" s="612"/>
    </row>
    <row r="730" spans="1:16" s="643" customFormat="1" ht="15">
      <c r="A730" s="611"/>
      <c r="B730" s="611"/>
      <c r="C730" s="610"/>
      <c r="D730" s="612"/>
      <c r="E730" s="612"/>
      <c r="F730" s="612"/>
      <c r="G730" s="612"/>
      <c r="H730" s="612"/>
      <c r="I730" s="612"/>
      <c r="J730" s="612"/>
      <c r="K730" s="612"/>
      <c r="L730" s="612"/>
      <c r="M730" s="612"/>
      <c r="N730" s="612"/>
      <c r="O730" s="612"/>
      <c r="P730" s="612"/>
    </row>
    <row r="731" spans="1:16" s="643" customFormat="1" ht="15">
      <c r="A731" s="611"/>
      <c r="B731" s="611"/>
      <c r="C731" s="610"/>
      <c r="D731" s="612"/>
      <c r="E731" s="612"/>
      <c r="F731" s="612"/>
      <c r="G731" s="612"/>
      <c r="H731" s="612"/>
      <c r="I731" s="612"/>
      <c r="J731" s="612"/>
      <c r="K731" s="612"/>
      <c r="L731" s="612"/>
      <c r="M731" s="612"/>
      <c r="N731" s="612"/>
      <c r="O731" s="612"/>
      <c r="P731" s="612"/>
    </row>
    <row r="732" spans="1:16" s="643" customFormat="1" ht="15">
      <c r="A732" s="611"/>
      <c r="B732" s="611"/>
      <c r="C732" s="610"/>
      <c r="D732" s="612"/>
      <c r="E732" s="612"/>
      <c r="F732" s="612"/>
      <c r="G732" s="612"/>
      <c r="H732" s="612"/>
      <c r="I732" s="612"/>
      <c r="J732" s="612"/>
      <c r="K732" s="612"/>
      <c r="L732" s="612"/>
      <c r="M732" s="612"/>
      <c r="N732" s="612"/>
      <c r="O732" s="612"/>
      <c r="P732" s="612"/>
    </row>
    <row r="733" spans="1:16" s="643" customFormat="1" ht="15">
      <c r="A733" s="611"/>
      <c r="B733" s="611"/>
      <c r="C733" s="610"/>
      <c r="D733" s="612"/>
      <c r="E733" s="612"/>
      <c r="F733" s="612"/>
      <c r="G733" s="612"/>
      <c r="H733" s="612"/>
      <c r="I733" s="612"/>
      <c r="J733" s="612"/>
      <c r="K733" s="612"/>
      <c r="L733" s="612"/>
      <c r="M733" s="612"/>
      <c r="N733" s="612"/>
      <c r="O733" s="612"/>
      <c r="P733" s="612"/>
    </row>
    <row r="734" spans="1:16" s="643" customFormat="1" ht="15">
      <c r="A734" s="611"/>
      <c r="B734" s="611"/>
      <c r="C734" s="610"/>
      <c r="D734" s="612"/>
      <c r="E734" s="612"/>
      <c r="F734" s="612"/>
      <c r="G734" s="612"/>
      <c r="H734" s="612"/>
      <c r="I734" s="612"/>
      <c r="J734" s="612"/>
      <c r="K734" s="612"/>
      <c r="L734" s="612"/>
      <c r="M734" s="612"/>
      <c r="N734" s="612"/>
      <c r="O734" s="612"/>
      <c r="P734" s="612"/>
    </row>
    <row r="735" spans="1:16" s="643" customFormat="1" ht="15">
      <c r="A735" s="611"/>
      <c r="B735" s="611"/>
      <c r="C735" s="610"/>
      <c r="D735" s="612"/>
      <c r="E735" s="612"/>
      <c r="F735" s="612"/>
      <c r="G735" s="612"/>
      <c r="H735" s="612"/>
      <c r="I735" s="612"/>
      <c r="J735" s="612"/>
      <c r="K735" s="612"/>
      <c r="L735" s="612"/>
      <c r="M735" s="612"/>
      <c r="N735" s="612"/>
      <c r="O735" s="612"/>
      <c r="P735" s="612"/>
    </row>
    <row r="736" spans="1:16" s="643" customFormat="1" ht="15">
      <c r="A736" s="611"/>
      <c r="B736" s="611"/>
      <c r="C736" s="610"/>
      <c r="D736" s="612"/>
      <c r="E736" s="612"/>
      <c r="F736" s="612"/>
      <c r="G736" s="612"/>
      <c r="H736" s="612"/>
      <c r="I736" s="612"/>
      <c r="J736" s="612"/>
      <c r="K736" s="612"/>
      <c r="L736" s="612"/>
      <c r="M736" s="612"/>
      <c r="N736" s="612"/>
      <c r="O736" s="612"/>
      <c r="P736" s="612"/>
    </row>
    <row r="737" spans="1:16" s="643" customFormat="1" ht="15">
      <c r="A737" s="611"/>
      <c r="B737" s="611"/>
      <c r="C737" s="610"/>
      <c r="D737" s="612"/>
      <c r="E737" s="612"/>
      <c r="F737" s="612"/>
      <c r="G737" s="612"/>
      <c r="H737" s="612"/>
      <c r="I737" s="612"/>
      <c r="J737" s="612"/>
      <c r="K737" s="612"/>
      <c r="L737" s="612"/>
      <c r="M737" s="612"/>
      <c r="N737" s="612"/>
      <c r="O737" s="612"/>
      <c r="P737" s="612"/>
    </row>
    <row r="738" spans="1:16" s="643" customFormat="1" ht="15">
      <c r="A738" s="611"/>
      <c r="B738" s="611"/>
      <c r="C738" s="610"/>
      <c r="D738" s="612"/>
      <c r="E738" s="612"/>
      <c r="F738" s="612"/>
      <c r="G738" s="612"/>
      <c r="H738" s="612"/>
      <c r="I738" s="612"/>
      <c r="J738" s="612"/>
      <c r="K738" s="612"/>
      <c r="L738" s="612"/>
      <c r="M738" s="612"/>
      <c r="N738" s="612"/>
      <c r="O738" s="612"/>
      <c r="P738" s="612"/>
    </row>
    <row r="739" spans="1:16" s="643" customFormat="1" ht="15">
      <c r="A739" s="611"/>
      <c r="B739" s="611"/>
      <c r="C739" s="610"/>
      <c r="D739" s="612"/>
      <c r="E739" s="612"/>
      <c r="F739" s="612"/>
      <c r="G739" s="612"/>
      <c r="H739" s="612"/>
      <c r="I739" s="612"/>
      <c r="J739" s="612"/>
      <c r="K739" s="612"/>
      <c r="L739" s="612"/>
      <c r="M739" s="612"/>
      <c r="N739" s="612"/>
      <c r="O739" s="612"/>
      <c r="P739" s="612"/>
    </row>
    <row r="740" spans="1:16" s="643" customFormat="1" ht="15">
      <c r="A740" s="611"/>
      <c r="B740" s="611"/>
      <c r="C740" s="610"/>
      <c r="D740" s="612"/>
      <c r="E740" s="612"/>
      <c r="F740" s="612"/>
      <c r="G740" s="612"/>
      <c r="H740" s="612"/>
      <c r="I740" s="612"/>
      <c r="J740" s="612"/>
      <c r="K740" s="612"/>
      <c r="L740" s="612"/>
      <c r="M740" s="612"/>
      <c r="N740" s="612"/>
      <c r="O740" s="612"/>
      <c r="P740" s="612"/>
    </row>
    <row r="741" spans="1:16" s="643" customFormat="1" ht="15">
      <c r="A741" s="611"/>
      <c r="B741" s="611"/>
      <c r="C741" s="610"/>
      <c r="D741" s="612"/>
      <c r="E741" s="612"/>
      <c r="F741" s="612"/>
      <c r="G741" s="612"/>
      <c r="H741" s="612"/>
      <c r="I741" s="612"/>
      <c r="J741" s="612"/>
      <c r="K741" s="612"/>
      <c r="L741" s="612"/>
      <c r="M741" s="612"/>
      <c r="N741" s="612"/>
      <c r="O741" s="612"/>
      <c r="P741" s="612"/>
    </row>
    <row r="742" spans="1:16" s="643" customFormat="1" ht="15">
      <c r="A742" s="611"/>
      <c r="B742" s="611"/>
      <c r="C742" s="610"/>
      <c r="D742" s="612"/>
      <c r="E742" s="612"/>
      <c r="F742" s="612"/>
      <c r="G742" s="612"/>
      <c r="H742" s="612"/>
      <c r="I742" s="612"/>
      <c r="J742" s="612"/>
      <c r="K742" s="612"/>
      <c r="L742" s="612"/>
      <c r="M742" s="612"/>
      <c r="N742" s="612"/>
      <c r="O742" s="612"/>
      <c r="P742" s="612"/>
    </row>
    <row r="743" spans="1:16" s="643" customFormat="1" ht="15">
      <c r="A743" s="611"/>
      <c r="B743" s="611"/>
      <c r="C743" s="610"/>
      <c r="D743" s="612"/>
      <c r="E743" s="612"/>
      <c r="F743" s="612"/>
      <c r="G743" s="612"/>
      <c r="H743" s="612"/>
      <c r="I743" s="612"/>
      <c r="J743" s="612"/>
      <c r="K743" s="612"/>
      <c r="L743" s="612"/>
      <c r="M743" s="612"/>
      <c r="N743" s="612"/>
      <c r="O743" s="612"/>
      <c r="P743" s="612"/>
    </row>
    <row r="744" spans="1:16" s="643" customFormat="1" ht="15">
      <c r="A744" s="611"/>
      <c r="B744" s="611"/>
      <c r="C744" s="610"/>
      <c r="D744" s="612"/>
      <c r="E744" s="612"/>
      <c r="F744" s="612"/>
      <c r="G744" s="612"/>
      <c r="H744" s="612"/>
      <c r="I744" s="612"/>
      <c r="J744" s="612"/>
      <c r="K744" s="612"/>
      <c r="L744" s="612"/>
      <c r="M744" s="612"/>
      <c r="N744" s="612"/>
      <c r="O744" s="612"/>
      <c r="P744" s="612"/>
    </row>
    <row r="745" spans="1:16" s="643" customFormat="1" ht="15">
      <c r="A745" s="611"/>
      <c r="B745" s="611"/>
      <c r="C745" s="610"/>
      <c r="D745" s="612"/>
      <c r="E745" s="612"/>
      <c r="F745" s="612"/>
      <c r="G745" s="612"/>
      <c r="H745" s="612"/>
      <c r="I745" s="612"/>
      <c r="J745" s="612"/>
      <c r="K745" s="612"/>
      <c r="L745" s="612"/>
      <c r="M745" s="612"/>
      <c r="N745" s="612"/>
      <c r="O745" s="612"/>
      <c r="P745" s="612"/>
    </row>
    <row r="746" spans="1:16" s="643" customFormat="1" ht="15">
      <c r="A746" s="611"/>
      <c r="B746" s="611"/>
      <c r="C746" s="610"/>
      <c r="D746" s="612"/>
      <c r="E746" s="612"/>
      <c r="F746" s="612"/>
      <c r="G746" s="612"/>
      <c r="H746" s="612"/>
      <c r="I746" s="612"/>
      <c r="J746" s="612"/>
      <c r="K746" s="612"/>
      <c r="L746" s="612"/>
      <c r="M746" s="612"/>
      <c r="N746" s="612"/>
      <c r="O746" s="612"/>
      <c r="P746" s="612"/>
    </row>
    <row r="747" spans="1:16" s="643" customFormat="1" ht="15">
      <c r="A747" s="611"/>
      <c r="B747" s="611"/>
      <c r="C747" s="610"/>
      <c r="D747" s="612"/>
      <c r="E747" s="612"/>
      <c r="F747" s="612"/>
      <c r="G747" s="612"/>
      <c r="H747" s="612"/>
      <c r="I747" s="612"/>
      <c r="J747" s="612"/>
      <c r="K747" s="612"/>
      <c r="L747" s="612"/>
      <c r="M747" s="612"/>
      <c r="N747" s="612"/>
      <c r="O747" s="612"/>
      <c r="P747" s="612"/>
    </row>
    <row r="748" spans="1:16" s="643" customFormat="1" ht="15">
      <c r="A748" s="611"/>
      <c r="B748" s="611"/>
      <c r="C748" s="610"/>
      <c r="D748" s="612"/>
      <c r="E748" s="612"/>
      <c r="F748" s="612"/>
      <c r="G748" s="612"/>
      <c r="H748" s="612"/>
      <c r="I748" s="612"/>
      <c r="J748" s="612"/>
      <c r="K748" s="612"/>
      <c r="L748" s="612"/>
      <c r="M748" s="612"/>
      <c r="N748" s="612"/>
      <c r="O748" s="612"/>
      <c r="P748" s="612"/>
    </row>
    <row r="749" spans="1:16" s="643" customFormat="1" ht="15">
      <c r="A749" s="611"/>
      <c r="B749" s="611"/>
      <c r="C749" s="610"/>
      <c r="D749" s="612"/>
      <c r="E749" s="612"/>
      <c r="F749" s="612"/>
      <c r="G749" s="612"/>
      <c r="H749" s="612"/>
      <c r="I749" s="612"/>
      <c r="J749" s="612"/>
      <c r="K749" s="612"/>
      <c r="L749" s="612"/>
      <c r="M749" s="612"/>
      <c r="N749" s="612"/>
      <c r="O749" s="612"/>
      <c r="P749" s="612"/>
    </row>
    <row r="750" spans="1:16" s="643" customFormat="1" ht="15">
      <c r="A750" s="611"/>
      <c r="B750" s="611"/>
      <c r="C750" s="610"/>
      <c r="D750" s="612"/>
      <c r="E750" s="612"/>
      <c r="F750" s="612"/>
      <c r="G750" s="612"/>
      <c r="H750" s="612"/>
      <c r="I750" s="612"/>
      <c r="J750" s="612"/>
      <c r="K750" s="612"/>
      <c r="L750" s="612"/>
      <c r="M750" s="612"/>
      <c r="N750" s="612"/>
      <c r="O750" s="612"/>
      <c r="P750" s="612"/>
    </row>
    <row r="751" spans="1:16" s="643" customFormat="1" ht="15">
      <c r="A751" s="611"/>
      <c r="B751" s="611"/>
      <c r="C751" s="610"/>
      <c r="D751" s="612"/>
      <c r="E751" s="612"/>
      <c r="F751" s="612"/>
      <c r="G751" s="612"/>
      <c r="H751" s="612"/>
      <c r="I751" s="612"/>
      <c r="J751" s="612"/>
      <c r="K751" s="612"/>
      <c r="L751" s="612"/>
      <c r="M751" s="612"/>
      <c r="N751" s="612"/>
      <c r="O751" s="612"/>
      <c r="P751" s="612"/>
    </row>
    <row r="752" spans="1:16" s="643" customFormat="1" ht="15">
      <c r="A752" s="611"/>
      <c r="B752" s="611"/>
      <c r="C752" s="610"/>
      <c r="D752" s="612"/>
      <c r="E752" s="612"/>
      <c r="F752" s="612"/>
      <c r="G752" s="612"/>
      <c r="H752" s="612"/>
      <c r="I752" s="612"/>
      <c r="J752" s="612"/>
      <c r="K752" s="612"/>
      <c r="L752" s="612"/>
      <c r="M752" s="612"/>
      <c r="N752" s="612"/>
      <c r="O752" s="612"/>
      <c r="P752" s="612"/>
    </row>
    <row r="753" spans="1:16" s="643" customFormat="1" ht="15">
      <c r="A753" s="611"/>
      <c r="B753" s="611"/>
      <c r="C753" s="610"/>
      <c r="D753" s="612"/>
      <c r="E753" s="612"/>
      <c r="F753" s="612"/>
      <c r="G753" s="612"/>
      <c r="H753" s="612"/>
      <c r="I753" s="612"/>
      <c r="J753" s="612"/>
      <c r="K753" s="612"/>
      <c r="L753" s="612"/>
      <c r="M753" s="612"/>
      <c r="N753" s="612"/>
      <c r="O753" s="612"/>
      <c r="P753" s="612"/>
    </row>
    <row r="754" spans="1:16" s="643" customFormat="1" ht="15">
      <c r="A754" s="611"/>
      <c r="B754" s="611"/>
      <c r="C754" s="610"/>
      <c r="D754" s="612"/>
      <c r="E754" s="612"/>
      <c r="F754" s="612"/>
      <c r="G754" s="612"/>
      <c r="H754" s="612"/>
      <c r="I754" s="612"/>
      <c r="J754" s="612"/>
      <c r="K754" s="612"/>
      <c r="L754" s="612"/>
      <c r="M754" s="612"/>
      <c r="N754" s="612"/>
      <c r="O754" s="612"/>
      <c r="P754" s="612"/>
    </row>
    <row r="755" spans="1:16" s="643" customFormat="1" ht="15">
      <c r="A755" s="611"/>
      <c r="B755" s="611"/>
      <c r="C755" s="610"/>
      <c r="D755" s="612"/>
      <c r="E755" s="612"/>
      <c r="F755" s="612"/>
      <c r="G755" s="612"/>
      <c r="H755" s="612"/>
      <c r="I755" s="612"/>
      <c r="J755" s="612"/>
      <c r="K755" s="612"/>
      <c r="L755" s="612"/>
      <c r="M755" s="612"/>
      <c r="N755" s="612"/>
      <c r="O755" s="612"/>
      <c r="P755" s="612"/>
    </row>
    <row r="756" spans="1:16" s="643" customFormat="1" ht="15">
      <c r="A756" s="611"/>
      <c r="B756" s="611"/>
      <c r="C756" s="610"/>
      <c r="D756" s="612"/>
      <c r="E756" s="612"/>
      <c r="F756" s="612"/>
      <c r="G756" s="612"/>
      <c r="H756" s="612"/>
      <c r="I756" s="612"/>
      <c r="J756" s="612"/>
      <c r="K756" s="612"/>
      <c r="L756" s="612"/>
      <c r="M756" s="612"/>
      <c r="N756" s="612"/>
      <c r="O756" s="612"/>
      <c r="P756" s="612"/>
    </row>
    <row r="757" spans="1:16" s="643" customFormat="1" ht="15">
      <c r="A757" s="611"/>
      <c r="B757" s="611"/>
      <c r="C757" s="610"/>
      <c r="D757" s="612"/>
      <c r="E757" s="612"/>
      <c r="F757" s="612"/>
      <c r="G757" s="612"/>
      <c r="H757" s="612"/>
      <c r="I757" s="612"/>
      <c r="J757" s="612"/>
      <c r="K757" s="612"/>
      <c r="L757" s="612"/>
      <c r="M757" s="612"/>
      <c r="N757" s="612"/>
      <c r="O757" s="612"/>
      <c r="P757" s="612"/>
    </row>
    <row r="758" spans="1:16" s="643" customFormat="1" ht="15">
      <c r="A758" s="611"/>
      <c r="B758" s="611"/>
      <c r="C758" s="611"/>
      <c r="D758" s="612"/>
      <c r="E758" s="612"/>
      <c r="F758" s="612"/>
      <c r="G758" s="612"/>
      <c r="H758" s="612"/>
      <c r="I758" s="612"/>
      <c r="J758" s="612"/>
      <c r="K758" s="612"/>
      <c r="L758" s="612"/>
      <c r="M758" s="612"/>
      <c r="N758" s="612"/>
      <c r="O758" s="612"/>
      <c r="P758" s="612"/>
    </row>
    <row r="759" spans="1:16" s="643" customFormat="1" ht="15">
      <c r="A759" s="611"/>
      <c r="B759" s="611"/>
      <c r="C759" s="611"/>
      <c r="D759" s="612"/>
      <c r="E759" s="612"/>
      <c r="F759" s="612"/>
      <c r="G759" s="612"/>
      <c r="H759" s="612"/>
      <c r="I759" s="612"/>
      <c r="J759" s="612"/>
      <c r="K759" s="612"/>
      <c r="L759" s="612"/>
      <c r="M759" s="612"/>
      <c r="N759" s="612"/>
      <c r="O759" s="612"/>
      <c r="P759" s="612"/>
    </row>
    <row r="760" spans="1:16" s="643" customFormat="1" ht="15">
      <c r="A760" s="611"/>
      <c r="B760" s="611"/>
      <c r="C760" s="611"/>
      <c r="D760" s="612"/>
      <c r="E760" s="612"/>
      <c r="F760" s="612"/>
      <c r="G760" s="612"/>
      <c r="H760" s="612"/>
      <c r="I760" s="612"/>
      <c r="J760" s="612"/>
      <c r="K760" s="612"/>
      <c r="L760" s="612"/>
      <c r="M760" s="612"/>
      <c r="N760" s="612"/>
      <c r="O760" s="612"/>
      <c r="P760" s="612"/>
    </row>
    <row r="761" spans="1:16" s="643" customFormat="1" ht="15">
      <c r="A761" s="611"/>
      <c r="B761" s="611"/>
      <c r="C761" s="611"/>
      <c r="D761" s="612"/>
      <c r="E761" s="612"/>
      <c r="F761" s="612"/>
      <c r="G761" s="612"/>
      <c r="H761" s="612"/>
      <c r="I761" s="612"/>
      <c r="J761" s="612"/>
      <c r="K761" s="612"/>
      <c r="L761" s="612"/>
      <c r="M761" s="612"/>
      <c r="N761" s="612"/>
      <c r="O761" s="612"/>
      <c r="P761" s="612"/>
    </row>
    <row r="762" spans="1:16" s="643" customFormat="1" ht="15">
      <c r="A762" s="611"/>
      <c r="B762" s="611"/>
      <c r="C762" s="611"/>
      <c r="D762" s="612"/>
      <c r="E762" s="612"/>
      <c r="F762" s="612"/>
      <c r="G762" s="612"/>
      <c r="H762" s="612"/>
      <c r="I762" s="612"/>
      <c r="J762" s="612"/>
      <c r="K762" s="612"/>
      <c r="L762" s="612"/>
      <c r="M762" s="612"/>
      <c r="N762" s="612"/>
      <c r="O762" s="612"/>
      <c r="P762" s="612"/>
    </row>
    <row r="763" spans="1:16" s="643" customFormat="1" ht="15">
      <c r="A763" s="611"/>
      <c r="B763" s="611"/>
      <c r="C763" s="611"/>
      <c r="D763" s="612"/>
      <c r="E763" s="612"/>
      <c r="F763" s="612"/>
      <c r="G763" s="612"/>
      <c r="H763" s="612"/>
      <c r="I763" s="612"/>
      <c r="J763" s="612"/>
      <c r="K763" s="612"/>
      <c r="L763" s="612"/>
      <c r="M763" s="612"/>
      <c r="N763" s="612"/>
      <c r="O763" s="612"/>
      <c r="P763" s="612"/>
    </row>
    <row r="764" spans="1:16" s="643" customFormat="1" ht="15">
      <c r="A764" s="611"/>
      <c r="B764" s="611"/>
      <c r="C764" s="611"/>
      <c r="D764" s="612"/>
      <c r="E764" s="612"/>
      <c r="F764" s="612"/>
      <c r="G764" s="612"/>
      <c r="H764" s="612"/>
      <c r="I764" s="612"/>
      <c r="J764" s="612"/>
      <c r="K764" s="612"/>
      <c r="L764" s="612"/>
      <c r="M764" s="612"/>
      <c r="N764" s="612"/>
      <c r="O764" s="612"/>
      <c r="P764" s="612"/>
    </row>
    <row r="765" spans="1:16" s="643" customFormat="1" ht="15">
      <c r="A765" s="611"/>
      <c r="B765" s="611"/>
      <c r="C765" s="611"/>
      <c r="D765" s="612"/>
      <c r="E765" s="612"/>
      <c r="F765" s="612"/>
      <c r="G765" s="612"/>
      <c r="H765" s="612"/>
      <c r="I765" s="612"/>
      <c r="J765" s="612"/>
      <c r="K765" s="612"/>
      <c r="L765" s="612"/>
      <c r="M765" s="612"/>
      <c r="N765" s="612"/>
      <c r="O765" s="612"/>
      <c r="P765" s="612"/>
    </row>
    <row r="766" spans="1:16" s="643" customFormat="1" ht="15">
      <c r="A766" s="611"/>
      <c r="B766" s="611"/>
      <c r="C766" s="611"/>
      <c r="D766" s="612"/>
      <c r="E766" s="612"/>
      <c r="F766" s="612"/>
      <c r="G766" s="612"/>
      <c r="H766" s="612"/>
      <c r="I766" s="612"/>
      <c r="J766" s="612"/>
      <c r="K766" s="612"/>
      <c r="L766" s="612"/>
      <c r="M766" s="612"/>
      <c r="N766" s="612"/>
      <c r="O766" s="612"/>
      <c r="P766" s="612"/>
    </row>
    <row r="767" spans="1:16" s="643" customFormat="1" ht="15">
      <c r="A767" s="611"/>
      <c r="B767" s="611"/>
      <c r="C767" s="611"/>
      <c r="D767" s="612"/>
      <c r="E767" s="612"/>
      <c r="F767" s="612"/>
      <c r="G767" s="612"/>
      <c r="H767" s="612"/>
      <c r="I767" s="612"/>
      <c r="J767" s="612"/>
      <c r="K767" s="612"/>
      <c r="L767" s="612"/>
      <c r="M767" s="612"/>
      <c r="N767" s="612"/>
      <c r="O767" s="612"/>
      <c r="P767" s="612"/>
    </row>
    <row r="768" spans="1:16" s="643" customFormat="1" ht="15">
      <c r="A768" s="611"/>
      <c r="B768" s="611"/>
      <c r="C768" s="611"/>
      <c r="D768" s="612"/>
      <c r="E768" s="612"/>
      <c r="F768" s="612"/>
      <c r="G768" s="612"/>
      <c r="H768" s="612"/>
      <c r="I768" s="612"/>
      <c r="J768" s="612"/>
      <c r="K768" s="612"/>
      <c r="L768" s="612"/>
      <c r="M768" s="612"/>
      <c r="N768" s="612"/>
      <c r="O768" s="612"/>
      <c r="P768" s="612"/>
    </row>
    <row r="769" spans="1:16" s="643" customFormat="1" ht="15">
      <c r="A769" s="611"/>
      <c r="B769" s="611"/>
      <c r="C769" s="611"/>
      <c r="D769" s="612"/>
      <c r="E769" s="612"/>
      <c r="F769" s="612"/>
      <c r="G769" s="612"/>
      <c r="H769" s="612"/>
      <c r="I769" s="612"/>
      <c r="J769" s="612"/>
      <c r="K769" s="612"/>
      <c r="L769" s="612"/>
      <c r="M769" s="612"/>
      <c r="N769" s="612"/>
      <c r="O769" s="612"/>
      <c r="P769" s="612"/>
    </row>
    <row r="770" spans="1:16" s="643" customFormat="1" ht="15">
      <c r="A770" s="611"/>
      <c r="B770" s="611"/>
      <c r="C770" s="611"/>
      <c r="D770" s="612"/>
      <c r="E770" s="612"/>
      <c r="F770" s="612"/>
      <c r="G770" s="612"/>
      <c r="H770" s="612"/>
      <c r="I770" s="612"/>
      <c r="J770" s="612"/>
      <c r="K770" s="612"/>
      <c r="L770" s="612"/>
      <c r="M770" s="612"/>
      <c r="N770" s="612"/>
      <c r="O770" s="612"/>
      <c r="P770" s="612"/>
    </row>
    <row r="771" spans="1:16" s="643" customFormat="1" ht="15">
      <c r="A771" s="611"/>
      <c r="B771" s="611"/>
      <c r="C771" s="611"/>
      <c r="D771" s="612"/>
      <c r="E771" s="612"/>
      <c r="F771" s="612"/>
      <c r="G771" s="612"/>
      <c r="H771" s="612"/>
      <c r="I771" s="612"/>
      <c r="J771" s="612"/>
      <c r="K771" s="612"/>
      <c r="L771" s="612"/>
      <c r="M771" s="612"/>
      <c r="N771" s="612"/>
      <c r="O771" s="612"/>
      <c r="P771" s="612"/>
    </row>
    <row r="772" spans="1:16" s="643" customFormat="1" ht="15">
      <c r="A772" s="611"/>
      <c r="B772" s="611"/>
      <c r="C772" s="611"/>
      <c r="D772" s="612"/>
      <c r="E772" s="612"/>
      <c r="F772" s="612"/>
      <c r="G772" s="612"/>
      <c r="H772" s="612"/>
      <c r="I772" s="612"/>
      <c r="J772" s="612"/>
      <c r="K772" s="612"/>
      <c r="L772" s="612"/>
      <c r="M772" s="612"/>
      <c r="N772" s="612"/>
      <c r="O772" s="612"/>
      <c r="P772" s="612"/>
    </row>
    <row r="773" spans="1:16" s="643" customFormat="1" ht="15">
      <c r="A773" s="611"/>
      <c r="B773" s="611"/>
      <c r="C773" s="611"/>
      <c r="D773" s="612"/>
      <c r="E773" s="612"/>
      <c r="F773" s="612"/>
      <c r="G773" s="612"/>
      <c r="H773" s="612"/>
      <c r="I773" s="612"/>
      <c r="J773" s="612"/>
      <c r="K773" s="612"/>
      <c r="L773" s="612"/>
      <c r="M773" s="612"/>
      <c r="N773" s="612"/>
      <c r="O773" s="612"/>
      <c r="P773" s="612"/>
    </row>
    <row r="774" spans="1:16" s="643" customFormat="1" ht="15">
      <c r="A774" s="611"/>
      <c r="B774" s="611"/>
      <c r="C774" s="611"/>
      <c r="D774" s="612"/>
      <c r="E774" s="612"/>
      <c r="F774" s="612"/>
      <c r="G774" s="612"/>
      <c r="H774" s="612"/>
      <c r="I774" s="612"/>
      <c r="J774" s="612"/>
      <c r="K774" s="612"/>
      <c r="L774" s="612"/>
      <c r="M774" s="612"/>
      <c r="N774" s="612"/>
      <c r="O774" s="612"/>
      <c r="P774" s="612"/>
    </row>
    <row r="775" spans="1:16" s="643" customFormat="1" ht="15">
      <c r="A775" s="611"/>
      <c r="B775" s="611"/>
      <c r="C775" s="611"/>
      <c r="D775" s="612"/>
      <c r="E775" s="612"/>
      <c r="F775" s="612"/>
      <c r="G775" s="612"/>
      <c r="H775" s="612"/>
      <c r="I775" s="612"/>
      <c r="J775" s="612"/>
      <c r="K775" s="612"/>
      <c r="L775" s="612"/>
      <c r="M775" s="612"/>
      <c r="N775" s="612"/>
      <c r="O775" s="612"/>
      <c r="P775" s="612"/>
    </row>
    <row r="776" spans="1:16" s="643" customFormat="1" ht="15">
      <c r="A776" s="611"/>
      <c r="B776" s="611"/>
      <c r="C776" s="611"/>
      <c r="D776" s="612"/>
      <c r="E776" s="612"/>
      <c r="F776" s="612"/>
      <c r="G776" s="612"/>
      <c r="H776" s="612"/>
      <c r="I776" s="612"/>
      <c r="J776" s="612"/>
      <c r="K776" s="612"/>
      <c r="L776" s="612"/>
      <c r="M776" s="612"/>
      <c r="N776" s="612"/>
      <c r="O776" s="612"/>
      <c r="P776" s="612"/>
    </row>
    <row r="777" spans="1:16" s="643" customFormat="1" ht="15">
      <c r="A777" s="611"/>
      <c r="B777" s="611"/>
      <c r="C777" s="611"/>
      <c r="D777" s="612"/>
      <c r="E777" s="612"/>
      <c r="F777" s="612"/>
      <c r="G777" s="612"/>
      <c r="H777" s="612"/>
      <c r="I777" s="612"/>
      <c r="J777" s="612"/>
      <c r="K777" s="612"/>
      <c r="L777" s="612"/>
      <c r="M777" s="612"/>
      <c r="N777" s="612"/>
      <c r="O777" s="612"/>
      <c r="P777" s="612"/>
    </row>
    <row r="778" spans="1:16" s="643" customFormat="1" ht="15">
      <c r="A778" s="611"/>
      <c r="B778" s="611"/>
      <c r="C778" s="611"/>
      <c r="D778" s="612"/>
      <c r="E778" s="612"/>
      <c r="F778" s="612"/>
      <c r="G778" s="612"/>
      <c r="H778" s="612"/>
      <c r="I778" s="612"/>
      <c r="J778" s="612"/>
      <c r="K778" s="612"/>
      <c r="L778" s="612"/>
      <c r="M778" s="612"/>
      <c r="N778" s="612"/>
      <c r="O778" s="612"/>
      <c r="P778" s="612"/>
    </row>
    <row r="779" spans="1:16" s="643" customFormat="1" ht="15">
      <c r="A779" s="611"/>
      <c r="B779" s="611"/>
      <c r="C779" s="611"/>
      <c r="D779" s="612"/>
      <c r="E779" s="612"/>
      <c r="F779" s="612"/>
      <c r="G779" s="612"/>
      <c r="H779" s="612"/>
      <c r="I779" s="612"/>
      <c r="J779" s="612"/>
      <c r="K779" s="612"/>
      <c r="L779" s="612"/>
      <c r="M779" s="612"/>
      <c r="N779" s="612"/>
      <c r="O779" s="612"/>
      <c r="P779" s="612"/>
    </row>
    <row r="780" spans="1:16" s="643" customFormat="1" ht="15">
      <c r="A780" s="611"/>
      <c r="B780" s="611"/>
      <c r="C780" s="611"/>
      <c r="D780" s="612"/>
      <c r="E780" s="612"/>
      <c r="F780" s="612"/>
      <c r="G780" s="612"/>
      <c r="H780" s="612"/>
      <c r="I780" s="612"/>
      <c r="J780" s="612"/>
      <c r="K780" s="612"/>
      <c r="L780" s="612"/>
      <c r="M780" s="612"/>
      <c r="N780" s="612"/>
      <c r="O780" s="612"/>
      <c r="P780" s="612"/>
    </row>
    <row r="781" spans="1:16" s="643" customFormat="1" ht="15">
      <c r="A781" s="611"/>
      <c r="B781" s="611"/>
      <c r="C781" s="611"/>
      <c r="D781" s="612"/>
      <c r="E781" s="612"/>
      <c r="F781" s="612"/>
      <c r="G781" s="612"/>
      <c r="H781" s="612"/>
      <c r="I781" s="612"/>
      <c r="J781" s="612"/>
      <c r="K781" s="612"/>
      <c r="L781" s="612"/>
      <c r="M781" s="612"/>
      <c r="N781" s="612"/>
      <c r="O781" s="612"/>
      <c r="P781" s="612"/>
    </row>
    <row r="782" spans="1:16" s="643" customFormat="1" ht="15">
      <c r="A782" s="611"/>
      <c r="B782" s="611"/>
      <c r="C782" s="611"/>
      <c r="D782" s="612"/>
      <c r="E782" s="612"/>
      <c r="F782" s="612"/>
      <c r="G782" s="612"/>
      <c r="H782" s="612"/>
      <c r="I782" s="612"/>
      <c r="J782" s="612"/>
      <c r="K782" s="612"/>
      <c r="L782" s="612"/>
      <c r="M782" s="612"/>
      <c r="N782" s="612"/>
      <c r="O782" s="612"/>
      <c r="P782" s="612"/>
    </row>
    <row r="783" spans="1:16" s="643" customFormat="1" ht="15">
      <c r="A783" s="611"/>
      <c r="B783" s="611"/>
      <c r="C783" s="611"/>
      <c r="D783" s="612"/>
      <c r="E783" s="612"/>
      <c r="F783" s="612"/>
      <c r="G783" s="612"/>
      <c r="H783" s="612"/>
      <c r="I783" s="612"/>
      <c r="J783" s="612"/>
      <c r="K783" s="612"/>
      <c r="L783" s="612"/>
      <c r="M783" s="612"/>
      <c r="N783" s="612"/>
      <c r="O783" s="612"/>
      <c r="P783" s="612"/>
    </row>
    <row r="784" spans="1:16" s="643" customFormat="1" ht="15">
      <c r="A784" s="611"/>
      <c r="B784" s="611"/>
      <c r="C784" s="611"/>
      <c r="D784" s="612"/>
      <c r="E784" s="612"/>
      <c r="F784" s="612"/>
      <c r="G784" s="612"/>
      <c r="H784" s="612"/>
      <c r="I784" s="612"/>
      <c r="J784" s="612"/>
      <c r="K784" s="612"/>
      <c r="L784" s="612"/>
      <c r="M784" s="612"/>
      <c r="N784" s="612"/>
      <c r="O784" s="612"/>
      <c r="P784" s="612"/>
    </row>
    <row r="785" spans="1:16" s="643" customFormat="1" ht="15">
      <c r="A785" s="611"/>
      <c r="B785" s="611"/>
      <c r="C785" s="611"/>
      <c r="D785" s="612"/>
      <c r="E785" s="612"/>
      <c r="F785" s="612"/>
      <c r="G785" s="612"/>
      <c r="H785" s="612"/>
      <c r="I785" s="612"/>
      <c r="J785" s="612"/>
      <c r="K785" s="612"/>
      <c r="L785" s="612"/>
      <c r="M785" s="612"/>
      <c r="N785" s="612"/>
      <c r="O785" s="612"/>
      <c r="P785" s="612"/>
    </row>
    <row r="786" spans="1:16" s="643" customFormat="1" ht="15">
      <c r="A786" s="611"/>
      <c r="B786" s="611"/>
      <c r="C786" s="611"/>
      <c r="D786" s="612"/>
      <c r="E786" s="612"/>
      <c r="F786" s="612"/>
      <c r="G786" s="612"/>
      <c r="H786" s="612"/>
      <c r="I786" s="612"/>
      <c r="J786" s="612"/>
      <c r="K786" s="612"/>
      <c r="L786" s="612"/>
      <c r="M786" s="612"/>
      <c r="N786" s="612"/>
      <c r="O786" s="612"/>
      <c r="P786" s="612"/>
    </row>
    <row r="787" spans="1:16" s="643" customFormat="1" ht="15">
      <c r="A787" s="611"/>
      <c r="B787" s="611"/>
      <c r="C787" s="611"/>
      <c r="D787" s="612"/>
      <c r="E787" s="612"/>
      <c r="F787" s="612"/>
      <c r="G787" s="612"/>
      <c r="H787" s="612"/>
      <c r="I787" s="612"/>
      <c r="J787" s="612"/>
      <c r="K787" s="612"/>
      <c r="L787" s="612"/>
      <c r="M787" s="612"/>
      <c r="N787" s="612"/>
      <c r="O787" s="612"/>
      <c r="P787" s="612"/>
    </row>
    <row r="788" spans="1:16" s="643" customFormat="1" ht="15">
      <c r="A788" s="611"/>
      <c r="B788" s="611"/>
      <c r="C788" s="611"/>
      <c r="D788" s="612"/>
      <c r="E788" s="612"/>
      <c r="F788" s="612"/>
      <c r="G788" s="612"/>
      <c r="H788" s="612"/>
      <c r="I788" s="612"/>
      <c r="J788" s="612"/>
      <c r="K788" s="612"/>
      <c r="L788" s="612"/>
      <c r="M788" s="612"/>
      <c r="N788" s="612"/>
      <c r="O788" s="612"/>
      <c r="P788" s="612"/>
    </row>
    <row r="789" spans="1:16" s="643" customFormat="1" ht="15">
      <c r="A789" s="611"/>
      <c r="B789" s="611"/>
      <c r="C789" s="611"/>
      <c r="D789" s="612"/>
      <c r="E789" s="612"/>
      <c r="F789" s="612"/>
      <c r="G789" s="612"/>
      <c r="H789" s="612"/>
      <c r="I789" s="612"/>
      <c r="J789" s="612"/>
      <c r="K789" s="612"/>
      <c r="L789" s="612"/>
      <c r="M789" s="612"/>
      <c r="N789" s="612"/>
      <c r="O789" s="612"/>
      <c r="P789" s="612"/>
    </row>
    <row r="790" spans="1:16" s="643" customFormat="1" ht="15">
      <c r="A790" s="611"/>
      <c r="B790" s="611"/>
      <c r="C790" s="611"/>
      <c r="D790" s="612"/>
      <c r="E790" s="612"/>
      <c r="F790" s="612"/>
      <c r="G790" s="612"/>
      <c r="H790" s="612"/>
      <c r="I790" s="612"/>
      <c r="J790" s="612"/>
      <c r="K790" s="612"/>
      <c r="L790" s="612"/>
      <c r="M790" s="612"/>
      <c r="N790" s="612"/>
      <c r="O790" s="612"/>
      <c r="P790" s="612"/>
    </row>
    <row r="791" spans="1:16" s="643" customFormat="1" ht="15">
      <c r="A791" s="611"/>
      <c r="B791" s="611"/>
      <c r="C791" s="611"/>
      <c r="D791" s="612"/>
      <c r="E791" s="612"/>
      <c r="F791" s="612"/>
      <c r="G791" s="612"/>
      <c r="H791" s="612"/>
      <c r="I791" s="612"/>
      <c r="J791" s="612"/>
      <c r="K791" s="612"/>
      <c r="L791" s="612"/>
      <c r="M791" s="612"/>
      <c r="N791" s="612"/>
      <c r="O791" s="612"/>
      <c r="P791" s="612"/>
    </row>
    <row r="792" spans="1:16" s="643" customFormat="1" ht="15">
      <c r="A792" s="611"/>
      <c r="B792" s="611"/>
      <c r="C792" s="611"/>
      <c r="D792" s="612"/>
      <c r="E792" s="612"/>
      <c r="F792" s="612"/>
      <c r="G792" s="612"/>
      <c r="H792" s="612"/>
      <c r="I792" s="612"/>
      <c r="J792" s="612"/>
      <c r="K792" s="612"/>
      <c r="L792" s="612"/>
      <c r="M792" s="612"/>
      <c r="N792" s="612"/>
      <c r="O792" s="612"/>
      <c r="P792" s="612"/>
    </row>
    <row r="793" spans="1:16" s="643" customFormat="1" ht="15">
      <c r="A793" s="611"/>
      <c r="B793" s="611"/>
      <c r="C793" s="611"/>
      <c r="D793" s="612"/>
      <c r="E793" s="612"/>
      <c r="F793" s="612"/>
      <c r="G793" s="612"/>
      <c r="H793" s="612"/>
      <c r="I793" s="612"/>
      <c r="J793" s="612"/>
      <c r="K793" s="612"/>
      <c r="L793" s="612"/>
      <c r="M793" s="612"/>
      <c r="N793" s="612"/>
      <c r="O793" s="612"/>
      <c r="P793" s="612"/>
    </row>
    <row r="794" spans="1:16" s="643" customFormat="1" ht="15">
      <c r="A794" s="611"/>
      <c r="B794" s="611"/>
      <c r="C794" s="611"/>
      <c r="D794" s="612"/>
      <c r="E794" s="612"/>
      <c r="F794" s="612"/>
      <c r="G794" s="612"/>
      <c r="H794" s="612"/>
      <c r="I794" s="612"/>
      <c r="J794" s="612"/>
      <c r="K794" s="612"/>
      <c r="L794" s="612"/>
      <c r="M794" s="612"/>
      <c r="N794" s="612"/>
      <c r="O794" s="612"/>
      <c r="P794" s="612"/>
    </row>
    <row r="795" spans="1:16" s="643" customFormat="1" ht="15">
      <c r="A795" s="611"/>
      <c r="B795" s="611"/>
      <c r="C795" s="611"/>
      <c r="D795" s="612"/>
      <c r="E795" s="612"/>
      <c r="F795" s="612"/>
      <c r="G795" s="612"/>
      <c r="H795" s="612"/>
      <c r="I795" s="612"/>
      <c r="J795" s="612"/>
      <c r="K795" s="612"/>
      <c r="L795" s="612"/>
      <c r="M795" s="612"/>
      <c r="N795" s="612"/>
      <c r="O795" s="612"/>
      <c r="P795" s="612"/>
    </row>
    <row r="796" spans="1:16" s="643" customFormat="1" ht="15">
      <c r="A796" s="611"/>
      <c r="B796" s="611"/>
      <c r="C796" s="611"/>
      <c r="D796" s="612"/>
      <c r="E796" s="612"/>
      <c r="F796" s="612"/>
      <c r="G796" s="612"/>
      <c r="H796" s="612"/>
      <c r="I796" s="612"/>
      <c r="J796" s="612"/>
      <c r="K796" s="612"/>
      <c r="L796" s="612"/>
      <c r="M796" s="612"/>
      <c r="N796" s="612"/>
      <c r="O796" s="612"/>
      <c r="P796" s="612"/>
    </row>
    <row r="797" spans="1:16" s="643" customFormat="1" ht="15">
      <c r="A797" s="611"/>
      <c r="B797" s="611"/>
      <c r="C797" s="611"/>
      <c r="D797" s="612"/>
      <c r="E797" s="612"/>
      <c r="F797" s="612"/>
      <c r="G797" s="612"/>
      <c r="H797" s="612"/>
      <c r="I797" s="612"/>
      <c r="J797" s="612"/>
      <c r="K797" s="612"/>
      <c r="L797" s="612"/>
      <c r="M797" s="612"/>
      <c r="N797" s="612"/>
      <c r="O797" s="612"/>
      <c r="P797" s="612"/>
    </row>
    <row r="798" spans="1:16" s="643" customFormat="1" ht="15">
      <c r="A798" s="611"/>
      <c r="B798" s="611"/>
      <c r="C798" s="611"/>
      <c r="D798" s="612"/>
      <c r="E798" s="612"/>
      <c r="F798" s="612"/>
      <c r="G798" s="612"/>
      <c r="H798" s="612"/>
      <c r="I798" s="612"/>
      <c r="J798" s="612"/>
      <c r="K798" s="612"/>
      <c r="L798" s="612"/>
      <c r="M798" s="612"/>
      <c r="N798" s="612"/>
      <c r="O798" s="612"/>
      <c r="P798" s="612"/>
    </row>
    <row r="799" spans="1:16" s="643" customFormat="1" ht="15">
      <c r="A799" s="611"/>
      <c r="B799" s="611"/>
      <c r="C799" s="611"/>
      <c r="D799" s="612"/>
      <c r="E799" s="612"/>
      <c r="F799" s="612"/>
      <c r="G799" s="612"/>
      <c r="H799" s="612"/>
      <c r="I799" s="612"/>
      <c r="J799" s="612"/>
      <c r="K799" s="612"/>
      <c r="L799" s="612"/>
      <c r="M799" s="612"/>
      <c r="N799" s="612"/>
      <c r="O799" s="612"/>
      <c r="P799" s="612"/>
    </row>
    <row r="800" spans="1:16" s="643" customFormat="1" ht="15">
      <c r="A800" s="611"/>
      <c r="B800" s="611"/>
      <c r="C800" s="611"/>
      <c r="D800" s="612"/>
      <c r="E800" s="612"/>
      <c r="F800" s="612"/>
      <c r="G800" s="612"/>
      <c r="H800" s="612"/>
      <c r="I800" s="612"/>
      <c r="J800" s="612"/>
      <c r="K800" s="612"/>
      <c r="L800" s="612"/>
      <c r="M800" s="612"/>
      <c r="N800" s="612"/>
      <c r="O800" s="612"/>
      <c r="P800" s="612"/>
    </row>
    <row r="801" spans="1:16" s="643" customFormat="1" ht="15">
      <c r="A801" s="611"/>
      <c r="B801" s="611"/>
      <c r="C801" s="611"/>
      <c r="D801" s="612"/>
      <c r="E801" s="612"/>
      <c r="F801" s="612"/>
      <c r="G801" s="612"/>
      <c r="H801" s="612"/>
      <c r="I801" s="612"/>
      <c r="J801" s="612"/>
      <c r="K801" s="612"/>
      <c r="L801" s="612"/>
      <c r="M801" s="612"/>
      <c r="N801" s="612"/>
      <c r="O801" s="612"/>
      <c r="P801" s="612"/>
    </row>
    <row r="802" spans="1:16" s="643" customFormat="1" ht="15">
      <c r="A802" s="611"/>
      <c r="B802" s="611"/>
      <c r="C802" s="611"/>
      <c r="D802" s="612"/>
      <c r="E802" s="612"/>
      <c r="F802" s="612"/>
      <c r="G802" s="612"/>
      <c r="H802" s="612"/>
      <c r="I802" s="612"/>
      <c r="J802" s="612"/>
      <c r="K802" s="612"/>
      <c r="L802" s="612"/>
      <c r="M802" s="612"/>
      <c r="N802" s="612"/>
      <c r="O802" s="612"/>
      <c r="P802" s="612"/>
    </row>
    <row r="803" spans="1:16" s="643" customFormat="1" ht="15">
      <c r="A803" s="611"/>
      <c r="B803" s="611"/>
      <c r="C803" s="611"/>
      <c r="D803" s="612"/>
      <c r="E803" s="612"/>
      <c r="F803" s="612"/>
      <c r="G803" s="612"/>
      <c r="H803" s="612"/>
      <c r="I803" s="612"/>
      <c r="J803" s="612"/>
      <c r="K803" s="612"/>
      <c r="L803" s="612"/>
      <c r="M803" s="612"/>
      <c r="N803" s="612"/>
      <c r="O803" s="612"/>
      <c r="P803" s="612"/>
    </row>
    <row r="804" spans="1:16" s="643" customFormat="1" ht="15">
      <c r="A804" s="611"/>
      <c r="B804" s="611"/>
      <c r="C804" s="611"/>
      <c r="D804" s="612"/>
      <c r="E804" s="612"/>
      <c r="F804" s="612"/>
      <c r="G804" s="612"/>
      <c r="H804" s="612"/>
      <c r="I804" s="612"/>
      <c r="J804" s="612"/>
      <c r="K804" s="612"/>
      <c r="L804" s="612"/>
      <c r="M804" s="612"/>
      <c r="N804" s="612"/>
      <c r="O804" s="612"/>
      <c r="P804" s="612"/>
    </row>
    <row r="805" spans="1:16" s="643" customFormat="1" ht="15">
      <c r="A805" s="611"/>
      <c r="B805" s="611"/>
      <c r="C805" s="611"/>
      <c r="D805" s="612"/>
      <c r="E805" s="612"/>
      <c r="F805" s="612"/>
      <c r="G805" s="612"/>
      <c r="H805" s="612"/>
      <c r="I805" s="612"/>
      <c r="J805" s="612"/>
      <c r="K805" s="612"/>
      <c r="L805" s="612"/>
      <c r="M805" s="612"/>
      <c r="N805" s="612"/>
      <c r="O805" s="612"/>
      <c r="P805" s="612"/>
    </row>
    <row r="806" spans="1:16" s="643" customFormat="1" ht="15">
      <c r="A806" s="611"/>
      <c r="B806" s="611"/>
      <c r="C806" s="611"/>
      <c r="D806" s="612"/>
      <c r="E806" s="612"/>
      <c r="F806" s="612"/>
      <c r="G806" s="612"/>
      <c r="H806" s="612"/>
      <c r="I806" s="612"/>
      <c r="J806" s="612"/>
      <c r="K806" s="612"/>
      <c r="L806" s="612"/>
      <c r="M806" s="612"/>
      <c r="N806" s="612"/>
      <c r="O806" s="612"/>
      <c r="P806" s="612"/>
    </row>
    <row r="807" spans="1:16" s="643" customFormat="1" ht="15">
      <c r="A807" s="611"/>
      <c r="B807" s="611"/>
      <c r="C807" s="611"/>
      <c r="D807" s="612"/>
      <c r="E807" s="612"/>
      <c r="F807" s="612"/>
      <c r="G807" s="612"/>
      <c r="H807" s="612"/>
      <c r="I807" s="612"/>
      <c r="J807" s="612"/>
      <c r="K807" s="612"/>
      <c r="L807" s="612"/>
      <c r="M807" s="612"/>
      <c r="N807" s="612"/>
      <c r="O807" s="612"/>
      <c r="P807" s="612"/>
    </row>
    <row r="808" spans="1:16" s="643" customFormat="1" ht="15">
      <c r="A808" s="611"/>
      <c r="B808" s="611"/>
      <c r="C808" s="611"/>
      <c r="D808" s="612"/>
      <c r="E808" s="612"/>
      <c r="F808" s="612"/>
      <c r="G808" s="612"/>
      <c r="H808" s="612"/>
      <c r="I808" s="612"/>
      <c r="J808" s="612"/>
      <c r="K808" s="612"/>
      <c r="L808" s="612"/>
      <c r="M808" s="612"/>
      <c r="N808" s="612"/>
      <c r="O808" s="612"/>
      <c r="P808" s="612"/>
    </row>
    <row r="809" spans="1:16" s="643" customFormat="1" ht="15">
      <c r="A809" s="611"/>
      <c r="B809" s="611"/>
      <c r="C809" s="611"/>
      <c r="D809" s="612"/>
      <c r="E809" s="612"/>
      <c r="F809" s="612"/>
      <c r="G809" s="612"/>
      <c r="H809" s="612"/>
      <c r="I809" s="612"/>
      <c r="J809" s="612"/>
      <c r="K809" s="612"/>
      <c r="L809" s="612"/>
      <c r="M809" s="612"/>
      <c r="N809" s="612"/>
      <c r="O809" s="612"/>
      <c r="P809" s="612"/>
    </row>
    <row r="810" spans="1:16" s="643" customFormat="1" ht="15">
      <c r="A810" s="611"/>
      <c r="B810" s="611"/>
      <c r="C810" s="611"/>
      <c r="D810" s="612"/>
      <c r="E810" s="612"/>
      <c r="F810" s="612"/>
      <c r="G810" s="612"/>
      <c r="H810" s="612"/>
      <c r="I810" s="612"/>
      <c r="J810" s="612"/>
      <c r="K810" s="612"/>
      <c r="L810" s="612"/>
      <c r="M810" s="612"/>
      <c r="N810" s="612"/>
      <c r="O810" s="612"/>
      <c r="P810" s="612"/>
    </row>
    <row r="811" spans="1:16" s="643" customFormat="1" ht="15">
      <c r="A811" s="611"/>
      <c r="B811" s="611"/>
      <c r="C811" s="611"/>
      <c r="D811" s="612"/>
      <c r="E811" s="612"/>
      <c r="F811" s="612"/>
      <c r="G811" s="612"/>
      <c r="H811" s="612"/>
      <c r="I811" s="612"/>
      <c r="J811" s="612"/>
      <c r="K811" s="612"/>
      <c r="L811" s="612"/>
      <c r="M811" s="612"/>
      <c r="N811" s="612"/>
      <c r="O811" s="612"/>
      <c r="P811" s="612"/>
    </row>
    <row r="812" spans="1:16" s="643" customFormat="1" ht="15">
      <c r="A812" s="611"/>
      <c r="B812" s="611"/>
      <c r="C812" s="611"/>
      <c r="D812" s="612"/>
      <c r="E812" s="612"/>
      <c r="F812" s="612"/>
      <c r="G812" s="612"/>
      <c r="H812" s="612"/>
      <c r="I812" s="612"/>
      <c r="J812" s="612"/>
      <c r="K812" s="612"/>
      <c r="L812" s="612"/>
      <c r="M812" s="612"/>
      <c r="N812" s="612"/>
      <c r="O812" s="612"/>
      <c r="P812" s="612"/>
    </row>
    <row r="813" spans="1:16" s="643" customFormat="1" ht="15">
      <c r="A813" s="611"/>
      <c r="B813" s="611"/>
      <c r="C813" s="611"/>
      <c r="D813" s="612"/>
      <c r="E813" s="612"/>
      <c r="F813" s="612"/>
      <c r="G813" s="612"/>
      <c r="H813" s="612"/>
      <c r="I813" s="612"/>
      <c r="J813" s="612"/>
      <c r="K813" s="612"/>
      <c r="L813" s="612"/>
      <c r="M813" s="612"/>
      <c r="N813" s="612"/>
      <c r="O813" s="612"/>
      <c r="P813" s="612"/>
    </row>
    <row r="814" spans="1:16" s="643" customFormat="1" ht="15">
      <c r="A814" s="611"/>
      <c r="B814" s="611"/>
      <c r="C814" s="611"/>
      <c r="D814" s="612"/>
      <c r="E814" s="612"/>
      <c r="F814" s="612"/>
      <c r="G814" s="612"/>
      <c r="H814" s="612"/>
      <c r="I814" s="612"/>
      <c r="J814" s="612"/>
      <c r="K814" s="612"/>
      <c r="L814" s="612"/>
      <c r="M814" s="612"/>
      <c r="N814" s="612"/>
      <c r="O814" s="612"/>
      <c r="P814" s="612"/>
    </row>
    <row r="815" spans="1:16" s="643" customFormat="1" ht="15">
      <c r="A815" s="611"/>
      <c r="B815" s="611"/>
      <c r="C815" s="611"/>
      <c r="D815" s="612"/>
      <c r="E815" s="612"/>
      <c r="F815" s="612"/>
      <c r="G815" s="612"/>
      <c r="H815" s="612"/>
      <c r="I815" s="612"/>
      <c r="J815" s="612"/>
      <c r="K815" s="612"/>
      <c r="L815" s="612"/>
      <c r="M815" s="612"/>
      <c r="N815" s="612"/>
      <c r="O815" s="612"/>
      <c r="P815" s="612"/>
    </row>
    <row r="816" spans="1:16" s="643" customFormat="1" ht="15">
      <c r="A816" s="611"/>
      <c r="B816" s="611"/>
      <c r="C816" s="611"/>
      <c r="D816" s="612"/>
      <c r="E816" s="612"/>
      <c r="F816" s="612"/>
      <c r="G816" s="612"/>
      <c r="H816" s="612"/>
      <c r="I816" s="612"/>
      <c r="J816" s="612"/>
      <c r="K816" s="612"/>
      <c r="L816" s="612"/>
      <c r="M816" s="612"/>
      <c r="N816" s="612"/>
      <c r="O816" s="612"/>
      <c r="P816" s="612"/>
    </row>
    <row r="817" spans="1:16" s="643" customFormat="1" ht="15">
      <c r="A817" s="611"/>
      <c r="B817" s="611"/>
      <c r="C817" s="611"/>
      <c r="D817" s="612"/>
      <c r="E817" s="612"/>
      <c r="F817" s="612"/>
      <c r="G817" s="612"/>
      <c r="H817" s="612"/>
      <c r="I817" s="612"/>
      <c r="J817" s="612"/>
      <c r="K817" s="612"/>
      <c r="L817" s="612"/>
      <c r="M817" s="612"/>
      <c r="N817" s="612"/>
      <c r="O817" s="612"/>
      <c r="P817" s="612"/>
    </row>
    <row r="818" spans="1:16" s="643" customFormat="1" ht="15">
      <c r="A818" s="611"/>
      <c r="B818" s="611"/>
      <c r="C818" s="611"/>
      <c r="D818" s="612"/>
      <c r="E818" s="612"/>
      <c r="F818" s="612"/>
      <c r="G818" s="612"/>
      <c r="H818" s="612"/>
      <c r="I818" s="612"/>
      <c r="J818" s="612"/>
      <c r="K818" s="612"/>
      <c r="L818" s="612"/>
      <c r="M818" s="612"/>
      <c r="N818" s="612"/>
      <c r="O818" s="612"/>
      <c r="P818" s="612"/>
    </row>
    <row r="819" spans="1:16" s="643" customFormat="1" ht="15">
      <c r="A819" s="611"/>
      <c r="B819" s="611"/>
      <c r="C819" s="611"/>
      <c r="D819" s="612"/>
      <c r="E819" s="612"/>
      <c r="F819" s="612"/>
      <c r="G819" s="612"/>
      <c r="H819" s="612"/>
      <c r="I819" s="612"/>
      <c r="J819" s="612"/>
      <c r="K819" s="612"/>
      <c r="L819" s="612"/>
      <c r="M819" s="612"/>
      <c r="N819" s="612"/>
      <c r="O819" s="612"/>
      <c r="P819" s="612"/>
    </row>
    <row r="820" spans="1:16" s="643" customFormat="1" ht="15">
      <c r="A820" s="611"/>
      <c r="B820" s="611"/>
      <c r="C820" s="611"/>
      <c r="D820" s="612"/>
      <c r="E820" s="612"/>
      <c r="F820" s="612"/>
      <c r="G820" s="612"/>
      <c r="H820" s="612"/>
      <c r="I820" s="612"/>
      <c r="J820" s="612"/>
      <c r="K820" s="612"/>
      <c r="L820" s="612"/>
      <c r="M820" s="612"/>
      <c r="N820" s="612"/>
      <c r="O820" s="612"/>
      <c r="P820" s="612"/>
    </row>
    <row r="821" spans="1:16" s="643" customFormat="1" ht="15">
      <c r="A821" s="611"/>
      <c r="B821" s="611"/>
      <c r="C821" s="611"/>
      <c r="D821" s="612"/>
      <c r="E821" s="612"/>
      <c r="F821" s="612"/>
      <c r="G821" s="612"/>
      <c r="H821" s="612"/>
      <c r="I821" s="612"/>
      <c r="J821" s="612"/>
      <c r="K821" s="612"/>
      <c r="L821" s="612"/>
      <c r="M821" s="612"/>
      <c r="N821" s="612"/>
      <c r="O821" s="612"/>
      <c r="P821" s="612"/>
    </row>
    <row r="822" spans="1:16" s="643" customFormat="1" ht="15">
      <c r="A822" s="611"/>
      <c r="B822" s="611"/>
      <c r="C822" s="611"/>
      <c r="D822" s="612"/>
      <c r="E822" s="612"/>
      <c r="F822" s="612"/>
      <c r="G822" s="612"/>
      <c r="H822" s="612"/>
      <c r="I822" s="612"/>
      <c r="J822" s="612"/>
      <c r="K822" s="612"/>
      <c r="L822" s="612"/>
      <c r="M822" s="612"/>
      <c r="N822" s="612"/>
      <c r="O822" s="612"/>
      <c r="P822" s="612"/>
    </row>
    <row r="823" spans="1:16" s="643" customFormat="1" ht="15">
      <c r="A823" s="611"/>
      <c r="B823" s="611"/>
      <c r="C823" s="611"/>
      <c r="D823" s="612"/>
      <c r="E823" s="612"/>
      <c r="F823" s="612"/>
      <c r="G823" s="612"/>
      <c r="H823" s="612"/>
      <c r="I823" s="612"/>
      <c r="J823" s="612"/>
      <c r="K823" s="612"/>
      <c r="L823" s="612"/>
      <c r="M823" s="612"/>
      <c r="N823" s="612"/>
      <c r="O823" s="612"/>
      <c r="P823" s="612"/>
    </row>
    <row r="824" spans="1:16" s="643" customFormat="1" ht="15">
      <c r="A824" s="611"/>
      <c r="B824" s="611"/>
      <c r="C824" s="611"/>
      <c r="D824" s="612"/>
      <c r="E824" s="612"/>
      <c r="F824" s="612"/>
      <c r="G824" s="612"/>
      <c r="H824" s="612"/>
      <c r="I824" s="612"/>
      <c r="J824" s="612"/>
      <c r="K824" s="612"/>
      <c r="L824" s="612"/>
      <c r="M824" s="612"/>
      <c r="N824" s="612"/>
      <c r="O824" s="612"/>
      <c r="P824" s="612"/>
    </row>
    <row r="825" spans="1:16" s="643" customFormat="1" ht="15">
      <c r="A825" s="611"/>
      <c r="B825" s="611"/>
      <c r="C825" s="611"/>
      <c r="D825" s="612"/>
      <c r="E825" s="612"/>
      <c r="F825" s="612"/>
      <c r="G825" s="612"/>
      <c r="H825" s="612"/>
      <c r="I825" s="612"/>
      <c r="J825" s="612"/>
      <c r="K825" s="612"/>
      <c r="L825" s="612"/>
      <c r="M825" s="612"/>
      <c r="N825" s="612"/>
      <c r="O825" s="612"/>
      <c r="P825" s="612"/>
    </row>
    <row r="826" spans="1:16" s="643" customFormat="1" ht="15">
      <c r="A826" s="611"/>
      <c r="B826" s="611"/>
      <c r="C826" s="611"/>
      <c r="D826" s="612"/>
      <c r="E826" s="612"/>
      <c r="F826" s="612"/>
      <c r="G826" s="612"/>
      <c r="H826" s="612"/>
      <c r="I826" s="612"/>
      <c r="J826" s="612"/>
      <c r="K826" s="612"/>
      <c r="L826" s="612"/>
      <c r="M826" s="612"/>
      <c r="N826" s="612"/>
      <c r="O826" s="612"/>
      <c r="P826" s="612"/>
    </row>
    <row r="827" spans="1:16" s="643" customFormat="1" ht="15">
      <c r="A827" s="611"/>
      <c r="B827" s="611"/>
      <c r="C827" s="611"/>
      <c r="D827" s="612"/>
      <c r="E827" s="612"/>
      <c r="F827" s="612"/>
      <c r="G827" s="612"/>
      <c r="H827" s="612"/>
      <c r="I827" s="612"/>
      <c r="J827" s="612"/>
      <c r="K827" s="612"/>
      <c r="L827" s="612"/>
      <c r="M827" s="612"/>
      <c r="N827" s="612"/>
      <c r="O827" s="612"/>
      <c r="P827" s="612"/>
    </row>
    <row r="828" spans="1:16" s="643" customFormat="1" ht="15">
      <c r="A828" s="611"/>
      <c r="B828" s="611"/>
      <c r="C828" s="611"/>
      <c r="D828" s="612"/>
      <c r="E828" s="612"/>
      <c r="F828" s="612"/>
      <c r="G828" s="612"/>
      <c r="H828" s="612"/>
      <c r="I828" s="612"/>
      <c r="J828" s="612"/>
      <c r="K828" s="612"/>
      <c r="L828" s="612"/>
      <c r="M828" s="612"/>
      <c r="N828" s="612"/>
      <c r="O828" s="612"/>
      <c r="P828" s="612"/>
    </row>
    <row r="829" spans="1:16" s="643" customFormat="1" ht="15">
      <c r="A829" s="611"/>
      <c r="B829" s="611"/>
      <c r="C829" s="611"/>
      <c r="D829" s="612"/>
      <c r="E829" s="612"/>
      <c r="F829" s="612"/>
      <c r="G829" s="612"/>
      <c r="H829" s="612"/>
      <c r="I829" s="612"/>
      <c r="J829" s="612"/>
      <c r="K829" s="612"/>
      <c r="L829" s="612"/>
      <c r="M829" s="612"/>
      <c r="N829" s="612"/>
      <c r="O829" s="612"/>
      <c r="P829" s="612"/>
    </row>
    <row r="830" spans="1:16" s="643" customFormat="1" ht="15">
      <c r="A830" s="611"/>
      <c r="B830" s="611"/>
      <c r="C830" s="611"/>
      <c r="D830" s="612"/>
      <c r="E830" s="612"/>
      <c r="F830" s="612"/>
      <c r="G830" s="612"/>
      <c r="H830" s="612"/>
      <c r="I830" s="612"/>
      <c r="J830" s="612"/>
      <c r="K830" s="612"/>
      <c r="L830" s="612"/>
      <c r="M830" s="612"/>
      <c r="N830" s="612"/>
      <c r="O830" s="612"/>
      <c r="P830" s="612"/>
    </row>
    <row r="831" spans="1:16" s="643" customFormat="1" ht="15">
      <c r="A831" s="611"/>
      <c r="B831" s="611"/>
      <c r="C831" s="611"/>
      <c r="D831" s="612"/>
      <c r="E831" s="612"/>
      <c r="F831" s="612"/>
      <c r="G831" s="612"/>
      <c r="H831" s="612"/>
      <c r="I831" s="612"/>
      <c r="J831" s="612"/>
      <c r="K831" s="612"/>
      <c r="L831" s="612"/>
      <c r="M831" s="612"/>
      <c r="N831" s="612"/>
      <c r="O831" s="612"/>
      <c r="P831" s="612"/>
    </row>
    <row r="832" spans="1:16" s="643" customFormat="1" ht="15">
      <c r="A832" s="611"/>
      <c r="B832" s="611"/>
      <c r="C832" s="611"/>
      <c r="D832" s="612"/>
      <c r="E832" s="612"/>
      <c r="F832" s="612"/>
      <c r="G832" s="612"/>
      <c r="H832" s="612"/>
      <c r="I832" s="612"/>
      <c r="J832" s="612"/>
      <c r="K832" s="612"/>
      <c r="L832" s="612"/>
      <c r="M832" s="612"/>
      <c r="N832" s="612"/>
      <c r="O832" s="612"/>
      <c r="P832" s="612"/>
    </row>
    <row r="833" spans="1:16" s="643" customFormat="1" ht="15">
      <c r="A833" s="611"/>
      <c r="B833" s="611"/>
      <c r="C833" s="611"/>
      <c r="D833" s="612"/>
      <c r="E833" s="612"/>
      <c r="F833" s="612"/>
      <c r="G833" s="612"/>
      <c r="H833" s="612"/>
      <c r="I833" s="612"/>
      <c r="J833" s="612"/>
      <c r="K833" s="612"/>
      <c r="L833" s="612"/>
      <c r="M833" s="612"/>
      <c r="N833" s="612"/>
      <c r="O833" s="612"/>
      <c r="P833" s="612"/>
    </row>
    <row r="834" spans="1:16" s="643" customFormat="1" ht="15">
      <c r="A834" s="611"/>
      <c r="B834" s="611"/>
      <c r="C834" s="611"/>
      <c r="D834" s="612"/>
      <c r="E834" s="612"/>
      <c r="F834" s="612"/>
      <c r="G834" s="612"/>
      <c r="H834" s="612"/>
      <c r="I834" s="612"/>
      <c r="J834" s="612"/>
      <c r="K834" s="612"/>
      <c r="L834" s="612"/>
      <c r="M834" s="612"/>
      <c r="N834" s="612"/>
      <c r="O834" s="612"/>
      <c r="P834" s="612"/>
    </row>
    <row r="835" spans="1:16" s="643" customFormat="1" ht="15">
      <c r="A835" s="611"/>
      <c r="B835" s="611"/>
      <c r="C835" s="611"/>
      <c r="D835" s="612"/>
      <c r="E835" s="612"/>
      <c r="F835" s="612"/>
      <c r="G835" s="612"/>
      <c r="H835" s="612"/>
      <c r="I835" s="612"/>
      <c r="J835" s="612"/>
      <c r="K835" s="612"/>
      <c r="L835" s="612"/>
      <c r="M835" s="612"/>
      <c r="N835" s="612"/>
      <c r="O835" s="612"/>
      <c r="P835" s="612"/>
    </row>
    <row r="836" spans="1:16" s="643" customFormat="1" ht="15">
      <c r="A836" s="611"/>
      <c r="B836" s="611"/>
      <c r="C836" s="611"/>
      <c r="D836" s="612"/>
      <c r="E836" s="612"/>
      <c r="F836" s="612"/>
      <c r="G836" s="612"/>
      <c r="H836" s="612"/>
      <c r="I836" s="612"/>
      <c r="J836" s="612"/>
      <c r="K836" s="612"/>
      <c r="L836" s="612"/>
      <c r="M836" s="612"/>
      <c r="N836" s="612"/>
      <c r="O836" s="612"/>
      <c r="P836" s="612"/>
    </row>
    <row r="837" spans="1:16" s="643" customFormat="1" ht="15">
      <c r="A837" s="611"/>
      <c r="B837" s="611"/>
      <c r="C837" s="611"/>
      <c r="D837" s="612"/>
      <c r="E837" s="612"/>
      <c r="F837" s="612"/>
      <c r="G837" s="612"/>
      <c r="H837" s="612"/>
      <c r="I837" s="612"/>
      <c r="J837" s="612"/>
      <c r="K837" s="612"/>
      <c r="L837" s="612"/>
      <c r="M837" s="612"/>
      <c r="N837" s="612"/>
      <c r="O837" s="612"/>
      <c r="P837" s="612"/>
    </row>
    <row r="838" spans="1:16" s="643" customFormat="1" ht="15">
      <c r="A838" s="611"/>
      <c r="B838" s="611"/>
      <c r="C838" s="611"/>
      <c r="D838" s="612"/>
      <c r="E838" s="612"/>
      <c r="F838" s="612"/>
      <c r="G838" s="612"/>
      <c r="H838" s="612"/>
      <c r="I838" s="612"/>
      <c r="J838" s="612"/>
      <c r="K838" s="612"/>
      <c r="L838" s="612"/>
      <c r="M838" s="612"/>
      <c r="N838" s="612"/>
      <c r="O838" s="612"/>
      <c r="P838" s="612"/>
    </row>
    <row r="839" spans="1:16" s="643" customFormat="1" ht="15">
      <c r="A839" s="611"/>
      <c r="B839" s="611"/>
      <c r="C839" s="611"/>
      <c r="D839" s="612"/>
      <c r="E839" s="612"/>
      <c r="F839" s="612"/>
      <c r="G839" s="612"/>
      <c r="H839" s="612"/>
      <c r="I839" s="612"/>
      <c r="J839" s="612"/>
      <c r="K839" s="612"/>
      <c r="L839" s="612"/>
      <c r="M839" s="612"/>
      <c r="N839" s="612"/>
      <c r="O839" s="612"/>
      <c r="P839" s="612"/>
    </row>
    <row r="840" spans="1:16" s="643" customFormat="1" ht="15">
      <c r="A840" s="611"/>
      <c r="B840" s="611"/>
      <c r="C840" s="611"/>
      <c r="D840" s="612"/>
      <c r="E840" s="612"/>
      <c r="F840" s="612"/>
      <c r="G840" s="612"/>
      <c r="H840" s="612"/>
      <c r="I840" s="612"/>
      <c r="J840" s="612"/>
      <c r="K840" s="612"/>
      <c r="L840" s="612"/>
      <c r="M840" s="612"/>
      <c r="N840" s="612"/>
      <c r="O840" s="612"/>
      <c r="P840" s="612"/>
    </row>
    <row r="841" spans="1:16" s="643" customFormat="1" ht="15">
      <c r="A841" s="611"/>
      <c r="B841" s="611"/>
      <c r="C841" s="611"/>
      <c r="D841" s="612"/>
      <c r="E841" s="612"/>
      <c r="F841" s="612"/>
      <c r="G841" s="612"/>
      <c r="H841" s="612"/>
      <c r="I841" s="612"/>
      <c r="J841" s="612"/>
      <c r="K841" s="612"/>
      <c r="L841" s="612"/>
      <c r="M841" s="612"/>
      <c r="N841" s="612"/>
      <c r="O841" s="612"/>
      <c r="P841" s="612"/>
    </row>
    <row r="842" spans="1:16" s="643" customFormat="1" ht="15">
      <c r="A842" s="611"/>
      <c r="B842" s="611"/>
      <c r="C842" s="611"/>
      <c r="D842" s="612"/>
      <c r="E842" s="612"/>
      <c r="F842" s="612"/>
      <c r="G842" s="612"/>
      <c r="H842" s="612"/>
      <c r="I842" s="612"/>
      <c r="J842" s="612"/>
      <c r="K842" s="612"/>
      <c r="L842" s="612"/>
      <c r="M842" s="612"/>
      <c r="N842" s="612"/>
      <c r="O842" s="612"/>
      <c r="P842" s="612"/>
    </row>
    <row r="843" spans="1:16" s="643" customFormat="1" ht="15">
      <c r="A843" s="611"/>
      <c r="B843" s="611"/>
      <c r="C843" s="611"/>
      <c r="D843" s="612"/>
      <c r="E843" s="612"/>
      <c r="F843" s="612"/>
      <c r="G843" s="612"/>
      <c r="H843" s="612"/>
      <c r="I843" s="612"/>
      <c r="J843" s="612"/>
      <c r="K843" s="612"/>
      <c r="L843" s="612"/>
      <c r="M843" s="612"/>
      <c r="N843" s="612"/>
      <c r="O843" s="612"/>
      <c r="P843" s="612"/>
    </row>
    <row r="844" spans="1:16" s="643" customFormat="1" ht="15">
      <c r="A844" s="611"/>
      <c r="B844" s="611"/>
      <c r="C844" s="611"/>
      <c r="D844" s="612"/>
      <c r="E844" s="612"/>
      <c r="F844" s="612"/>
      <c r="G844" s="612"/>
      <c r="H844" s="612"/>
      <c r="I844" s="612"/>
      <c r="J844" s="612"/>
      <c r="K844" s="612"/>
      <c r="L844" s="612"/>
      <c r="M844" s="612"/>
      <c r="N844" s="612"/>
      <c r="O844" s="612"/>
      <c r="P844" s="612"/>
    </row>
    <row r="845" spans="1:16" s="643" customFormat="1" ht="15">
      <c r="A845" s="611"/>
      <c r="B845" s="611"/>
      <c r="C845" s="611"/>
      <c r="D845" s="612"/>
      <c r="E845" s="612"/>
      <c r="F845" s="612"/>
      <c r="G845" s="612"/>
      <c r="H845" s="612"/>
      <c r="I845" s="612"/>
      <c r="J845" s="612"/>
      <c r="K845" s="612"/>
      <c r="L845" s="612"/>
      <c r="M845" s="612"/>
      <c r="N845" s="612"/>
      <c r="O845" s="612"/>
      <c r="P845" s="612"/>
    </row>
    <row r="846" spans="1:16" s="643" customFormat="1" ht="15">
      <c r="A846" s="611"/>
      <c r="B846" s="611"/>
      <c r="C846" s="611"/>
      <c r="D846" s="612"/>
      <c r="E846" s="612"/>
      <c r="F846" s="612"/>
      <c r="G846" s="612"/>
      <c r="H846" s="612"/>
      <c r="I846" s="612"/>
      <c r="J846" s="612"/>
      <c r="K846" s="612"/>
      <c r="L846" s="612"/>
      <c r="M846" s="612"/>
      <c r="N846" s="612"/>
      <c r="O846" s="612"/>
      <c r="P846" s="612"/>
    </row>
    <row r="847" spans="1:16" s="643" customFormat="1" ht="15">
      <c r="A847" s="611"/>
      <c r="B847" s="611"/>
      <c r="C847" s="611"/>
      <c r="D847" s="612"/>
      <c r="E847" s="612"/>
      <c r="F847" s="612"/>
      <c r="G847" s="612"/>
      <c r="H847" s="612"/>
      <c r="I847" s="612"/>
      <c r="J847" s="612"/>
      <c r="K847" s="612"/>
      <c r="L847" s="612"/>
      <c r="M847" s="612"/>
      <c r="N847" s="612"/>
      <c r="O847" s="612"/>
      <c r="P847" s="612"/>
    </row>
    <row r="848" spans="1:16" s="643" customFormat="1" ht="15">
      <c r="A848" s="611"/>
      <c r="B848" s="611"/>
      <c r="C848" s="611"/>
      <c r="D848" s="612"/>
      <c r="E848" s="612"/>
      <c r="F848" s="612"/>
      <c r="G848" s="612"/>
      <c r="H848" s="612"/>
      <c r="I848" s="612"/>
      <c r="J848" s="612"/>
      <c r="K848" s="612"/>
      <c r="L848" s="612"/>
      <c r="M848" s="612"/>
      <c r="N848" s="612"/>
      <c r="O848" s="612"/>
      <c r="P848" s="612"/>
    </row>
    <row r="849" spans="1:16" s="643" customFormat="1" ht="15">
      <c r="A849" s="611"/>
      <c r="B849" s="611"/>
      <c r="C849" s="611"/>
      <c r="D849" s="612"/>
      <c r="E849" s="612"/>
      <c r="F849" s="612"/>
      <c r="G849" s="612"/>
      <c r="H849" s="612"/>
      <c r="I849" s="612"/>
      <c r="J849" s="612"/>
      <c r="K849" s="612"/>
      <c r="L849" s="612"/>
      <c r="M849" s="612"/>
      <c r="N849" s="612"/>
      <c r="O849" s="612"/>
      <c r="P849" s="612"/>
    </row>
    <row r="850" spans="1:16" s="643" customFormat="1" ht="15">
      <c r="A850" s="611"/>
      <c r="B850" s="611"/>
      <c r="C850" s="611"/>
      <c r="D850" s="612"/>
      <c r="E850" s="612"/>
      <c r="F850" s="612"/>
      <c r="G850" s="612"/>
      <c r="H850" s="612"/>
      <c r="I850" s="612"/>
      <c r="J850" s="612"/>
      <c r="K850" s="612"/>
      <c r="L850" s="612"/>
      <c r="M850" s="612"/>
      <c r="N850" s="612"/>
      <c r="O850" s="612"/>
      <c r="P850" s="612"/>
    </row>
    <row r="851" spans="1:16" s="643" customFormat="1" ht="15">
      <c r="A851" s="611"/>
      <c r="B851" s="611"/>
      <c r="C851" s="611"/>
      <c r="D851" s="612"/>
      <c r="E851" s="612"/>
      <c r="F851" s="612"/>
      <c r="G851" s="612"/>
      <c r="H851" s="612"/>
      <c r="I851" s="612"/>
      <c r="J851" s="612"/>
      <c r="K851" s="612"/>
      <c r="L851" s="612"/>
      <c r="M851" s="612"/>
      <c r="N851" s="612"/>
      <c r="O851" s="612"/>
      <c r="P851" s="612"/>
    </row>
    <row r="852" spans="1:16" s="643" customFormat="1" ht="15">
      <c r="A852" s="611"/>
      <c r="B852" s="611"/>
      <c r="C852" s="611"/>
      <c r="D852" s="612"/>
      <c r="E852" s="612"/>
      <c r="F852" s="612"/>
      <c r="G852" s="612"/>
      <c r="H852" s="612"/>
      <c r="I852" s="612"/>
      <c r="J852" s="612"/>
      <c r="K852" s="612"/>
      <c r="L852" s="612"/>
      <c r="M852" s="612"/>
      <c r="N852" s="612"/>
      <c r="O852" s="612"/>
      <c r="P852" s="612"/>
    </row>
    <row r="853" spans="1:16" s="643" customFormat="1" ht="15">
      <c r="A853" s="611"/>
      <c r="B853" s="611"/>
      <c r="C853" s="611"/>
      <c r="D853" s="612"/>
      <c r="E853" s="612"/>
      <c r="F853" s="612"/>
      <c r="G853" s="612"/>
      <c r="H853" s="612"/>
      <c r="I853" s="612"/>
      <c r="J853" s="612"/>
      <c r="K853" s="612"/>
      <c r="L853" s="612"/>
      <c r="M853" s="612"/>
      <c r="N853" s="612"/>
      <c r="O853" s="612"/>
      <c r="P853" s="612"/>
    </row>
    <row r="854" spans="1:16" s="643" customFormat="1" ht="15">
      <c r="A854" s="611"/>
      <c r="B854" s="611"/>
      <c r="C854" s="611"/>
      <c r="D854" s="612"/>
      <c r="E854" s="612"/>
      <c r="F854" s="612"/>
      <c r="G854" s="612"/>
      <c r="H854" s="612"/>
      <c r="I854" s="612"/>
      <c r="J854" s="612"/>
      <c r="K854" s="612"/>
      <c r="L854" s="612"/>
      <c r="M854" s="612"/>
      <c r="N854" s="612"/>
      <c r="O854" s="612"/>
      <c r="P854" s="612"/>
    </row>
    <row r="855" spans="1:16" s="643" customFormat="1" ht="15">
      <c r="A855" s="611"/>
      <c r="B855" s="611"/>
      <c r="C855" s="611"/>
      <c r="D855" s="612"/>
      <c r="E855" s="612"/>
      <c r="F855" s="612"/>
      <c r="G855" s="612"/>
      <c r="H855" s="612"/>
      <c r="I855" s="612"/>
      <c r="J855" s="612"/>
      <c r="K855" s="612"/>
      <c r="L855" s="612"/>
      <c r="M855" s="612"/>
      <c r="N855" s="612"/>
      <c r="O855" s="612"/>
      <c r="P855" s="612"/>
    </row>
    <row r="856" spans="1:16" s="643" customFormat="1" ht="15">
      <c r="A856" s="611"/>
      <c r="B856" s="611"/>
      <c r="C856" s="611"/>
      <c r="D856" s="612"/>
      <c r="E856" s="612"/>
      <c r="F856" s="612"/>
      <c r="G856" s="612"/>
      <c r="H856" s="612"/>
      <c r="I856" s="612"/>
      <c r="J856" s="612"/>
      <c r="K856" s="612"/>
      <c r="L856" s="612"/>
      <c r="M856" s="612"/>
      <c r="N856" s="612"/>
      <c r="O856" s="612"/>
      <c r="P856" s="612"/>
    </row>
    <row r="857" spans="1:16" s="643" customFormat="1" ht="15">
      <c r="A857" s="611"/>
      <c r="B857" s="611"/>
      <c r="C857" s="611"/>
      <c r="D857" s="612"/>
      <c r="E857" s="612"/>
      <c r="F857" s="612"/>
      <c r="G857" s="612"/>
      <c r="H857" s="612"/>
      <c r="I857" s="612"/>
      <c r="J857" s="612"/>
      <c r="K857" s="612"/>
      <c r="L857" s="612"/>
      <c r="M857" s="612"/>
      <c r="N857" s="612"/>
      <c r="O857" s="612"/>
      <c r="P857" s="612"/>
    </row>
    <row r="858" spans="1:16" s="643" customFormat="1" ht="15">
      <c r="A858" s="611"/>
      <c r="B858" s="611"/>
      <c r="C858" s="611"/>
      <c r="D858" s="612"/>
      <c r="E858" s="612"/>
      <c r="F858" s="612"/>
      <c r="G858" s="612"/>
      <c r="H858" s="612"/>
      <c r="I858" s="612"/>
      <c r="J858" s="612"/>
      <c r="K858" s="612"/>
      <c r="L858" s="612"/>
      <c r="M858" s="612"/>
      <c r="N858" s="612"/>
      <c r="O858" s="612"/>
      <c r="P858" s="612"/>
    </row>
    <row r="859" spans="1:16" s="643" customFormat="1" ht="15">
      <c r="A859" s="611"/>
      <c r="B859" s="611"/>
      <c r="C859" s="611"/>
      <c r="D859" s="612"/>
      <c r="E859" s="612"/>
      <c r="F859" s="612"/>
      <c r="G859" s="612"/>
      <c r="H859" s="612"/>
      <c r="I859" s="612"/>
      <c r="J859" s="612"/>
      <c r="K859" s="612"/>
      <c r="L859" s="612"/>
      <c r="M859" s="612"/>
      <c r="N859" s="612"/>
      <c r="O859" s="612"/>
      <c r="P859" s="612"/>
    </row>
    <row r="860" spans="1:16" s="643" customFormat="1" ht="15">
      <c r="A860" s="611"/>
      <c r="B860" s="611"/>
      <c r="C860" s="611"/>
      <c r="D860" s="612"/>
      <c r="E860" s="612"/>
      <c r="F860" s="612"/>
      <c r="G860" s="612"/>
      <c r="H860" s="612"/>
      <c r="I860" s="612"/>
      <c r="J860" s="612"/>
      <c r="K860" s="612"/>
      <c r="L860" s="612"/>
      <c r="M860" s="612"/>
      <c r="N860" s="612"/>
      <c r="O860" s="612"/>
      <c r="P860" s="612"/>
    </row>
    <row r="861" spans="1:16" s="643" customFormat="1" ht="15">
      <c r="A861" s="611"/>
      <c r="B861" s="611"/>
      <c r="C861" s="611"/>
      <c r="D861" s="612"/>
      <c r="E861" s="612"/>
      <c r="F861" s="612"/>
      <c r="G861" s="612"/>
      <c r="H861" s="612"/>
      <c r="I861" s="612"/>
      <c r="J861" s="612"/>
      <c r="K861" s="612"/>
      <c r="L861" s="612"/>
      <c r="M861" s="612"/>
      <c r="N861" s="612"/>
      <c r="O861" s="612"/>
      <c r="P861" s="612"/>
    </row>
    <row r="862" spans="1:16" s="643" customFormat="1" ht="15">
      <c r="A862" s="611"/>
      <c r="B862" s="611"/>
      <c r="C862" s="611"/>
      <c r="D862" s="612"/>
      <c r="E862" s="612"/>
      <c r="F862" s="612"/>
      <c r="G862" s="612"/>
      <c r="H862" s="612"/>
      <c r="I862" s="612"/>
      <c r="J862" s="612"/>
      <c r="K862" s="612"/>
      <c r="L862" s="612"/>
      <c r="M862" s="612"/>
      <c r="N862" s="612"/>
      <c r="O862" s="612"/>
      <c r="P862" s="612"/>
    </row>
    <row r="863" spans="1:16" s="643" customFormat="1" ht="15">
      <c r="A863" s="611"/>
      <c r="B863" s="611"/>
      <c r="C863" s="611"/>
      <c r="D863" s="612"/>
      <c r="E863" s="612"/>
      <c r="F863" s="612"/>
      <c r="G863" s="612"/>
      <c r="H863" s="612"/>
      <c r="I863" s="612"/>
      <c r="J863" s="612"/>
      <c r="K863" s="612"/>
      <c r="L863" s="612"/>
      <c r="M863" s="612"/>
      <c r="N863" s="612"/>
      <c r="O863" s="612"/>
      <c r="P863" s="612"/>
    </row>
    <row r="864" spans="1:16" s="643" customFormat="1" ht="15">
      <c r="A864" s="611"/>
      <c r="B864" s="611"/>
      <c r="C864" s="611"/>
      <c r="D864" s="612"/>
      <c r="E864" s="612"/>
      <c r="F864" s="612"/>
      <c r="G864" s="612"/>
      <c r="H864" s="612"/>
      <c r="I864" s="612"/>
      <c r="J864" s="612"/>
      <c r="K864" s="612"/>
      <c r="L864" s="612"/>
      <c r="M864" s="612"/>
      <c r="N864" s="612"/>
      <c r="O864" s="612"/>
      <c r="P864" s="612"/>
    </row>
    <row r="865" spans="1:16" s="643" customFormat="1" ht="15">
      <c r="A865" s="611"/>
      <c r="B865" s="611"/>
      <c r="C865" s="611"/>
      <c r="D865" s="612"/>
      <c r="E865" s="612"/>
      <c r="F865" s="612"/>
      <c r="G865" s="612"/>
      <c r="H865" s="612"/>
      <c r="I865" s="612"/>
      <c r="J865" s="612"/>
      <c r="K865" s="612"/>
      <c r="L865" s="612"/>
      <c r="M865" s="612"/>
      <c r="N865" s="612"/>
      <c r="O865" s="612"/>
      <c r="P865" s="612"/>
    </row>
    <row r="866" spans="1:16" s="643" customFormat="1" ht="15">
      <c r="A866" s="611"/>
      <c r="B866" s="611"/>
      <c r="C866" s="611"/>
      <c r="D866" s="612"/>
      <c r="E866" s="612"/>
      <c r="F866" s="612"/>
      <c r="G866" s="612"/>
      <c r="H866" s="612"/>
      <c r="I866" s="612"/>
      <c r="J866" s="612"/>
      <c r="K866" s="612"/>
      <c r="L866" s="612"/>
      <c r="M866" s="612"/>
      <c r="N866" s="612"/>
      <c r="O866" s="612"/>
      <c r="P866" s="612"/>
    </row>
    <row r="867" spans="1:16" s="643" customFormat="1" ht="15">
      <c r="A867" s="611"/>
      <c r="B867" s="611"/>
      <c r="C867" s="611"/>
      <c r="D867" s="612"/>
      <c r="E867" s="612"/>
      <c r="F867" s="612"/>
      <c r="G867" s="612"/>
      <c r="H867" s="612"/>
      <c r="I867" s="612"/>
      <c r="J867" s="612"/>
      <c r="K867" s="612"/>
      <c r="L867" s="612"/>
      <c r="M867" s="612"/>
      <c r="N867" s="612"/>
      <c r="O867" s="612"/>
      <c r="P867" s="612"/>
    </row>
    <row r="868" spans="1:16" s="643" customFormat="1" ht="15">
      <c r="A868" s="611"/>
      <c r="B868" s="611"/>
      <c r="C868" s="611"/>
      <c r="D868" s="612"/>
      <c r="E868" s="612"/>
      <c r="F868" s="612"/>
      <c r="G868" s="612"/>
      <c r="H868" s="612"/>
      <c r="I868" s="612"/>
      <c r="J868" s="612"/>
      <c r="K868" s="612"/>
      <c r="L868" s="612"/>
      <c r="M868" s="612"/>
      <c r="N868" s="612"/>
      <c r="O868" s="612"/>
      <c r="P868" s="612"/>
    </row>
    <row r="869" spans="1:16" s="643" customFormat="1" ht="15">
      <c r="A869" s="611"/>
      <c r="B869" s="611"/>
      <c r="C869" s="611"/>
      <c r="D869" s="612"/>
      <c r="E869" s="612"/>
      <c r="F869" s="612"/>
      <c r="G869" s="612"/>
      <c r="H869" s="612"/>
      <c r="I869" s="612"/>
      <c r="J869" s="612"/>
      <c r="K869" s="612"/>
      <c r="L869" s="612"/>
      <c r="M869" s="612"/>
      <c r="N869" s="612"/>
      <c r="O869" s="612"/>
      <c r="P869" s="612"/>
    </row>
    <row r="870" spans="1:16" s="643" customFormat="1" ht="15">
      <c r="A870" s="611"/>
      <c r="B870" s="611"/>
      <c r="C870" s="611"/>
      <c r="D870" s="612"/>
      <c r="E870" s="612"/>
      <c r="F870" s="612"/>
      <c r="G870" s="612"/>
      <c r="H870" s="612"/>
      <c r="I870" s="612"/>
      <c r="J870" s="612"/>
      <c r="K870" s="612"/>
      <c r="L870" s="612"/>
      <c r="M870" s="612"/>
      <c r="N870" s="612"/>
      <c r="O870" s="612"/>
      <c r="P870" s="612"/>
    </row>
    <row r="871" spans="1:16" s="643" customFormat="1" ht="15">
      <c r="A871" s="611"/>
      <c r="B871" s="611"/>
      <c r="C871" s="611"/>
      <c r="D871" s="612"/>
      <c r="E871" s="612"/>
      <c r="F871" s="612"/>
      <c r="G871" s="612"/>
      <c r="H871" s="612"/>
      <c r="I871" s="612"/>
      <c r="J871" s="612"/>
      <c r="K871" s="612"/>
      <c r="L871" s="612"/>
      <c r="M871" s="612"/>
      <c r="N871" s="612"/>
      <c r="O871" s="612"/>
      <c r="P871" s="612"/>
    </row>
    <row r="872" spans="1:16" s="643" customFormat="1" ht="15">
      <c r="A872" s="611"/>
      <c r="B872" s="611"/>
      <c r="C872" s="611"/>
      <c r="D872" s="612"/>
      <c r="E872" s="612"/>
      <c r="F872" s="612"/>
      <c r="G872" s="612"/>
      <c r="H872" s="612"/>
      <c r="I872" s="612"/>
      <c r="J872" s="612"/>
      <c r="K872" s="612"/>
      <c r="L872" s="612"/>
      <c r="M872" s="612"/>
      <c r="N872" s="612"/>
      <c r="O872" s="612"/>
      <c r="P872" s="612"/>
    </row>
    <row r="873" spans="1:16" s="643" customFormat="1" ht="15">
      <c r="A873" s="611"/>
      <c r="B873" s="611"/>
      <c r="C873" s="611"/>
      <c r="D873" s="612"/>
      <c r="E873" s="612"/>
      <c r="F873" s="612"/>
      <c r="G873" s="612"/>
      <c r="H873" s="612"/>
      <c r="I873" s="612"/>
      <c r="J873" s="612"/>
      <c r="K873" s="612"/>
      <c r="L873" s="612"/>
      <c r="M873" s="612"/>
      <c r="N873" s="612"/>
      <c r="O873" s="612"/>
      <c r="P873" s="612"/>
    </row>
    <row r="874" spans="1:16" s="643" customFormat="1" ht="15">
      <c r="A874" s="611"/>
      <c r="B874" s="611"/>
      <c r="C874" s="611"/>
      <c r="D874" s="612"/>
      <c r="E874" s="612"/>
      <c r="F874" s="612"/>
      <c r="G874" s="612"/>
      <c r="H874" s="612"/>
      <c r="I874" s="612"/>
      <c r="J874" s="612"/>
      <c r="K874" s="612"/>
      <c r="L874" s="612"/>
      <c r="M874" s="612"/>
      <c r="N874" s="612"/>
      <c r="O874" s="612"/>
      <c r="P874" s="612"/>
    </row>
    <row r="875" spans="1:16" s="643" customFormat="1" ht="15">
      <c r="A875" s="611"/>
      <c r="B875" s="611"/>
      <c r="C875" s="611"/>
      <c r="D875" s="612"/>
      <c r="E875" s="612"/>
      <c r="F875" s="612"/>
      <c r="G875" s="612"/>
      <c r="H875" s="612"/>
      <c r="I875" s="612"/>
      <c r="J875" s="612"/>
      <c r="K875" s="612"/>
      <c r="L875" s="612"/>
      <c r="M875" s="612"/>
      <c r="N875" s="612"/>
      <c r="O875" s="612"/>
      <c r="P875" s="612"/>
    </row>
    <row r="876" spans="1:16" s="643" customFormat="1" ht="15">
      <c r="A876" s="611"/>
      <c r="B876" s="611"/>
      <c r="C876" s="611"/>
      <c r="D876" s="612"/>
      <c r="E876" s="612"/>
      <c r="F876" s="612"/>
      <c r="G876" s="612"/>
      <c r="H876" s="612"/>
      <c r="I876" s="612"/>
      <c r="J876" s="612"/>
      <c r="K876" s="612"/>
      <c r="L876" s="612"/>
      <c r="M876" s="612"/>
      <c r="N876" s="612"/>
      <c r="O876" s="612"/>
      <c r="P876" s="612"/>
    </row>
    <row r="877" spans="1:16" s="643" customFormat="1" ht="15">
      <c r="A877" s="611"/>
      <c r="B877" s="611"/>
      <c r="C877" s="611"/>
      <c r="D877" s="612"/>
      <c r="E877" s="612"/>
      <c r="F877" s="612"/>
      <c r="G877" s="612"/>
      <c r="H877" s="612"/>
      <c r="I877" s="612"/>
      <c r="J877" s="612"/>
      <c r="K877" s="612"/>
      <c r="L877" s="612"/>
      <c r="M877" s="612"/>
      <c r="N877" s="612"/>
      <c r="O877" s="612"/>
      <c r="P877" s="612"/>
    </row>
    <row r="878" spans="1:16" s="643" customFormat="1" ht="15">
      <c r="A878" s="611"/>
      <c r="B878" s="611"/>
      <c r="C878" s="611"/>
      <c r="D878" s="612"/>
      <c r="E878" s="612"/>
      <c r="F878" s="612"/>
      <c r="G878" s="612"/>
      <c r="H878" s="612"/>
      <c r="I878" s="612"/>
      <c r="J878" s="612"/>
      <c r="K878" s="612"/>
      <c r="L878" s="612"/>
      <c r="M878" s="612"/>
      <c r="N878" s="612"/>
      <c r="O878" s="612"/>
      <c r="P878" s="612"/>
    </row>
    <row r="879" spans="1:16" s="643" customFormat="1" ht="15">
      <c r="A879" s="611"/>
      <c r="B879" s="611"/>
      <c r="C879" s="611"/>
      <c r="D879" s="612"/>
      <c r="E879" s="612"/>
      <c r="F879" s="612"/>
      <c r="G879" s="612"/>
      <c r="H879" s="612"/>
      <c r="I879" s="612"/>
      <c r="J879" s="612"/>
      <c r="K879" s="612"/>
      <c r="L879" s="612"/>
      <c r="M879" s="612"/>
      <c r="N879" s="612"/>
      <c r="O879" s="612"/>
      <c r="P879" s="612"/>
    </row>
    <row r="880" spans="1:16" s="643" customFormat="1" ht="15">
      <c r="A880" s="611"/>
      <c r="B880" s="611"/>
      <c r="C880" s="611"/>
      <c r="D880" s="612"/>
      <c r="E880" s="612"/>
      <c r="F880" s="612"/>
      <c r="G880" s="612"/>
      <c r="H880" s="612"/>
      <c r="I880" s="612"/>
      <c r="J880" s="612"/>
      <c r="K880" s="612"/>
      <c r="L880" s="612"/>
      <c r="M880" s="612"/>
      <c r="N880" s="612"/>
      <c r="O880" s="612"/>
      <c r="P880" s="612"/>
    </row>
    <row r="881" spans="1:16" s="643" customFormat="1" ht="15">
      <c r="A881" s="611"/>
      <c r="B881" s="611"/>
      <c r="C881" s="611"/>
      <c r="D881" s="612"/>
      <c r="E881" s="612"/>
      <c r="F881" s="612"/>
      <c r="G881" s="612"/>
      <c r="H881" s="612"/>
      <c r="I881" s="612"/>
      <c r="J881" s="612"/>
      <c r="K881" s="612"/>
      <c r="L881" s="612"/>
      <c r="M881" s="612"/>
      <c r="N881" s="612"/>
      <c r="O881" s="612"/>
      <c r="P881" s="612"/>
    </row>
    <row r="882" spans="1:16" s="643" customFormat="1" ht="15">
      <c r="A882" s="611"/>
      <c r="B882" s="611"/>
      <c r="C882" s="611"/>
      <c r="D882" s="612"/>
      <c r="E882" s="612"/>
      <c r="F882" s="612"/>
      <c r="G882" s="612"/>
      <c r="H882" s="612"/>
      <c r="I882" s="612"/>
      <c r="J882" s="612"/>
      <c r="K882" s="612"/>
      <c r="L882" s="612"/>
      <c r="M882" s="612"/>
      <c r="N882" s="612"/>
      <c r="O882" s="612"/>
      <c r="P882" s="612"/>
    </row>
    <row r="883" spans="1:16" s="643" customFormat="1" ht="15">
      <c r="A883" s="611"/>
      <c r="B883" s="611"/>
      <c r="C883" s="611"/>
      <c r="D883" s="612"/>
      <c r="E883" s="612"/>
      <c r="F883" s="612"/>
      <c r="G883" s="612"/>
      <c r="H883" s="612"/>
      <c r="I883" s="612"/>
      <c r="J883" s="612"/>
      <c r="K883" s="612"/>
      <c r="L883" s="612"/>
      <c r="M883" s="612"/>
      <c r="N883" s="612"/>
      <c r="O883" s="612"/>
      <c r="P883" s="612"/>
    </row>
    <row r="884" spans="1:16" s="643" customFormat="1" ht="15">
      <c r="A884" s="611"/>
      <c r="B884" s="611"/>
      <c r="C884" s="611"/>
      <c r="D884" s="612"/>
      <c r="E884" s="612"/>
      <c r="F884" s="612"/>
      <c r="G884" s="612"/>
      <c r="H884" s="612"/>
      <c r="I884" s="612"/>
      <c r="J884" s="612"/>
      <c r="K884" s="612"/>
      <c r="L884" s="612"/>
      <c r="M884" s="612"/>
      <c r="N884" s="612"/>
      <c r="O884" s="612"/>
      <c r="P884" s="612"/>
    </row>
    <row r="885" spans="1:16" s="643" customFormat="1" ht="15">
      <c r="A885" s="611"/>
      <c r="B885" s="611"/>
      <c r="C885" s="611"/>
      <c r="D885" s="612"/>
      <c r="E885" s="612"/>
      <c r="F885" s="612"/>
      <c r="G885" s="612"/>
      <c r="H885" s="612"/>
      <c r="I885" s="612"/>
      <c r="J885" s="612"/>
      <c r="K885" s="612"/>
      <c r="L885" s="612"/>
      <c r="M885" s="612"/>
      <c r="N885" s="612"/>
      <c r="O885" s="612"/>
      <c r="P885" s="612"/>
    </row>
    <row r="886" spans="1:16" s="643" customFormat="1" ht="15">
      <c r="A886" s="611"/>
      <c r="B886" s="611"/>
      <c r="C886" s="611"/>
      <c r="D886" s="612"/>
      <c r="E886" s="612"/>
      <c r="F886" s="612"/>
      <c r="G886" s="612"/>
      <c r="H886" s="612"/>
      <c r="I886" s="612"/>
      <c r="J886" s="612"/>
      <c r="K886" s="612"/>
      <c r="L886" s="612"/>
      <c r="M886" s="612"/>
      <c r="N886" s="612"/>
      <c r="O886" s="612"/>
      <c r="P886" s="612"/>
    </row>
    <row r="887" spans="1:16" s="643" customFormat="1" ht="15">
      <c r="A887" s="611"/>
      <c r="B887" s="611"/>
      <c r="C887" s="611"/>
      <c r="D887" s="612"/>
      <c r="E887" s="612"/>
      <c r="F887" s="612"/>
      <c r="G887" s="612"/>
      <c r="H887" s="612"/>
      <c r="I887" s="612"/>
      <c r="J887" s="612"/>
      <c r="K887" s="612"/>
      <c r="L887" s="612"/>
      <c r="M887" s="612"/>
      <c r="N887" s="612"/>
      <c r="O887" s="612"/>
      <c r="P887" s="612"/>
    </row>
  </sheetData>
  <printOptions/>
  <pageMargins left="0.31" right="0.28" top="0.55" bottom="0.46" header="0.5118110236220472" footer="0.31"/>
  <pageSetup firstPageNumber="167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6.375" style="469" customWidth="1"/>
    <col min="2" max="2" width="7.625" style="469" customWidth="1"/>
    <col min="3" max="3" width="48.625" style="469" customWidth="1"/>
    <col min="4" max="4" width="19.25390625" style="469" customWidth="1"/>
    <col min="5" max="5" width="13.75390625" style="826" customWidth="1"/>
    <col min="6" max="8" width="13.75390625" style="469" customWidth="1"/>
    <col min="9" max="9" width="13.75390625" style="0" customWidth="1"/>
    <col min="10" max="16" width="13.75390625" style="469" customWidth="1"/>
    <col min="17" max="17" width="11.375" style="469" bestFit="1" customWidth="1"/>
    <col min="18" max="18" width="13.375" style="469" customWidth="1"/>
    <col min="19" max="16384" width="9.125" style="469" customWidth="1"/>
  </cols>
  <sheetData>
    <row r="1" spans="2:8" ht="12.75">
      <c r="B1" s="810"/>
      <c r="C1" s="826"/>
      <c r="E1" s="827"/>
      <c r="F1" s="825"/>
      <c r="H1" s="825"/>
    </row>
    <row r="2" spans="1:14" ht="15.75">
      <c r="A2" s="828"/>
      <c r="B2" s="829"/>
      <c r="C2" s="893" t="s">
        <v>824</v>
      </c>
      <c r="F2" s="825"/>
      <c r="H2" s="830"/>
      <c r="N2" s="469" t="s">
        <v>833</v>
      </c>
    </row>
    <row r="3" spans="1:14" ht="15.75">
      <c r="A3" s="828"/>
      <c r="B3" s="829"/>
      <c r="C3" s="893" t="s">
        <v>820</v>
      </c>
      <c r="F3" s="830"/>
      <c r="G3" s="825"/>
      <c r="H3" s="825"/>
      <c r="N3" s="469" t="s">
        <v>729</v>
      </c>
    </row>
    <row r="4" spans="1:14" ht="15.75">
      <c r="A4" s="828"/>
      <c r="B4" s="829"/>
      <c r="C4" s="893" t="s">
        <v>821</v>
      </c>
      <c r="D4" s="828"/>
      <c r="F4" s="825"/>
      <c r="G4" s="825"/>
      <c r="H4" s="825"/>
      <c r="N4" s="825" t="s">
        <v>942</v>
      </c>
    </row>
    <row r="5" spans="1:14" ht="15" customHeight="1">
      <c r="A5" s="831"/>
      <c r="B5" s="832"/>
      <c r="C5" s="894" t="s">
        <v>817</v>
      </c>
      <c r="D5" s="832"/>
      <c r="E5" s="832"/>
      <c r="F5" s="833"/>
      <c r="G5" s="833"/>
      <c r="H5" s="833"/>
      <c r="N5" s="469" t="s">
        <v>959</v>
      </c>
    </row>
    <row r="6" spans="1:16" ht="13.5" thickBot="1">
      <c r="A6" s="834"/>
      <c r="B6" s="834"/>
      <c r="C6" s="835"/>
      <c r="D6" s="836"/>
      <c r="E6" s="837"/>
      <c r="F6" s="837"/>
      <c r="G6" s="837"/>
      <c r="H6" s="838"/>
      <c r="P6" s="838" t="s">
        <v>260</v>
      </c>
    </row>
    <row r="7" spans="1:16" s="796" customFormat="1" ht="23.25" customHeight="1" thickTop="1">
      <c r="A7" s="839"/>
      <c r="B7" s="840"/>
      <c r="C7" s="840" t="s">
        <v>822</v>
      </c>
      <c r="D7" s="840"/>
      <c r="E7" s="1225" t="s">
        <v>1127</v>
      </c>
      <c r="F7" s="1226"/>
      <c r="G7" s="1226"/>
      <c r="H7" s="1226"/>
      <c r="I7" s="1226"/>
      <c r="J7" s="1226"/>
      <c r="K7" s="1226"/>
      <c r="L7" s="1226"/>
      <c r="M7" s="1226"/>
      <c r="N7" s="1226"/>
      <c r="O7" s="1226"/>
      <c r="P7" s="1227"/>
    </row>
    <row r="8" spans="1:16" s="796" customFormat="1" ht="33.75" customHeight="1" thickBot="1">
      <c r="A8" s="798" t="s">
        <v>261</v>
      </c>
      <c r="B8" s="841" t="s">
        <v>1128</v>
      </c>
      <c r="C8" s="841" t="s">
        <v>1129</v>
      </c>
      <c r="D8" s="841" t="s">
        <v>262</v>
      </c>
      <c r="E8" s="842" t="s">
        <v>823</v>
      </c>
      <c r="F8" s="843" t="s">
        <v>1131</v>
      </c>
      <c r="G8" s="843" t="s">
        <v>1132</v>
      </c>
      <c r="H8" s="843" t="s">
        <v>1133</v>
      </c>
      <c r="I8" s="843" t="s">
        <v>1134</v>
      </c>
      <c r="J8" s="843" t="s">
        <v>1135</v>
      </c>
      <c r="K8" s="843" t="s">
        <v>1136</v>
      </c>
      <c r="L8" s="843" t="s">
        <v>1137</v>
      </c>
      <c r="M8" s="843" t="s">
        <v>1138</v>
      </c>
      <c r="N8" s="843" t="s">
        <v>1139</v>
      </c>
      <c r="O8" s="843" t="s">
        <v>1140</v>
      </c>
      <c r="P8" s="843" t="s">
        <v>1141</v>
      </c>
    </row>
    <row r="9" spans="1:16" s="845" customFormat="1" ht="14.25" customHeight="1" thickBot="1" thickTop="1">
      <c r="A9" s="479">
        <v>1</v>
      </c>
      <c r="B9" s="479">
        <v>2</v>
      </c>
      <c r="C9" s="479">
        <v>3</v>
      </c>
      <c r="D9" s="844">
        <v>4</v>
      </c>
      <c r="E9" s="844">
        <v>5</v>
      </c>
      <c r="F9" s="844">
        <v>6</v>
      </c>
      <c r="G9" s="844">
        <v>7</v>
      </c>
      <c r="H9" s="844">
        <v>8</v>
      </c>
      <c r="I9" s="844">
        <v>9</v>
      </c>
      <c r="J9" s="844">
        <v>10</v>
      </c>
      <c r="K9" s="844">
        <v>11</v>
      </c>
      <c r="L9" s="844">
        <v>12</v>
      </c>
      <c r="M9" s="844">
        <v>13</v>
      </c>
      <c r="N9" s="844">
        <v>14</v>
      </c>
      <c r="O9" s="844">
        <v>15</v>
      </c>
      <c r="P9" s="844">
        <v>16</v>
      </c>
    </row>
    <row r="10" spans="1:16" s="796" customFormat="1" ht="19.5" customHeight="1" thickBot="1" thickTop="1">
      <c r="A10" s="851"/>
      <c r="B10" s="851"/>
      <c r="C10" s="852" t="s">
        <v>944</v>
      </c>
      <c r="D10" s="853">
        <f aca="true" t="shared" si="0" ref="D10:D17">SUM(E10:P10)</f>
        <v>0</v>
      </c>
      <c r="E10" s="854"/>
      <c r="F10" s="854"/>
      <c r="G10" s="854"/>
      <c r="H10" s="854">
        <f>H11+H15</f>
        <v>-35000</v>
      </c>
      <c r="I10" s="854"/>
      <c r="J10" s="854"/>
      <c r="K10" s="854"/>
      <c r="L10" s="854"/>
      <c r="M10" s="854">
        <f>M11</f>
        <v>-85000</v>
      </c>
      <c r="N10" s="854">
        <f>N11</f>
        <v>-100000</v>
      </c>
      <c r="O10" s="854"/>
      <c r="P10" s="854">
        <f>P11</f>
        <v>220000</v>
      </c>
    </row>
    <row r="11" spans="1:16" s="796" customFormat="1" ht="19.5" customHeight="1" thickTop="1">
      <c r="A11" s="851"/>
      <c r="B11" s="851"/>
      <c r="C11" s="799" t="s">
        <v>177</v>
      </c>
      <c r="D11" s="855">
        <f t="shared" si="0"/>
        <v>0</v>
      </c>
      <c r="E11" s="855"/>
      <c r="F11" s="855"/>
      <c r="G11" s="855"/>
      <c r="H11" s="855">
        <f>H12</f>
        <v>-35000</v>
      </c>
      <c r="I11" s="855"/>
      <c r="J11" s="855"/>
      <c r="K11" s="855"/>
      <c r="L11" s="855"/>
      <c r="M11" s="855">
        <f>M12+M15</f>
        <v>-85000</v>
      </c>
      <c r="N11" s="855">
        <f>N12+N15</f>
        <v>-100000</v>
      </c>
      <c r="O11" s="855"/>
      <c r="P11" s="855">
        <f>P12+P15</f>
        <v>220000</v>
      </c>
    </row>
    <row r="12" spans="1:16" s="796" customFormat="1" ht="19.5" customHeight="1">
      <c r="A12" s="850"/>
      <c r="B12" s="850"/>
      <c r="C12" s="856" t="s">
        <v>353</v>
      </c>
      <c r="D12" s="857">
        <f t="shared" si="0"/>
        <v>-220000</v>
      </c>
      <c r="E12" s="857"/>
      <c r="F12" s="857"/>
      <c r="G12" s="857"/>
      <c r="H12" s="857">
        <f>H13</f>
        <v>-35000</v>
      </c>
      <c r="I12" s="857"/>
      <c r="J12" s="857"/>
      <c r="K12" s="857"/>
      <c r="L12" s="857"/>
      <c r="M12" s="857">
        <f>M13</f>
        <v>-85000</v>
      </c>
      <c r="N12" s="857">
        <f>N13</f>
        <v>-100000</v>
      </c>
      <c r="O12" s="857"/>
      <c r="P12" s="857"/>
    </row>
    <row r="13" spans="1:16" s="796" customFormat="1" ht="30" customHeight="1">
      <c r="A13" s="815">
        <v>900</v>
      </c>
      <c r="B13" s="848"/>
      <c r="C13" s="801" t="s">
        <v>1048</v>
      </c>
      <c r="D13" s="805">
        <f t="shared" si="0"/>
        <v>-220000</v>
      </c>
      <c r="E13" s="805"/>
      <c r="F13" s="805"/>
      <c r="G13" s="805"/>
      <c r="H13" s="805">
        <f>SUM(H14)</f>
        <v>-35000</v>
      </c>
      <c r="I13" s="805"/>
      <c r="J13" s="805"/>
      <c r="K13" s="805"/>
      <c r="L13" s="805"/>
      <c r="M13" s="805">
        <f>SUM(M14)</f>
        <v>-85000</v>
      </c>
      <c r="N13" s="805">
        <f>N14</f>
        <v>-100000</v>
      </c>
      <c r="O13" s="805"/>
      <c r="P13" s="805"/>
    </row>
    <row r="14" spans="1:18" s="796" customFormat="1" ht="30" customHeight="1">
      <c r="A14" s="849"/>
      <c r="B14" s="850">
        <v>90011</v>
      </c>
      <c r="C14" s="807" t="s">
        <v>336</v>
      </c>
      <c r="D14" s="858">
        <f t="shared" si="0"/>
        <v>-220000</v>
      </c>
      <c r="E14" s="858"/>
      <c r="F14" s="858"/>
      <c r="G14" s="858"/>
      <c r="H14" s="858">
        <v>-35000</v>
      </c>
      <c r="I14" s="858"/>
      <c r="J14" s="858"/>
      <c r="K14" s="858"/>
      <c r="L14" s="858"/>
      <c r="M14" s="858">
        <v>-85000</v>
      </c>
      <c r="N14" s="858">
        <v>-100000</v>
      </c>
      <c r="O14" s="858"/>
      <c r="P14" s="858"/>
      <c r="Q14" s="797"/>
      <c r="R14" s="797"/>
    </row>
    <row r="15" spans="1:16" s="860" customFormat="1" ht="21.75" customHeight="1">
      <c r="A15" s="859"/>
      <c r="B15" s="859"/>
      <c r="C15" s="897" t="s">
        <v>835</v>
      </c>
      <c r="D15" s="898">
        <f t="shared" si="0"/>
        <v>220000</v>
      </c>
      <c r="E15" s="898"/>
      <c r="F15" s="898"/>
      <c r="G15" s="898"/>
      <c r="H15" s="898"/>
      <c r="I15" s="898"/>
      <c r="J15" s="898"/>
      <c r="K15" s="898"/>
      <c r="L15" s="898"/>
      <c r="M15" s="898"/>
      <c r="N15" s="898"/>
      <c r="O15" s="898"/>
      <c r="P15" s="898">
        <f>P16</f>
        <v>220000</v>
      </c>
    </row>
    <row r="16" spans="1:16" s="796" customFormat="1" ht="30" customHeight="1">
      <c r="A16" s="815">
        <v>900</v>
      </c>
      <c r="B16" s="861"/>
      <c r="C16" s="801" t="s">
        <v>1048</v>
      </c>
      <c r="D16" s="805">
        <f t="shared" si="0"/>
        <v>220000</v>
      </c>
      <c r="E16" s="805"/>
      <c r="F16" s="805"/>
      <c r="G16" s="805"/>
      <c r="H16" s="805"/>
      <c r="I16" s="805"/>
      <c r="J16" s="805"/>
      <c r="K16" s="805"/>
      <c r="L16" s="805"/>
      <c r="M16" s="805"/>
      <c r="N16" s="805"/>
      <c r="O16" s="805"/>
      <c r="P16" s="805">
        <f>P17</f>
        <v>220000</v>
      </c>
    </row>
    <row r="17" spans="1:16" s="796" customFormat="1" ht="30" customHeight="1">
      <c r="A17" s="862"/>
      <c r="B17" s="850">
        <v>90011</v>
      </c>
      <c r="C17" s="807" t="s">
        <v>336</v>
      </c>
      <c r="D17" s="858">
        <f t="shared" si="0"/>
        <v>220000</v>
      </c>
      <c r="E17" s="858"/>
      <c r="F17" s="858"/>
      <c r="G17" s="858"/>
      <c r="H17" s="858"/>
      <c r="I17" s="858"/>
      <c r="J17" s="858"/>
      <c r="K17" s="858"/>
      <c r="L17" s="858"/>
      <c r="M17" s="858"/>
      <c r="N17" s="858"/>
      <c r="O17" s="858"/>
      <c r="P17" s="858">
        <v>220000</v>
      </c>
    </row>
    <row r="18" ht="29.25" customHeight="1"/>
    <row r="20" spans="3:12" s="141" customFormat="1" ht="12.75">
      <c r="C20" s="141" t="s">
        <v>781</v>
      </c>
      <c r="E20" s="1"/>
      <c r="G20" s="1"/>
      <c r="H20" s="1"/>
      <c r="L20" s="1" t="s">
        <v>783</v>
      </c>
    </row>
    <row r="21" spans="3:12" s="141" customFormat="1" ht="12.75">
      <c r="C21" s="174" t="s">
        <v>782</v>
      </c>
      <c r="E21" s="1"/>
      <c r="G21" s="1"/>
      <c r="H21" s="1"/>
      <c r="L21" s="1" t="s">
        <v>784</v>
      </c>
    </row>
    <row r="22" ht="12.75">
      <c r="G22" s="560"/>
    </row>
    <row r="23" ht="12.75">
      <c r="G23" s="560"/>
    </row>
  </sheetData>
  <mergeCells count="1">
    <mergeCell ref="E7:P7"/>
  </mergeCells>
  <printOptions horizontalCentered="1"/>
  <pageMargins left="0.31496062992125984" right="0.2755905511811024" top="0.6692913385826772" bottom="0.4724409448818898" header="0.5118110236220472" footer="0.31496062992125984"/>
  <pageSetup firstPageNumber="181" useFirstPageNumber="1" horizontalDpi="600" verticalDpi="600" orientation="landscape" paperSize="9" scale="58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5.75390625" style="469" customWidth="1"/>
    <col min="2" max="2" width="8.375" style="469" customWidth="1"/>
    <col min="3" max="3" width="50.375" style="469" customWidth="1"/>
    <col min="4" max="4" width="18.75390625" style="469" customWidth="1"/>
    <col min="5" max="5" width="13.75390625" style="826" customWidth="1"/>
    <col min="6" max="16" width="13.75390625" style="469" customWidth="1"/>
    <col min="17" max="16384" width="9.125" style="469" customWidth="1"/>
  </cols>
  <sheetData>
    <row r="1" spans="3:8" ht="12.75">
      <c r="C1" s="826"/>
      <c r="E1" s="827"/>
      <c r="F1" s="825"/>
      <c r="H1" s="825"/>
    </row>
    <row r="2" spans="2:14" ht="12.75">
      <c r="B2" s="810"/>
      <c r="C2" s="826"/>
      <c r="E2" s="827"/>
      <c r="F2" s="825"/>
      <c r="H2" s="825"/>
      <c r="N2" s="469" t="s">
        <v>834</v>
      </c>
    </row>
    <row r="3" spans="1:14" ht="15.75">
      <c r="A3" s="828"/>
      <c r="B3" s="863"/>
      <c r="C3" s="895" t="s">
        <v>824</v>
      </c>
      <c r="D3" s="828"/>
      <c r="E3" s="863"/>
      <c r="F3" s="825"/>
      <c r="H3" s="825"/>
      <c r="N3" s="469" t="s">
        <v>729</v>
      </c>
    </row>
    <row r="4" spans="1:14" ht="15.75">
      <c r="A4" s="828"/>
      <c r="B4" s="863"/>
      <c r="C4" s="1231" t="s">
        <v>836</v>
      </c>
      <c r="D4" s="1232"/>
      <c r="E4" s="863"/>
      <c r="F4" s="830"/>
      <c r="H4" s="830"/>
      <c r="N4" s="469" t="s">
        <v>942</v>
      </c>
    </row>
    <row r="5" spans="1:14" ht="16.5" customHeight="1">
      <c r="A5" s="828"/>
      <c r="B5" s="863"/>
      <c r="C5" s="895" t="s">
        <v>821</v>
      </c>
      <c r="D5" s="828"/>
      <c r="E5" s="863"/>
      <c r="F5" s="825"/>
      <c r="G5" s="825"/>
      <c r="H5" s="825"/>
      <c r="N5" s="469" t="s">
        <v>959</v>
      </c>
    </row>
    <row r="6" spans="1:8" ht="16.5" customHeight="1">
      <c r="A6" s="828"/>
      <c r="B6" s="863"/>
      <c r="C6" s="896" t="s">
        <v>817</v>
      </c>
      <c r="D6" s="828"/>
      <c r="E6" s="863"/>
      <c r="F6" s="825"/>
      <c r="G6" s="825"/>
      <c r="H6" s="825"/>
    </row>
    <row r="7" spans="1:16" ht="27" customHeight="1" thickBot="1">
      <c r="A7" s="834"/>
      <c r="B7" s="834"/>
      <c r="C7" s="835"/>
      <c r="D7" s="836"/>
      <c r="E7" s="837"/>
      <c r="F7" s="837"/>
      <c r="G7" s="837"/>
      <c r="H7" s="838"/>
      <c r="P7" s="838" t="s">
        <v>260</v>
      </c>
    </row>
    <row r="8" spans="1:16" ht="25.5" customHeight="1" thickTop="1">
      <c r="A8" s="864"/>
      <c r="B8" s="865"/>
      <c r="C8" s="865" t="s">
        <v>825</v>
      </c>
      <c r="D8" s="865"/>
      <c r="E8" s="1228" t="s">
        <v>1127</v>
      </c>
      <c r="F8" s="1229"/>
      <c r="G8" s="1229"/>
      <c r="H8" s="1229"/>
      <c r="I8" s="1229"/>
      <c r="J8" s="1229"/>
      <c r="K8" s="1229"/>
      <c r="L8" s="1229"/>
      <c r="M8" s="1229"/>
      <c r="N8" s="1229"/>
      <c r="O8" s="1229"/>
      <c r="P8" s="1230"/>
    </row>
    <row r="9" spans="1:16" ht="30" customHeight="1" thickBot="1">
      <c r="A9" s="866" t="s">
        <v>389</v>
      </c>
      <c r="B9" s="867" t="s">
        <v>1128</v>
      </c>
      <c r="C9" s="867" t="s">
        <v>943</v>
      </c>
      <c r="D9" s="867" t="s">
        <v>262</v>
      </c>
      <c r="E9" s="868" t="s">
        <v>1130</v>
      </c>
      <c r="F9" s="869" t="s">
        <v>1131</v>
      </c>
      <c r="G9" s="869" t="s">
        <v>1132</v>
      </c>
      <c r="H9" s="869" t="s">
        <v>1133</v>
      </c>
      <c r="I9" s="869" t="s">
        <v>1134</v>
      </c>
      <c r="J9" s="869" t="s">
        <v>1135</v>
      </c>
      <c r="K9" s="869" t="s">
        <v>1136</v>
      </c>
      <c r="L9" s="869" t="s">
        <v>1137</v>
      </c>
      <c r="M9" s="869" t="s">
        <v>1138</v>
      </c>
      <c r="N9" s="869" t="s">
        <v>1139</v>
      </c>
      <c r="O9" s="869" t="s">
        <v>1140</v>
      </c>
      <c r="P9" s="869" t="s">
        <v>1141</v>
      </c>
    </row>
    <row r="10" spans="1:16" ht="14.25" thickBot="1" thickTop="1">
      <c r="A10" s="870">
        <v>1</v>
      </c>
      <c r="B10" s="870">
        <v>2</v>
      </c>
      <c r="C10" s="870">
        <v>3</v>
      </c>
      <c r="D10" s="871">
        <v>4</v>
      </c>
      <c r="E10" s="871">
        <v>5</v>
      </c>
      <c r="F10" s="871">
        <v>6</v>
      </c>
      <c r="G10" s="871">
        <v>7</v>
      </c>
      <c r="H10" s="871">
        <v>8</v>
      </c>
      <c r="I10" s="871">
        <v>9</v>
      </c>
      <c r="J10" s="871">
        <v>10</v>
      </c>
      <c r="K10" s="871">
        <v>11</v>
      </c>
      <c r="L10" s="871">
        <v>12</v>
      </c>
      <c r="M10" s="871">
        <v>13</v>
      </c>
      <c r="N10" s="871">
        <v>14</v>
      </c>
      <c r="O10" s="871">
        <v>15</v>
      </c>
      <c r="P10" s="871">
        <v>16</v>
      </c>
    </row>
    <row r="11" spans="1:16" s="875" customFormat="1" ht="21.75" customHeight="1" thickBot="1" thickTop="1">
      <c r="A11" s="882"/>
      <c r="B11" s="882"/>
      <c r="C11" s="873" t="s">
        <v>332</v>
      </c>
      <c r="D11" s="874">
        <f aca="true" t="shared" si="0" ref="D11:D21">SUM(E11:P11)</f>
        <v>0</v>
      </c>
      <c r="E11" s="874">
        <f>E12+E15</f>
        <v>0</v>
      </c>
      <c r="F11" s="874">
        <f aca="true" t="shared" si="1" ref="F11:P11">F12+F15</f>
        <v>0</v>
      </c>
      <c r="G11" s="874">
        <f t="shared" si="1"/>
        <v>0</v>
      </c>
      <c r="H11" s="874">
        <f t="shared" si="1"/>
        <v>0</v>
      </c>
      <c r="I11" s="874">
        <f t="shared" si="1"/>
        <v>0</v>
      </c>
      <c r="J11" s="874">
        <f t="shared" si="1"/>
        <v>0</v>
      </c>
      <c r="K11" s="874">
        <f t="shared" si="1"/>
        <v>0</v>
      </c>
      <c r="L11" s="874">
        <f t="shared" si="1"/>
        <v>0</v>
      </c>
      <c r="M11" s="874">
        <f t="shared" si="1"/>
        <v>0</v>
      </c>
      <c r="N11" s="874">
        <f t="shared" si="1"/>
        <v>0</v>
      </c>
      <c r="O11" s="874">
        <f t="shared" si="1"/>
        <v>0</v>
      </c>
      <c r="P11" s="874">
        <f t="shared" si="1"/>
        <v>0</v>
      </c>
    </row>
    <row r="12" spans="1:16" s="796" customFormat="1" ht="35.25" customHeight="1" thickBot="1" thickTop="1">
      <c r="A12" s="800"/>
      <c r="B12" s="800"/>
      <c r="C12" s="846" t="s">
        <v>826</v>
      </c>
      <c r="D12" s="847">
        <f>SUM(E12:P12)</f>
        <v>-850000</v>
      </c>
      <c r="E12" s="847">
        <f>E13</f>
        <v>-160000</v>
      </c>
      <c r="F12" s="847">
        <f aca="true" t="shared" si="2" ref="F12:P12">F13</f>
        <v>-45000</v>
      </c>
      <c r="G12" s="847">
        <f t="shared" si="2"/>
        <v>-40000</v>
      </c>
      <c r="H12" s="847">
        <f t="shared" si="2"/>
        <v>-45000</v>
      </c>
      <c r="I12" s="847">
        <f t="shared" si="2"/>
        <v>-50000</v>
      </c>
      <c r="J12" s="847">
        <f t="shared" si="2"/>
        <v>-75000</v>
      </c>
      <c r="K12" s="847">
        <f t="shared" si="2"/>
        <v>-60000</v>
      </c>
      <c r="L12" s="847">
        <f t="shared" si="2"/>
        <v>-60000</v>
      </c>
      <c r="M12" s="847">
        <f t="shared" si="2"/>
        <v>-60000</v>
      </c>
      <c r="N12" s="847">
        <f t="shared" si="2"/>
        <v>-60000</v>
      </c>
      <c r="O12" s="847">
        <f t="shared" si="2"/>
        <v>-80000</v>
      </c>
      <c r="P12" s="847">
        <f t="shared" si="2"/>
        <v>-115000</v>
      </c>
    </row>
    <row r="13" spans="1:16" s="796" customFormat="1" ht="21.75" customHeight="1" thickTop="1">
      <c r="A13" s="804">
        <v>710</v>
      </c>
      <c r="B13" s="813"/>
      <c r="C13" s="876" t="s">
        <v>436</v>
      </c>
      <c r="D13" s="805">
        <f t="shared" si="0"/>
        <v>-850000</v>
      </c>
      <c r="E13" s="805">
        <f>E14</f>
        <v>-160000</v>
      </c>
      <c r="F13" s="805">
        <f aca="true" t="shared" si="3" ref="F13:P13">SUM(F14)</f>
        <v>-45000</v>
      </c>
      <c r="G13" s="805">
        <f t="shared" si="3"/>
        <v>-40000</v>
      </c>
      <c r="H13" s="805">
        <f t="shared" si="3"/>
        <v>-45000</v>
      </c>
      <c r="I13" s="805">
        <f t="shared" si="3"/>
        <v>-50000</v>
      </c>
      <c r="J13" s="805">
        <f t="shared" si="3"/>
        <v>-75000</v>
      </c>
      <c r="K13" s="805">
        <f t="shared" si="3"/>
        <v>-60000</v>
      </c>
      <c r="L13" s="805">
        <f t="shared" si="3"/>
        <v>-60000</v>
      </c>
      <c r="M13" s="805">
        <f t="shared" si="3"/>
        <v>-60000</v>
      </c>
      <c r="N13" s="805">
        <f t="shared" si="3"/>
        <v>-60000</v>
      </c>
      <c r="O13" s="805">
        <f t="shared" si="3"/>
        <v>-80000</v>
      </c>
      <c r="P13" s="805">
        <f t="shared" si="3"/>
        <v>-115000</v>
      </c>
    </row>
    <row r="14" spans="1:16" s="796" customFormat="1" ht="30" customHeight="1">
      <c r="A14" s="849"/>
      <c r="B14" s="850">
        <v>71030</v>
      </c>
      <c r="C14" s="883" t="s">
        <v>827</v>
      </c>
      <c r="D14" s="824">
        <f t="shared" si="0"/>
        <v>-850000</v>
      </c>
      <c r="E14" s="884">
        <v>-160000</v>
      </c>
      <c r="F14" s="824">
        <v>-45000</v>
      </c>
      <c r="G14" s="824">
        <v>-40000</v>
      </c>
      <c r="H14" s="824">
        <v>-45000</v>
      </c>
      <c r="I14" s="824">
        <v>-50000</v>
      </c>
      <c r="J14" s="824">
        <v>-75000</v>
      </c>
      <c r="K14" s="824">
        <f>-50000-10000</f>
        <v>-60000</v>
      </c>
      <c r="L14" s="824">
        <v>-60000</v>
      </c>
      <c r="M14" s="824">
        <v>-60000</v>
      </c>
      <c r="N14" s="824">
        <v>-60000</v>
      </c>
      <c r="O14" s="824">
        <f>-80000</f>
        <v>-80000</v>
      </c>
      <c r="P14" s="824">
        <f>-100000-15000</f>
        <v>-115000</v>
      </c>
    </row>
    <row r="15" spans="1:16" s="796" customFormat="1" ht="27" customHeight="1" thickBot="1">
      <c r="A15" s="800"/>
      <c r="B15" s="800"/>
      <c r="C15" s="885" t="s">
        <v>1101</v>
      </c>
      <c r="D15" s="886">
        <f t="shared" si="0"/>
        <v>850000</v>
      </c>
      <c r="E15" s="886">
        <f aca="true" t="shared" si="4" ref="E15:P15">E16</f>
        <v>160000</v>
      </c>
      <c r="F15" s="886">
        <f t="shared" si="4"/>
        <v>45000</v>
      </c>
      <c r="G15" s="886">
        <f t="shared" si="4"/>
        <v>40000</v>
      </c>
      <c r="H15" s="886">
        <f t="shared" si="4"/>
        <v>45000</v>
      </c>
      <c r="I15" s="886">
        <f t="shared" si="4"/>
        <v>50000</v>
      </c>
      <c r="J15" s="886">
        <f t="shared" si="4"/>
        <v>75000</v>
      </c>
      <c r="K15" s="886">
        <f t="shared" si="4"/>
        <v>60000</v>
      </c>
      <c r="L15" s="886">
        <f t="shared" si="4"/>
        <v>60000</v>
      </c>
      <c r="M15" s="886">
        <f t="shared" si="4"/>
        <v>60000</v>
      </c>
      <c r="N15" s="886">
        <f t="shared" si="4"/>
        <v>60000</v>
      </c>
      <c r="O15" s="886">
        <f t="shared" si="4"/>
        <v>80000</v>
      </c>
      <c r="P15" s="886">
        <f t="shared" si="4"/>
        <v>115000</v>
      </c>
    </row>
    <row r="16" spans="1:16" s="796" customFormat="1" ht="21.75" customHeight="1" thickTop="1">
      <c r="A16" s="881">
        <v>710</v>
      </c>
      <c r="B16" s="813"/>
      <c r="C16" s="876" t="s">
        <v>436</v>
      </c>
      <c r="D16" s="805">
        <f>SUM(E16:P16)</f>
        <v>850000</v>
      </c>
      <c r="E16" s="805">
        <f>E17</f>
        <v>160000</v>
      </c>
      <c r="F16" s="805">
        <f aca="true" t="shared" si="5" ref="F16:P16">SUM(F17)</f>
        <v>45000</v>
      </c>
      <c r="G16" s="805">
        <f t="shared" si="5"/>
        <v>40000</v>
      </c>
      <c r="H16" s="805">
        <f t="shared" si="5"/>
        <v>45000</v>
      </c>
      <c r="I16" s="805">
        <f t="shared" si="5"/>
        <v>50000</v>
      </c>
      <c r="J16" s="805">
        <f t="shared" si="5"/>
        <v>75000</v>
      </c>
      <c r="K16" s="805">
        <f t="shared" si="5"/>
        <v>60000</v>
      </c>
      <c r="L16" s="805">
        <f t="shared" si="5"/>
        <v>60000</v>
      </c>
      <c r="M16" s="805">
        <f t="shared" si="5"/>
        <v>60000</v>
      </c>
      <c r="N16" s="805">
        <f t="shared" si="5"/>
        <v>60000</v>
      </c>
      <c r="O16" s="805">
        <f t="shared" si="5"/>
        <v>80000</v>
      </c>
      <c r="P16" s="805">
        <f t="shared" si="5"/>
        <v>115000</v>
      </c>
    </row>
    <row r="17" spans="1:16" s="796" customFormat="1" ht="30" customHeight="1">
      <c r="A17" s="849"/>
      <c r="B17" s="850">
        <v>71030</v>
      </c>
      <c r="C17" s="823" t="s">
        <v>827</v>
      </c>
      <c r="D17" s="802">
        <f>SUM(E17:P17)</f>
        <v>850000</v>
      </c>
      <c r="E17" s="811">
        <v>160000</v>
      </c>
      <c r="F17" s="802">
        <v>45000</v>
      </c>
      <c r="G17" s="802">
        <v>40000</v>
      </c>
      <c r="H17" s="802">
        <v>45000</v>
      </c>
      <c r="I17" s="802">
        <v>50000</v>
      </c>
      <c r="J17" s="802">
        <v>75000</v>
      </c>
      <c r="K17" s="802">
        <v>60000</v>
      </c>
      <c r="L17" s="802">
        <v>60000</v>
      </c>
      <c r="M17" s="802">
        <v>60000</v>
      </c>
      <c r="N17" s="802">
        <v>60000</v>
      </c>
      <c r="O17" s="802">
        <v>80000</v>
      </c>
      <c r="P17" s="802">
        <v>115000</v>
      </c>
    </row>
    <row r="18" spans="1:16" s="796" customFormat="1" ht="24.75" customHeight="1" thickBot="1">
      <c r="A18" s="851"/>
      <c r="B18" s="851"/>
      <c r="C18" s="877" t="s">
        <v>944</v>
      </c>
      <c r="D18" s="878">
        <f t="shared" si="0"/>
        <v>0</v>
      </c>
      <c r="E18" s="878">
        <f>E19+E22</f>
        <v>0</v>
      </c>
      <c r="F18" s="878">
        <f aca="true" t="shared" si="6" ref="F18:P18">F19+F22</f>
        <v>0</v>
      </c>
      <c r="G18" s="878">
        <f t="shared" si="6"/>
        <v>0</v>
      </c>
      <c r="H18" s="878">
        <f t="shared" si="6"/>
        <v>0</v>
      </c>
      <c r="I18" s="878">
        <f t="shared" si="6"/>
        <v>0</v>
      </c>
      <c r="J18" s="878">
        <f t="shared" si="6"/>
        <v>0</v>
      </c>
      <c r="K18" s="878">
        <f t="shared" si="6"/>
        <v>0</v>
      </c>
      <c r="L18" s="878">
        <f t="shared" si="6"/>
        <v>0</v>
      </c>
      <c r="M18" s="878">
        <f t="shared" si="6"/>
        <v>0</v>
      </c>
      <c r="N18" s="878">
        <f t="shared" si="6"/>
        <v>0</v>
      </c>
      <c r="O18" s="878">
        <f t="shared" si="6"/>
        <v>0</v>
      </c>
      <c r="P18" s="878">
        <f t="shared" si="6"/>
        <v>0</v>
      </c>
    </row>
    <row r="19" spans="1:16" s="875" customFormat="1" ht="35.25" customHeight="1" thickBot="1" thickTop="1">
      <c r="A19" s="872"/>
      <c r="B19" s="872"/>
      <c r="C19" s="887" t="s">
        <v>826</v>
      </c>
      <c r="D19" s="888">
        <f t="shared" si="0"/>
        <v>-2100000</v>
      </c>
      <c r="E19" s="888">
        <f aca="true" t="shared" si="7" ref="E19:P20">E20</f>
        <v>-80000</v>
      </c>
      <c r="F19" s="888">
        <f t="shared" si="7"/>
        <v>-30000</v>
      </c>
      <c r="G19" s="888">
        <f t="shared" si="7"/>
        <v>-250000</v>
      </c>
      <c r="H19" s="888">
        <f t="shared" si="7"/>
        <v>-50000</v>
      </c>
      <c r="I19" s="888">
        <f t="shared" si="7"/>
        <v>-50000</v>
      </c>
      <c r="J19" s="888">
        <f t="shared" si="7"/>
        <v>-50000</v>
      </c>
      <c r="K19" s="888">
        <f t="shared" si="7"/>
        <v>-80000</v>
      </c>
      <c r="L19" s="888">
        <f t="shared" si="7"/>
        <v>-50000</v>
      </c>
      <c r="M19" s="888">
        <f t="shared" si="7"/>
        <v>-260000</v>
      </c>
      <c r="N19" s="888">
        <f t="shared" si="7"/>
        <v>-170000</v>
      </c>
      <c r="O19" s="888">
        <f t="shared" si="7"/>
        <v>-350000</v>
      </c>
      <c r="P19" s="888">
        <f t="shared" si="7"/>
        <v>-680000</v>
      </c>
    </row>
    <row r="20" spans="1:16" s="796" customFormat="1" ht="21.75" customHeight="1" thickTop="1">
      <c r="A20" s="804">
        <v>710</v>
      </c>
      <c r="B20" s="813"/>
      <c r="C20" s="889" t="s">
        <v>436</v>
      </c>
      <c r="D20" s="890">
        <f t="shared" si="0"/>
        <v>-2100000</v>
      </c>
      <c r="E20" s="890">
        <f t="shared" si="7"/>
        <v>-80000</v>
      </c>
      <c r="F20" s="890">
        <f t="shared" si="7"/>
        <v>-30000</v>
      </c>
      <c r="G20" s="890">
        <f t="shared" si="7"/>
        <v>-250000</v>
      </c>
      <c r="H20" s="890">
        <f t="shared" si="7"/>
        <v>-50000</v>
      </c>
      <c r="I20" s="890">
        <f t="shared" si="7"/>
        <v>-50000</v>
      </c>
      <c r="J20" s="890">
        <f t="shared" si="7"/>
        <v>-50000</v>
      </c>
      <c r="K20" s="890">
        <f t="shared" si="7"/>
        <v>-80000</v>
      </c>
      <c r="L20" s="890">
        <f t="shared" si="7"/>
        <v>-50000</v>
      </c>
      <c r="M20" s="890">
        <f t="shared" si="7"/>
        <v>-260000</v>
      </c>
      <c r="N20" s="890">
        <f t="shared" si="7"/>
        <v>-170000</v>
      </c>
      <c r="O20" s="890">
        <f t="shared" si="7"/>
        <v>-350000</v>
      </c>
      <c r="P20" s="890">
        <f t="shared" si="7"/>
        <v>-680000</v>
      </c>
    </row>
    <row r="21" spans="1:16" s="796" customFormat="1" ht="31.5" customHeight="1">
      <c r="A21" s="849"/>
      <c r="B21" s="850">
        <v>71030</v>
      </c>
      <c r="C21" s="883" t="s">
        <v>827</v>
      </c>
      <c r="D21" s="891">
        <f t="shared" si="0"/>
        <v>-2100000</v>
      </c>
      <c r="E21" s="880">
        <v>-80000</v>
      </c>
      <c r="F21" s="879">
        <v>-30000</v>
      </c>
      <c r="G21" s="879">
        <v>-250000</v>
      </c>
      <c r="H21" s="879">
        <v>-50000</v>
      </c>
      <c r="I21" s="879">
        <v>-50000</v>
      </c>
      <c r="J21" s="879">
        <v>-50000</v>
      </c>
      <c r="K21" s="879">
        <v>-80000</v>
      </c>
      <c r="L21" s="879">
        <v>-50000</v>
      </c>
      <c r="M21" s="879">
        <f>-100000-160000</f>
        <v>-260000</v>
      </c>
      <c r="N21" s="879">
        <f>-100000-70000</f>
        <v>-170000</v>
      </c>
      <c r="O21" s="879">
        <f>-100000-250000</f>
        <v>-350000</v>
      </c>
      <c r="P21" s="879">
        <f>-130000-550000</f>
        <v>-680000</v>
      </c>
    </row>
    <row r="22" spans="1:16" s="875" customFormat="1" ht="26.25" customHeight="1" thickBot="1">
      <c r="A22" s="872"/>
      <c r="B22" s="872"/>
      <c r="C22" s="885" t="s">
        <v>1101</v>
      </c>
      <c r="D22" s="892">
        <f>SUM(E22:P22)</f>
        <v>2100000</v>
      </c>
      <c r="E22" s="892">
        <f aca="true" t="shared" si="8" ref="E22:P23">E23</f>
        <v>80000</v>
      </c>
      <c r="F22" s="892">
        <f t="shared" si="8"/>
        <v>30000</v>
      </c>
      <c r="G22" s="892">
        <f t="shared" si="8"/>
        <v>250000</v>
      </c>
      <c r="H22" s="892">
        <f t="shared" si="8"/>
        <v>50000</v>
      </c>
      <c r="I22" s="892">
        <f t="shared" si="8"/>
        <v>50000</v>
      </c>
      <c r="J22" s="892">
        <f t="shared" si="8"/>
        <v>50000</v>
      </c>
      <c r="K22" s="892">
        <f t="shared" si="8"/>
        <v>80000</v>
      </c>
      <c r="L22" s="892">
        <f t="shared" si="8"/>
        <v>50000</v>
      </c>
      <c r="M22" s="892">
        <f t="shared" si="8"/>
        <v>260000</v>
      </c>
      <c r="N22" s="892">
        <f t="shared" si="8"/>
        <v>170000</v>
      </c>
      <c r="O22" s="892">
        <f t="shared" si="8"/>
        <v>350000</v>
      </c>
      <c r="P22" s="892">
        <f t="shared" si="8"/>
        <v>680000</v>
      </c>
    </row>
    <row r="23" spans="1:16" s="796" customFormat="1" ht="21.75" customHeight="1" thickTop="1">
      <c r="A23" s="804">
        <v>710</v>
      </c>
      <c r="B23" s="813"/>
      <c r="C23" s="876" t="s">
        <v>436</v>
      </c>
      <c r="D23" s="805">
        <f>SUM(E23:P23)</f>
        <v>2100000</v>
      </c>
      <c r="E23" s="805">
        <f t="shared" si="8"/>
        <v>80000</v>
      </c>
      <c r="F23" s="805">
        <f t="shared" si="8"/>
        <v>30000</v>
      </c>
      <c r="G23" s="805">
        <f t="shared" si="8"/>
        <v>250000</v>
      </c>
      <c r="H23" s="805">
        <f t="shared" si="8"/>
        <v>50000</v>
      </c>
      <c r="I23" s="805">
        <f t="shared" si="8"/>
        <v>50000</v>
      </c>
      <c r="J23" s="805">
        <f t="shared" si="8"/>
        <v>50000</v>
      </c>
      <c r="K23" s="805">
        <f t="shared" si="8"/>
        <v>80000</v>
      </c>
      <c r="L23" s="805">
        <f t="shared" si="8"/>
        <v>50000</v>
      </c>
      <c r="M23" s="805">
        <f t="shared" si="8"/>
        <v>260000</v>
      </c>
      <c r="N23" s="805">
        <f t="shared" si="8"/>
        <v>170000</v>
      </c>
      <c r="O23" s="805">
        <f t="shared" si="8"/>
        <v>350000</v>
      </c>
      <c r="P23" s="805">
        <f t="shared" si="8"/>
        <v>680000</v>
      </c>
    </row>
    <row r="24" spans="1:16" s="796" customFormat="1" ht="31.5" customHeight="1">
      <c r="A24" s="862"/>
      <c r="B24" s="850">
        <v>71030</v>
      </c>
      <c r="C24" s="823" t="s">
        <v>827</v>
      </c>
      <c r="D24" s="806">
        <f>SUM(E24:P24)</f>
        <v>2100000</v>
      </c>
      <c r="E24" s="812">
        <v>80000</v>
      </c>
      <c r="F24" s="803">
        <v>30000</v>
      </c>
      <c r="G24" s="803">
        <v>250000</v>
      </c>
      <c r="H24" s="803">
        <v>50000</v>
      </c>
      <c r="I24" s="803">
        <v>50000</v>
      </c>
      <c r="J24" s="803">
        <v>50000</v>
      </c>
      <c r="K24" s="803">
        <v>80000</v>
      </c>
      <c r="L24" s="803">
        <v>50000</v>
      </c>
      <c r="M24" s="803">
        <v>260000</v>
      </c>
      <c r="N24" s="803">
        <v>170000</v>
      </c>
      <c r="O24" s="803">
        <v>350000</v>
      </c>
      <c r="P24" s="803">
        <v>680000</v>
      </c>
    </row>
    <row r="25" ht="12.75">
      <c r="G25" s="560"/>
    </row>
    <row r="26" ht="12.75">
      <c r="G26" s="560"/>
    </row>
    <row r="27" spans="3:12" s="141" customFormat="1" ht="12.75">
      <c r="C27" s="141" t="s">
        <v>781</v>
      </c>
      <c r="E27" s="1"/>
      <c r="G27" s="1"/>
      <c r="H27" s="1"/>
      <c r="L27" s="1" t="s">
        <v>783</v>
      </c>
    </row>
    <row r="28" spans="3:12" s="141" customFormat="1" ht="12.75">
      <c r="C28" s="174" t="s">
        <v>782</v>
      </c>
      <c r="E28" s="1"/>
      <c r="G28" s="1"/>
      <c r="H28" s="1"/>
      <c r="L28" s="1" t="s">
        <v>784</v>
      </c>
    </row>
  </sheetData>
  <mergeCells count="2">
    <mergeCell ref="E8:P8"/>
    <mergeCell ref="C4:D4"/>
  </mergeCells>
  <printOptions horizontalCentered="1"/>
  <pageMargins left="0.31496062992125984" right="0.2755905511811024" top="0.6692913385826772" bottom="0.4724409448818898" header="0.5118110236220472" footer="0.31496062992125984"/>
  <pageSetup firstPageNumber="182" useFirstPageNumber="1" horizontalDpi="600" verticalDpi="600" orientation="landscape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mturczyn</cp:lastModifiedBy>
  <cp:lastPrinted>2007-07-18T12:33:31Z</cp:lastPrinted>
  <dcterms:created xsi:type="dcterms:W3CDTF">1999-10-19T16:53:41Z</dcterms:created>
  <dcterms:modified xsi:type="dcterms:W3CDTF">2007-09-17T10:08:03Z</dcterms:modified>
  <cp:category/>
  <cp:version/>
  <cp:contentType/>
  <cp:contentStatus/>
</cp:coreProperties>
</file>