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521" windowWidth="8010" windowHeight="9120" tabRatio="396" activeTab="0"/>
  </bookViews>
  <sheets>
    <sheet name="szkoły" sheetId="1" r:id="rId1"/>
  </sheets>
  <definedNames>
    <definedName name="_11">#REF!</definedName>
    <definedName name="_17">#REF!</definedName>
    <definedName name="Nazwa_rozdziału">#REF!+#REF!+#REF!+#REF!+#REF!+#REF!+#REF!</definedName>
    <definedName name="NazwaSzkoły">#REF!,#REF!,#REF!,#REF!,#REF!,#REF!</definedName>
    <definedName name="_xlnm.Print_Area" localSheetId="0">'szkoły'!$A$1:$AF$570</definedName>
    <definedName name="SYMBOL">#REF!</definedName>
    <definedName name="_xlnm.Print_Titles" localSheetId="0">'szkoły'!$4:$11</definedName>
    <definedName name="Z_16A0C980_2EC6_11DB_AF16_00C0DFF8AA38_.wvu.Rows" localSheetId="0" hidden="1">'szkoły'!$16:$52,'szkoły'!#REF!,'szkoły'!#REF!,'szkoły'!#REF!,'szkoły'!#REF!</definedName>
    <definedName name="Z_6D51A6CC_F0AA_4F5D_B413_FD508F514C8A_.wvu.Cols" localSheetId="0" hidden="1">'szkoły'!$C:$C,'szkoły'!$H:$M,'szkoły'!$P:$P</definedName>
    <definedName name="Z_6D51A6CC_F0AA_4F5D_B413_FD508F514C8A_.wvu.Rows" localSheetId="0" hidden="1">'szkoły'!$166:$185,'szkoły'!$186:$217,'szkoły'!$219:$239,'szkoły'!$241:$242,'szkoły'!$244:$256,'szkoły'!$257:$258,'szkoły'!$260:$271,'szkoły'!$275:$276,'szkoły'!#REF!,'szkoły'!#REF!,'szkoły'!#REF!,'szkoły'!$287:$329,'szkoły'!$405:$452,'szkoły'!$456:$485,'szkoły'!$487:$531,'szkoły'!$567:$570,'szkoły'!#REF!,'szkoły'!$567:$570</definedName>
    <definedName name="Z_9DA23ABD_26A9_440F_BD01_A37FF18E3312_.wvu.Rows" localSheetId="0" hidden="1">'szkoły'!$76:$80,'szkoły'!$83:$99,'szkoły'!$162:$164,'szkoły'!$166:$185,'szkoły'!#REF!,'szkoły'!$186:$217,'szkoły'!$219:$239,'szkoły'!#REF!,'szkoły'!$240:$258,'szkoły'!$260:$271,'szkoły'!#REF!,'szkoły'!#REF!,'szkoły'!#REF!,'szkoły'!#REF!,'szkoły'!#REF!,'szkoły'!$272:$281,'szkoły'!#REF!,'szkoły'!$325:$339,'szkoły'!$342:$349,'szkoły'!$350:$399,'szkoły'!$405:$452,'szkoły'!#REF!,'szkoły'!$457:$469,'szkoły'!$471:$472,'szkoły'!$474:$531,'szkoły'!#REF!,'szkoły'!#REF!,'szkoły'!#REF!,'szkoły'!#REF!,'szkoły'!#REF!,'szkoły'!$567:$570</definedName>
    <definedName name="Z_D28D0F78_2E82_43AD_99C8_BF42DA076AC5_.wvu.PrintArea" localSheetId="0" hidden="1">'szkoły'!$A$1:$AF$570</definedName>
    <definedName name="Z_D28D0F78_2E82_43AD_99C8_BF42DA076AC5_.wvu.PrintTitles" localSheetId="0" hidden="1">'szkoły'!$4:$10</definedName>
    <definedName name="Z_D72CF10D_F417_4868_B210_94B4E0E1DB54_.wvu.Cols" localSheetId="0" hidden="1">'szkoły'!#REF!,'szkoły'!$G:$AE</definedName>
    <definedName name="Z_D72CF10D_F417_4868_B210_94B4E0E1DB54_.wvu.PrintArea" localSheetId="0" hidden="1">'szkoły'!$A$1:$AF$570</definedName>
    <definedName name="Z_D72CF10D_F417_4868_B210_94B4E0E1DB54_.wvu.PrintTitles" localSheetId="0" hidden="1">'szkoły'!$4:$10</definedName>
    <definedName name="Z_F10A49FA_9DD4_4A07_8B7E_2D30ED1A9847_.wvu.Cols" localSheetId="0" hidden="1">'szkoły'!#REF!,'szkoły'!#REF!,'szkoły'!#REF!,'szkoły'!#REF!</definedName>
    <definedName name="Z_F10A49FA_9DD4_4A07_8B7E_2D30ED1A9847_.wvu.PrintArea" localSheetId="0" hidden="1">'szkoły'!$A$1:$AF$570</definedName>
    <definedName name="Z_F10A49FA_9DD4_4A07_8B7E_2D30ED1A9847_.wvu.PrintTitles" localSheetId="0" hidden="1">'szkoły'!$4:$10</definedName>
  </definedNames>
  <calcPr fullCalcOnLoad="1"/>
</workbook>
</file>

<file path=xl/sharedStrings.xml><?xml version="1.0" encoding="utf-8"?>
<sst xmlns="http://schemas.openxmlformats.org/spreadsheetml/2006/main" count="717" uniqueCount="423">
  <si>
    <t>rozdz. 80104 - Przedszkola</t>
  </si>
  <si>
    <t>Przedszkole nr 2</t>
  </si>
  <si>
    <t>Przedszkole nr 3</t>
  </si>
  <si>
    <t>Przedszkole nr 4</t>
  </si>
  <si>
    <t>Przedszkole nr 5</t>
  </si>
  <si>
    <t>Przedszkole nr 6</t>
  </si>
  <si>
    <t>Przedszkole nr 7</t>
  </si>
  <si>
    <t>Przedszkole nr 9</t>
  </si>
  <si>
    <t>Przedszkole nr 10</t>
  </si>
  <si>
    <t>Przedszkole nr 12</t>
  </si>
  <si>
    <t>Przedszkole nr 13</t>
  </si>
  <si>
    <t>Przedszkole nr 14</t>
  </si>
  <si>
    <t>Przedszkole nr 15</t>
  </si>
  <si>
    <t>Przedszkole nr 16</t>
  </si>
  <si>
    <t>Przedszkole nr 18</t>
  </si>
  <si>
    <t>Przedszkole nr 19</t>
  </si>
  <si>
    <t>Przedszkole nr 22</t>
  </si>
  <si>
    <t>Przedszkole nr 25</t>
  </si>
  <si>
    <t>Przedszkole nr 26</t>
  </si>
  <si>
    <t>Przedszkole nr 28</t>
  </si>
  <si>
    <t>Przedszkole nr 31</t>
  </si>
  <si>
    <t>Przedszkole nr 32</t>
  </si>
  <si>
    <t>Przedszkole nr 33</t>
  </si>
  <si>
    <t>Przedszkole nr 34</t>
  </si>
  <si>
    <t>Przedszkole nr 35</t>
  </si>
  <si>
    <t>Przedszkole nr 36</t>
  </si>
  <si>
    <t>Przedszkole nr 37</t>
  </si>
  <si>
    <t>Przedszkole nr 39</t>
  </si>
  <si>
    <t>Przedszkole nr 40</t>
  </si>
  <si>
    <t>Przedszkole nr 42</t>
  </si>
  <si>
    <t>Przedszkole nr 43</t>
  </si>
  <si>
    <t>Przedszkole nr 44</t>
  </si>
  <si>
    <t>Przedszkole nr 45</t>
  </si>
  <si>
    <t>Przedszkole nr 46</t>
  </si>
  <si>
    <t>Przedszkole nr 47</t>
  </si>
  <si>
    <t>Przedszkole nr 48</t>
  </si>
  <si>
    <t>Przedszkole nr 49</t>
  </si>
  <si>
    <t>Przedszkole nr 50</t>
  </si>
  <si>
    <t>Przedszkole nr 52</t>
  </si>
  <si>
    <t>Przedszkole nr 53</t>
  </si>
  <si>
    <t>Przedszkole nr 54</t>
  </si>
  <si>
    <t>Przedszkole nr 56</t>
  </si>
  <si>
    <t>Przedszkole nr 57</t>
  </si>
  <si>
    <t>Przedszkole nr 58</t>
  </si>
  <si>
    <t>Przedszkole nr 59</t>
  </si>
  <si>
    <t>Przedszkole nr 63</t>
  </si>
  <si>
    <t>Przedszkole nr 64</t>
  </si>
  <si>
    <t>Przedszkole nr 65</t>
  </si>
  <si>
    <t>Przedszkole nr 66</t>
  </si>
  <si>
    <t>Przedszkole nr 67</t>
  </si>
  <si>
    <t>Przedszkole nr 69</t>
  </si>
  <si>
    <t>Przedszkole nr 70</t>
  </si>
  <si>
    <t>Przedszkole nr 72</t>
  </si>
  <si>
    <t>Przedszkole nr 73</t>
  </si>
  <si>
    <t>Przedszkole nr 74</t>
  </si>
  <si>
    <t>Przedszkole nr 75</t>
  </si>
  <si>
    <t>Przedszkole nr 76</t>
  </si>
  <si>
    <t>Przedszkole nr 77</t>
  </si>
  <si>
    <t>Przedszkole nr 78</t>
  </si>
  <si>
    <t>Przedszkole nr 79</t>
  </si>
  <si>
    <t>Przedszkole nr 81</t>
  </si>
  <si>
    <t>Przedszkole nr 83</t>
  </si>
  <si>
    <t>rozdz.80140 - Centra kształcenia ustawicznego 
i praktycznego oraz ośrodki dokształcania zawodowego</t>
  </si>
  <si>
    <t>rozdz. 85406 - Poradnie psychologiczno-pedagogiczne, 
w tym poradnie specjalistyczne</t>
  </si>
  <si>
    <t>85415 - Pomoc materialna dla uczniów</t>
  </si>
  <si>
    <t>rozdz. 85410 - Internaty i bursy szkolne</t>
  </si>
  <si>
    <r>
      <t xml:space="preserve">rozdz. 85495 - Pozostała działalność </t>
    </r>
    <r>
      <rPr>
        <b/>
        <i/>
        <sz val="10"/>
        <rFont val="Arial CE"/>
        <family val="0"/>
      </rPr>
      <t>(stołówki szkolne)</t>
    </r>
  </si>
  <si>
    <t>zajęcia sportowo - rekreacyjne w szkołach</t>
  </si>
  <si>
    <t>Wydatki na zadania z zakresu administracji rządowej wykonywane przez powiat</t>
  </si>
  <si>
    <t xml:space="preserve">Specjalny Ośrodek Szkolno-Wychowawczy dla Dzieci i Młodzieży Słabo Widzącej (Gimnazjum Specjalne nr 22) </t>
  </si>
  <si>
    <t>Specjalny Ośrodek Szkolno-Wychowawczy dla Dzieci i Młodzieży Niesłyszącej i Słabo Słyszącej (Gimnazjum Specjalne nr 23)</t>
  </si>
  <si>
    <t>Zespół Szkół  nr 7</t>
  </si>
  <si>
    <t>Specjalny Ośrodek Szkolno-Wychowawczy nr 2 (SPS nr 53)</t>
  </si>
  <si>
    <t>Specjalny Ośrodek Szkolno - Wychowawczy dla Dzieci i Młodzieży Słabo Widzącej (SPS nr 54)</t>
  </si>
  <si>
    <t>Specjalny Ośrodek Szkolno - Wychowawczy dla Dzieci i Młodzieży Niesłyszącej i Słabo Słyszącej (SPS nr 55)</t>
  </si>
  <si>
    <t xml:space="preserve">rozdz. 80103 -  Oddziały przedszkolne w szkołach podstawowych  </t>
  </si>
  <si>
    <t xml:space="preserve">Specjalny Ośrodek Szkolno-Wychowawczy dla Dzieci i Młodzieży Słabo Widzącej </t>
  </si>
  <si>
    <t>rozdz. 80120 - Licea ogólnokształcące</t>
  </si>
  <si>
    <t xml:space="preserve"> VIII Liceum Ogólnokształcące</t>
  </si>
  <si>
    <t>Zespół Szkół Chemicznych i Przemysłu Spożywczego (XII Liceum Ogólnokształcące)</t>
  </si>
  <si>
    <t>Zespół Szkół Ogólnokształcących nr 2 (XVIII LO)</t>
  </si>
  <si>
    <t>Zespół Szkół Ogólnokształcących nr 5 (XIX LO)</t>
  </si>
  <si>
    <t>Zespół Szkół Ogólnokształcących nr 4 (XX LO)</t>
  </si>
  <si>
    <t>Zespół Szkół Ogólnokształcących nr 6 (XXII LO)</t>
  </si>
  <si>
    <t>Specjalny Ośrodek Szkolno-Wychowawczy dla Dzieci i Młodzieży Słabo Widzącej</t>
  </si>
  <si>
    <t>Zespół Szkół Chemicznych i Przemysłu Spożywczego (VI Liceum Profilowane)</t>
  </si>
  <si>
    <t>Specjalny Ośrodek Szkolno-Wychowawczy dla Dzieci i Młodzieży Niesłyszacej i Słabo Słyszącej (XVI Liceum Profilowane Specjalne dla Uczniów Niesłyszących i Słabo Słyszących)</t>
  </si>
  <si>
    <t>Zespół Szkół Chemicznych i Przemysłu Spożywczego</t>
  </si>
  <si>
    <t xml:space="preserve">Zespół Szkół Samochodowych </t>
  </si>
  <si>
    <t>Centrum Kształcenia Ustawicznego nr 1</t>
  </si>
  <si>
    <t>Specjalny Ośrodek Szkolno - Wychowawczy dla Dzieci i Młodzieży Niesłyszącej i Słabo Słyszącej</t>
  </si>
  <si>
    <t>Specjalny Ośrodek Szkolno - Wychowawczy dla Dzieci i Młodzieży Słabo Widzącej</t>
  </si>
  <si>
    <t xml:space="preserve">Zespół Szkół Ogólnokształcących nr 1 </t>
  </si>
  <si>
    <t>stypendia oraz inne formy pomocy dla uczniów</t>
  </si>
  <si>
    <t>Wydatki na zadania własne</t>
  </si>
  <si>
    <t>rozdz. 80130 - Szkoły zawodowe</t>
  </si>
  <si>
    <t>rozdz. 80124 -  Licea profilowane specjalne</t>
  </si>
  <si>
    <t>rozdz. 80121 - Licea ogólnokształcące specjalne</t>
  </si>
  <si>
    <t>rozdz. 85401 - Świetlice szkolne</t>
  </si>
  <si>
    <t xml:space="preserve">Zespół Szkół Ogólnokształcących nr 5 </t>
  </si>
  <si>
    <t xml:space="preserve">Zespół Szkół Ogólnokształcących nr 2 </t>
  </si>
  <si>
    <t xml:space="preserve">Zespół Szkół Ogólnokształcących nr 6 </t>
  </si>
  <si>
    <t>Specjalne Ośrodek Szkolno - Wychowawczy dla Dzieci i Młodzieży Niesłyszącej i Słabo Słyszącej</t>
  </si>
  <si>
    <t>Specjalne Ośrodek Szkolno - Wychowawczy dla Dzieci i Młodzieży Słabo Widzącej</t>
  </si>
  <si>
    <t xml:space="preserve">Zespół Szkół Ekonomicznych </t>
  </si>
  <si>
    <t xml:space="preserve">Zespół Szkół nr 5 </t>
  </si>
  <si>
    <t>rozdz. 85156 - Składki na ubezpieczenia zdrowotne oraz świadczenia dla osób nieobjętych obowiązkiem ubezpieczenia</t>
  </si>
  <si>
    <t>Zakup usług</t>
  </si>
  <si>
    <t>dostępu do</t>
  </si>
  <si>
    <t>sieci</t>
  </si>
  <si>
    <t>Internet</t>
  </si>
  <si>
    <t>§ 4500</t>
  </si>
  <si>
    <t xml:space="preserve">podatki </t>
  </si>
  <si>
    <t>na rzecz</t>
  </si>
  <si>
    <t>budżetów</t>
  </si>
  <si>
    <t>jst</t>
  </si>
  <si>
    <t>Razem</t>
  </si>
  <si>
    <t>Stypendia</t>
  </si>
  <si>
    <t>Różne</t>
  </si>
  <si>
    <t>Składki</t>
  </si>
  <si>
    <t>Odpisy</t>
  </si>
  <si>
    <t>osobowe</t>
  </si>
  <si>
    <t>społeczne</t>
  </si>
  <si>
    <t>służbowe</t>
  </si>
  <si>
    <t>i</t>
  </si>
  <si>
    <t>opłaty</t>
  </si>
  <si>
    <t xml:space="preserve">na </t>
  </si>
  <si>
    <t>na zakł.</t>
  </si>
  <si>
    <t>uczniów</t>
  </si>
  <si>
    <t>krajowe</t>
  </si>
  <si>
    <t>i składki</t>
  </si>
  <si>
    <t>Fundusz</t>
  </si>
  <si>
    <t xml:space="preserve">       Nazwa</t>
  </si>
  <si>
    <t>Pracy</t>
  </si>
  <si>
    <t>świadczeń</t>
  </si>
  <si>
    <t xml:space="preserve">       szkoły</t>
  </si>
  <si>
    <t>socjalnych</t>
  </si>
  <si>
    <t>Wydatki</t>
  </si>
  <si>
    <t>zagran.</t>
  </si>
  <si>
    <t xml:space="preserve">           paragrafu</t>
  </si>
  <si>
    <t>IV Liceum Ogólnokształcące</t>
  </si>
  <si>
    <t>VI Liceum Ogólnokształcące</t>
  </si>
  <si>
    <t>VII Liceum Ogólnokształcące</t>
  </si>
  <si>
    <t>IX Liceum Ogólnokształcące</t>
  </si>
  <si>
    <t>I Liceum Ogólnokształcące</t>
  </si>
  <si>
    <t>II Liceum Ogólnokształcące</t>
  </si>
  <si>
    <t>III Liceum Ogólnokształcące</t>
  </si>
  <si>
    <t>Zespół Szkół Odzieżowo-Włókienniczych</t>
  </si>
  <si>
    <t>Zespół Szkół Włókienniczych</t>
  </si>
  <si>
    <t>Zespół Szkół Samochodowych</t>
  </si>
  <si>
    <t>Młodzieżowy Dom Kultury</t>
  </si>
  <si>
    <t>w złotych</t>
  </si>
  <si>
    <t>Szkoła Podstawowa nr 2</t>
  </si>
  <si>
    <t>Szkoła Podstawowa nr 3</t>
  </si>
  <si>
    <t>Szkoła Podstawowa nr 4</t>
  </si>
  <si>
    <t>Szkoła Podstawowa nr 6</t>
  </si>
  <si>
    <t>Szkoła Podstawowa nr 7</t>
  </si>
  <si>
    <t>Szkoła Podstawowa nr 10</t>
  </si>
  <si>
    <t>Szkoła Podstawowa nr 14</t>
  </si>
  <si>
    <t>Szkoła Podstawowa nr 20</t>
  </si>
  <si>
    <t>Szkoła Podstawowa nr 21</t>
  </si>
  <si>
    <t>Szkoła Podstawowa nr 23</t>
  </si>
  <si>
    <t>Szkoła Podstawowa nr 24</t>
  </si>
  <si>
    <t>Szkoła Podstawowa nr 25</t>
  </si>
  <si>
    <t>Szkoła Podstawowa nr 27</t>
  </si>
  <si>
    <t>Szkoła Podstawowa nr 28</t>
  </si>
  <si>
    <t>Szkoła Podstawowa nr 29</t>
  </si>
  <si>
    <t>Szkoła Podstawowa nr 30</t>
  </si>
  <si>
    <t>Szkoła Podstawowa nr 31</t>
  </si>
  <si>
    <t>Szkoła Podstawowa nr 32</t>
  </si>
  <si>
    <t>Szkoła Podstawowa nr 34</t>
  </si>
  <si>
    <t>Szkoła Podstawowa nr 38</t>
  </si>
  <si>
    <t>Szkoła Podstawowa nr 39</t>
  </si>
  <si>
    <t>Szkoła Podstawowa nr 40</t>
  </si>
  <si>
    <t>Szkoła Podstawowa nr 42</t>
  </si>
  <si>
    <t>Szkoła Podstawowa nr 43</t>
  </si>
  <si>
    <t>Szkoła Podstawowa nr 47</t>
  </si>
  <si>
    <t>Szkoła Podstawowa nr 48</t>
  </si>
  <si>
    <t>Szkoła Podstawowa nr 46</t>
  </si>
  <si>
    <t>Młodzieżowy Dom Kultury nr 2</t>
  </si>
  <si>
    <t>Zespół Szkół nr 1 (XV Liceum Ogólnokształcące)</t>
  </si>
  <si>
    <t>Bursa Szkolna nr 1</t>
  </si>
  <si>
    <t>Bursa Szkolna nr 2</t>
  </si>
  <si>
    <t>Bursa Szkolna nr 3</t>
  </si>
  <si>
    <t>Bursa Szkolna nr 5</t>
  </si>
  <si>
    <t>Zespół Szkół Elektronicznych</t>
  </si>
  <si>
    <t>Zespół Szkół Budowlanych</t>
  </si>
  <si>
    <t>Lubelskie Centrum Edukacji Zawodowej</t>
  </si>
  <si>
    <t>Zespół Szkół Ekonomicznych</t>
  </si>
  <si>
    <t>Zespół Szkół Energetycznych</t>
  </si>
  <si>
    <t>Zespół Szkół nr 1</t>
  </si>
  <si>
    <t>Przedszkole Specjalne nr 11</t>
  </si>
  <si>
    <t>Specjalny Ośrodek Szkolno-Wychowawczy nr 1</t>
  </si>
  <si>
    <t>Specjalny Ośrodek Szkolno-Wychowawczy nr 2</t>
  </si>
  <si>
    <t>Zespół Poradni nr 2</t>
  </si>
  <si>
    <t>Zespół Poradni nr 3</t>
  </si>
  <si>
    <t>Zespół Poradni nr 1</t>
  </si>
  <si>
    <t>Poradnia Psychologiczno-Pedagogiczna nr 1</t>
  </si>
  <si>
    <t>Poradnia Psychologiczno-Pedagogiczna nr 2</t>
  </si>
  <si>
    <t>Poradnia Psychologiczno-Pedagogiczna nr 3</t>
  </si>
  <si>
    <t>Szkolne Schronisko Młodzieżowe</t>
  </si>
  <si>
    <t>Dodatkowe</t>
  </si>
  <si>
    <t>wynagr.</t>
  </si>
  <si>
    <t>roczne</t>
  </si>
  <si>
    <t>żywności</t>
  </si>
  <si>
    <t>Zespół Szkół Elektronicznych (X Liceum Ogólnokształcące)</t>
  </si>
  <si>
    <t>Zespół  Szkół  Ekonomicznych (XVI Liceum Ogólnokształcące)</t>
  </si>
  <si>
    <t>Gimnazjum nr 1</t>
  </si>
  <si>
    <t>Gimnazjum nr 2</t>
  </si>
  <si>
    <t>Gimnazjum nr 3</t>
  </si>
  <si>
    <t>Gimnazjum nr 5</t>
  </si>
  <si>
    <t>Gimnazjum nr 9</t>
  </si>
  <si>
    <t>Gimnazjum nr 14</t>
  </si>
  <si>
    <t>Gimnazjum nr 15</t>
  </si>
  <si>
    <t>Gimnazjum nr 17</t>
  </si>
  <si>
    <t>Gimnazjum nr 19</t>
  </si>
  <si>
    <t>Gimnazjum nr 7</t>
  </si>
  <si>
    <t>Gimnazjum nr 8</t>
  </si>
  <si>
    <t>Gimnazjum nr 10</t>
  </si>
  <si>
    <t>Gimnazjum nr 11</t>
  </si>
  <si>
    <t>Gimnazjum nr 12</t>
  </si>
  <si>
    <t>Gimnazjum nr 13</t>
  </si>
  <si>
    <t>Gimnazjum nr 16</t>
  </si>
  <si>
    <t>Gimnazjum nr 18</t>
  </si>
  <si>
    <t>Pogotowie Opiekuńcze (Szkoła Podstawowa)</t>
  </si>
  <si>
    <t>Szkoła Podstawowa nr 51</t>
  </si>
  <si>
    <t>zakupy</t>
  </si>
  <si>
    <t>inwestycyjne</t>
  </si>
  <si>
    <t>Zespół Szkół nr 7 (Gimnazjum nr 24)</t>
  </si>
  <si>
    <t xml:space="preserve">Zespół Szkół nr 7 </t>
  </si>
  <si>
    <t>Zespół Szkół nr 4</t>
  </si>
  <si>
    <t>§ 3020</t>
  </si>
  <si>
    <t>§ 3240</t>
  </si>
  <si>
    <t>Wynagrodzenia</t>
  </si>
  <si>
    <t>pracowników</t>
  </si>
  <si>
    <t>§ 4010</t>
  </si>
  <si>
    <t>§ 4040</t>
  </si>
  <si>
    <t>§ 4110</t>
  </si>
  <si>
    <t>Składki na</t>
  </si>
  <si>
    <t>§ 4120</t>
  </si>
  <si>
    <t>§ 4210</t>
  </si>
  <si>
    <t>Zakup</t>
  </si>
  <si>
    <t>§ 4220</t>
  </si>
  <si>
    <t>środków</t>
  </si>
  <si>
    <t>§ 4140</t>
  </si>
  <si>
    <t>Wpłaty na</t>
  </si>
  <si>
    <t>Państwowy</t>
  </si>
  <si>
    <t>Rehabilitacji</t>
  </si>
  <si>
    <t>§ 4240</t>
  </si>
  <si>
    <t>pomocy</t>
  </si>
  <si>
    <t>naukowych,</t>
  </si>
  <si>
    <t>dydaktycznych</t>
  </si>
  <si>
    <t>i książek</t>
  </si>
  <si>
    <t>§ 4260</t>
  </si>
  <si>
    <t>energii</t>
  </si>
  <si>
    <t>§ 4300</t>
  </si>
  <si>
    <t>usług</t>
  </si>
  <si>
    <t>pozostałych</t>
  </si>
  <si>
    <t xml:space="preserve">  § 4410</t>
  </si>
  <si>
    <t>Podróże</t>
  </si>
  <si>
    <t>§ 4420</t>
  </si>
  <si>
    <t>§ 4430</t>
  </si>
  <si>
    <t>§ 4440</t>
  </si>
  <si>
    <t>fundusz</t>
  </si>
  <si>
    <t>jednostek</t>
  </si>
  <si>
    <t>budżetowych</t>
  </si>
  <si>
    <t>§ 6060</t>
  </si>
  <si>
    <t>Wydatki na</t>
  </si>
  <si>
    <t>Dział 801 - Oświata  i Wychowanie</t>
  </si>
  <si>
    <t>rozdz. 80101 - Szkoły podstawowe</t>
  </si>
  <si>
    <t>rozdz. 80102 - Szkoły podstawowe specjalne</t>
  </si>
  <si>
    <t>rozdz. 80110- Gimnazja</t>
  </si>
  <si>
    <t>rozdz. 80111 - Gimnazja specjalne</t>
  </si>
  <si>
    <t>rozdz. 80113 - Dowożenie uczniów do szkół</t>
  </si>
  <si>
    <t>Dział 854 - Edukacyjna opieka wychowawcza</t>
  </si>
  <si>
    <t>rozdz. 85403 - Specjalne ośrodki szkolno-wychowawcze</t>
  </si>
  <si>
    <t>rozdz. 85407- Placówki wychowania pozaszkolnego</t>
  </si>
  <si>
    <t>VIII Liceum Ogólnokształcące</t>
  </si>
  <si>
    <t>rozdz. 85417 - Szkolne schroniska młodzieżowe</t>
  </si>
  <si>
    <t>Zespół Szkół nr 7 (Szkoła Podstawowa nr 50)</t>
  </si>
  <si>
    <t xml:space="preserve">    Zakup</t>
  </si>
  <si>
    <t>ubezpiecz.</t>
  </si>
  <si>
    <t>Osób Niepłn.</t>
  </si>
  <si>
    <t xml:space="preserve">  OGÓŁEM</t>
  </si>
  <si>
    <t>926 - Kultura fizyczna i sport</t>
  </si>
  <si>
    <t>Zespół Szkół nr 4 (Szkoła Podstawowa nr 49)</t>
  </si>
  <si>
    <t xml:space="preserve">materiałów </t>
  </si>
  <si>
    <t>wyposażenia</t>
  </si>
  <si>
    <t>§ 4280</t>
  </si>
  <si>
    <t xml:space="preserve">Zakup </t>
  </si>
  <si>
    <t xml:space="preserve">usług </t>
  </si>
  <si>
    <t>zdrowotnych</t>
  </si>
  <si>
    <t>§ 4130</t>
  </si>
  <si>
    <t xml:space="preserve">Składki </t>
  </si>
  <si>
    <t>na</t>
  </si>
  <si>
    <t>ubezpieczenie</t>
  </si>
  <si>
    <t>zdrowotne</t>
  </si>
  <si>
    <t>V Liceum Ogólnokształcące</t>
  </si>
  <si>
    <t>Zespół Szkół  nr 5</t>
  </si>
  <si>
    <t xml:space="preserve">rozdz. 80134 - Szkoły zawodowe specjalne </t>
  </si>
  <si>
    <t>Szkoła Podstawowa nr 52</t>
  </si>
  <si>
    <t>Zespół Szkół nr 5 (XXIV Liceum Ogólnokształcące)</t>
  </si>
  <si>
    <t>Zespół Szkół  nr 3</t>
  </si>
  <si>
    <t>Zespół Szkół  nr 6</t>
  </si>
  <si>
    <t>rozdz. 80123 - Licea profilowane</t>
  </si>
  <si>
    <t>Zespół Szkół nr 1 (I Liceum Profilowane)</t>
  </si>
  <si>
    <t>Państwowe Szkoły Budownictwa i Geodezji (II Liceum Profilowane)</t>
  </si>
  <si>
    <t>Zespół Szkół Ekonomicznych (V Liceum Profilowane)</t>
  </si>
  <si>
    <t>Zespół Szkół nr 5 (VII Liceum Profilowane)</t>
  </si>
  <si>
    <t>Zespół Szkół Samochodowych (VIII Liceum Profilowane)</t>
  </si>
  <si>
    <t>Zespół Szkół Odzieżowo-Włókienniczych (X Liceum Profilowane)</t>
  </si>
  <si>
    <t>Zespół Szkół nr 3 (XI Liceum Profilowane z Oddziałami Integracyjnymi)</t>
  </si>
  <si>
    <t>Zespół Szkół Transportowo-Komunikacyjnych (XIV Liceum Profilowane)</t>
  </si>
  <si>
    <t>Zespół Szkół nr 6 (XVII Liceum Profilowane dla Dorosłych)</t>
  </si>
  <si>
    <t>Zespół Szkół Elektronicznych (XX Liceum Profilowane)</t>
  </si>
  <si>
    <t xml:space="preserve">Zespół Szkół Transportowo-Komunikacyjnych </t>
  </si>
  <si>
    <t>Zespół Szkół nr 3</t>
  </si>
  <si>
    <t>Państwowe Szkoły Budownictwa i Geodezji</t>
  </si>
  <si>
    <t>Zespół Szkół Transportowo-Komunikacyjnych</t>
  </si>
  <si>
    <t>Państwowe Szkoły Budownictwa i Geodezji (XI Liceum Ogólnokształcące)</t>
  </si>
  <si>
    <t>Zespół Szkół nr 6</t>
  </si>
  <si>
    <t xml:space="preserve">Pozostałe </t>
  </si>
  <si>
    <t>Zespół Szkół Ogólnokształcących nr 1</t>
  </si>
  <si>
    <t>Zespół Szkół Ogólnokształcących nr 2</t>
  </si>
  <si>
    <t>Zespół Szkół Ogólnokształcących nr 4</t>
  </si>
  <si>
    <t>Zespół Szkół Ogólnokształcących nr 5</t>
  </si>
  <si>
    <t xml:space="preserve">Państwowe Szkoły Budownictwa i Geodezji </t>
  </si>
  <si>
    <t>Zespół Szkół nr 7</t>
  </si>
  <si>
    <t>Zespół Szkół Ogólnokształcących nr 6</t>
  </si>
  <si>
    <t>Zespół Szkół Ogólnokształcących nr 1 (XIV LO)</t>
  </si>
  <si>
    <t>Zespół Szkół Ogólnokształcących nr 1 (SP nr 45)</t>
  </si>
  <si>
    <t xml:space="preserve">Zespół Szkół Budowlanych </t>
  </si>
  <si>
    <t>Zespół Szkół Energetycznych (IV Liceum Profilowane)</t>
  </si>
  <si>
    <t>Centrum Kształcenia Ustawicznego nr 2</t>
  </si>
  <si>
    <t>Zespół Szkół nr 4 (Szkoła Podstawowa Specjalna nr 26)</t>
  </si>
  <si>
    <t>rozdz. 80105 - Przedszkola specjalne</t>
  </si>
  <si>
    <t>rozdz. 80132 - Szkoły artystyczne</t>
  </si>
  <si>
    <t>Szkoła Muzyczna I i II stopnia</t>
  </si>
  <si>
    <t>rozdz. 85421 - Młodzieżowe ośrodki socjoterapii</t>
  </si>
  <si>
    <t>Młodzieżowy Ośrodek Socjoterapii</t>
  </si>
  <si>
    <t>dla</t>
  </si>
  <si>
    <t>niezalicz.</t>
  </si>
  <si>
    <t xml:space="preserve">do </t>
  </si>
  <si>
    <t>§ 3260</t>
  </si>
  <si>
    <t>Inne formy</t>
  </si>
  <si>
    <t>dla uczniów</t>
  </si>
  <si>
    <t>§ 4170</t>
  </si>
  <si>
    <t>bezosobowe</t>
  </si>
  <si>
    <t>§ 4350</t>
  </si>
  <si>
    <t>Pochodne od wynagrodzeń</t>
  </si>
  <si>
    <t>Wydatki rzeczowe</t>
  </si>
  <si>
    <t xml:space="preserve">Zespół Szkół Ogólnokształcących nr 4 </t>
  </si>
  <si>
    <t>Zespół Szkół Budowlanych (XIII Liceum Profilowane)</t>
  </si>
  <si>
    <t>Zespół Szkół nr 6 (Gimnazjum nr 4 i Gimnazjum dla Dorosłych)</t>
  </si>
  <si>
    <t>Zespół Szkół Ogólnokształcących nr 4 (Gimnazjum nr 6)</t>
  </si>
  <si>
    <t>Zespół Szkół nr 4 (Gimnazjum Specjalne nr 20)</t>
  </si>
  <si>
    <t xml:space="preserve">Specjalny Ośrodek Szkolno-Wychowawczy nr 2 (Gimnazjum Specjalne nr 21) </t>
  </si>
  <si>
    <t>Zespół Szkół Włókienniczych  (XXIII Liceum Ogólnokształcące)</t>
  </si>
  <si>
    <t>Zespół Szkół Ogólnokształcących nr 2 (SP nr 11)</t>
  </si>
  <si>
    <t>Zespół Szkół Ogólnokształcących nr 6 (SP nr 17)</t>
  </si>
  <si>
    <t>Zespół Szkół Ogólnokształcących nr 5 (SP nr 22)</t>
  </si>
  <si>
    <t>Zespół Szkół Ogólnokształcących nr 4 (SP nr 44)</t>
  </si>
  <si>
    <t xml:space="preserve">  § 4360</t>
  </si>
  <si>
    <t>Opłaty</t>
  </si>
  <si>
    <t>telefonii</t>
  </si>
  <si>
    <t>komórkowej</t>
  </si>
  <si>
    <t>z tyt. zakupu</t>
  </si>
  <si>
    <t>telekomunik.</t>
  </si>
  <si>
    <t xml:space="preserve">  § 4370</t>
  </si>
  <si>
    <t>stacjonarnej</t>
  </si>
  <si>
    <t>§ 4700</t>
  </si>
  <si>
    <t>Szkolenia</t>
  </si>
  <si>
    <t>niebędących</t>
  </si>
  <si>
    <t>członkami korpusu</t>
  </si>
  <si>
    <t>służby cywilnej</t>
  </si>
  <si>
    <t>§ 4740</t>
  </si>
  <si>
    <t>Zakup mat.</t>
  </si>
  <si>
    <t xml:space="preserve">papierniczych </t>
  </si>
  <si>
    <t xml:space="preserve">do sprzętu </t>
  </si>
  <si>
    <t>drukarskiego i</t>
  </si>
  <si>
    <t>urządzeń kserogr.</t>
  </si>
  <si>
    <t>§ 4750</t>
  </si>
  <si>
    <t>akcesoriów</t>
  </si>
  <si>
    <t>komputerowych,</t>
  </si>
  <si>
    <t>w tym programów</t>
  </si>
  <si>
    <t>i licencji</t>
  </si>
  <si>
    <t>Szkoły i placówki oświatowe - wydatki</t>
  </si>
  <si>
    <r>
      <t>rozdz. 80101 - Szkoły podstawowe</t>
    </r>
    <r>
      <rPr>
        <b/>
        <i/>
        <sz val="10"/>
        <rFont val="Arial CE"/>
        <family val="0"/>
      </rPr>
      <t xml:space="preserve"> - zadanie ,,Bezpieczna droga"</t>
    </r>
  </si>
  <si>
    <t>Inwestycje</t>
  </si>
  <si>
    <t>rozdz. 92605 - Zadania w zakresie kultury fizycznej 
i sportu</t>
  </si>
  <si>
    <t>Wydatki na zadania realizowane na podstawie porozumień i umów</t>
  </si>
  <si>
    <t>854 - Edukacyjna opieka wychowawcza</t>
  </si>
  <si>
    <t>rozdz. 85415 - Pomoc materialna dla uczniów</t>
  </si>
  <si>
    <t>IX. Liceum  Ogólnokształcące</t>
  </si>
  <si>
    <t>Zespół Szkól nr 1</t>
  </si>
  <si>
    <t>Zespół Szkól nr 3</t>
  </si>
  <si>
    <t>Zespół Szkól nr 5</t>
  </si>
  <si>
    <t>Zespół Szkól nr 6</t>
  </si>
  <si>
    <t>Zespół Szkól Budowlanych</t>
  </si>
  <si>
    <t xml:space="preserve">Zespół Szkół Chemicznych i Przemysłu Spożywczego </t>
  </si>
  <si>
    <t>I Liceum  Ogólnokształcące</t>
  </si>
  <si>
    <t>II Liceum  Ogólnokształcące</t>
  </si>
  <si>
    <t>III Liceum  Ogólnokształcące</t>
  </si>
  <si>
    <t>IV Liceum  Ogólnokształcące</t>
  </si>
  <si>
    <t>V Liceum  Ogólnokształcące</t>
  </si>
  <si>
    <t>VI Liceum  Ogólnokształcące</t>
  </si>
  <si>
    <t>VII Liceum  Ogólnokształcące</t>
  </si>
  <si>
    <t>VIII Liceum  Ogólnokształcące</t>
  </si>
  <si>
    <t>Zespół Szkół Odzieżowo - Włókienniczych</t>
  </si>
  <si>
    <t>Zespół Szkół Transpotrowo - Komunikacyjnych</t>
  </si>
  <si>
    <t>projekt "Program stypendialny Miasta Lublin szansą ponadgimnazjalistów z terenów wiejskich"</t>
  </si>
  <si>
    <t>§ 3248</t>
  </si>
  <si>
    <t>§ 3249</t>
  </si>
  <si>
    <t>Dział 853 - Pozostałe zadania w zakresie polityki społecznej</t>
  </si>
  <si>
    <t>rozdz. 85311 - Rehabilitacja zawodowa i społeczna osób niepełnosprawnych</t>
  </si>
  <si>
    <t>prowadzenie warsztatów terapii zajęciowej</t>
  </si>
  <si>
    <t>851 - Ochrona zdrowia</t>
  </si>
  <si>
    <t>Specjalny Ośrodek Szkolno Wychowawczy dla Dzieci i Młodzieży Niesłyszącej i Słabo Słyszącej</t>
  </si>
  <si>
    <t>Specjalny Ośrodek Szkolno Wychowawczy dla Dzieci i Młodzieży Słabo Widzącej</t>
  </si>
  <si>
    <t>SKARBNIK MIASTA LUBLIN</t>
  </si>
  <si>
    <t>Prezydent Miasta Lublin</t>
  </si>
  <si>
    <t>mgr Irena Szumlak</t>
  </si>
  <si>
    <t>dr inż. Adam Wasilewski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</si>
</sst>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z_ł_-;\-* #,##0.0\ _z_ł_-;_-* &quot;-&quot;??\ _z_ł_-;_-@_-"/>
    <numFmt numFmtId="173" formatCode="_-* #,##0\ _z_ł_-;\-* #,##0\ _z_ł_-;_-* &quot;-&quot;??\ _z_ł_-;_-@_-"/>
    <numFmt numFmtId="174" formatCode="#,##0.00_ ;\-#,##0.00\ "/>
    <numFmt numFmtId="175" formatCode="#,##0.000"/>
    <numFmt numFmtId="176" formatCode="#,##0.0"/>
    <numFmt numFmtId="177" formatCode="0.0"/>
    <numFmt numFmtId="178" formatCode="#,##0_ ;\-#,##0\ "/>
    <numFmt numFmtId="179" formatCode="#,##0\ &quot;zł&quot;"/>
    <numFmt numFmtId="180" formatCode="#,##0;[Red]#,##0"/>
  </numFmts>
  <fonts count="2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"/>
      <family val="2"/>
    </font>
    <font>
      <sz val="8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sz val="11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7"/>
      <name val="Arial CE"/>
      <family val="0"/>
    </font>
    <font>
      <b/>
      <i/>
      <sz val="8"/>
      <name val="Arial CE"/>
      <family val="0"/>
    </font>
    <font>
      <b/>
      <sz val="8"/>
      <name val="Arial CE"/>
      <family val="0"/>
    </font>
    <font>
      <sz val="10"/>
      <color indexed="8"/>
      <name val="Arial CE"/>
      <family val="0"/>
    </font>
    <font>
      <sz val="11"/>
      <color indexed="8"/>
      <name val="Arial CE"/>
      <family val="0"/>
    </font>
    <font>
      <sz val="10"/>
      <color indexed="8"/>
      <name val="Arial"/>
      <family val="0"/>
    </font>
    <font>
      <sz val="9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3" fontId="0" fillId="0" borderId="1" xfId="15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11" fillId="0" borderId="5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9" fillId="0" borderId="6" xfId="15" applyNumberFormat="1" applyFont="1" applyFill="1" applyBorder="1" applyAlignment="1">
      <alignment horizontal="right" vertical="center"/>
    </xf>
    <xf numFmtId="3" fontId="0" fillId="0" borderId="0" xfId="15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0" xfId="15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2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Continuous"/>
    </xf>
    <xf numFmtId="3" fontId="0" fillId="0" borderId="7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Continuous"/>
    </xf>
    <xf numFmtId="3" fontId="0" fillId="0" borderId="2" xfId="0" applyNumberFormat="1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14" fillId="0" borderId="2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14" fillId="0" borderId="4" xfId="0" applyNumberFormat="1" applyFont="1" applyFill="1" applyBorder="1" applyAlignment="1">
      <alignment horizontal="center"/>
    </xf>
    <xf numFmtId="3" fontId="14" fillId="0" borderId="3" xfId="0" applyNumberFormat="1" applyFont="1" applyFill="1" applyBorder="1" applyAlignment="1">
      <alignment horizontal="center"/>
    </xf>
    <xf numFmtId="3" fontId="9" fillId="0" borderId="5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9" fillId="0" borderId="6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1" fillId="0" borderId="5" xfId="0" applyNumberFormat="1" applyFont="1" applyFill="1" applyBorder="1" applyAlignment="1">
      <alignment horizontal="right"/>
    </xf>
    <xf numFmtId="3" fontId="11" fillId="0" borderId="3" xfId="0" applyNumberFormat="1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9" fillId="0" borderId="6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1" fillId="0" borderId="5" xfId="15" applyNumberFormat="1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/>
    </xf>
    <xf numFmtId="3" fontId="11" fillId="0" borderId="5" xfId="15" applyNumberFormat="1" applyFont="1" applyFill="1" applyBorder="1" applyAlignment="1">
      <alignment horizontal="right" vertical="center"/>
    </xf>
    <xf numFmtId="3" fontId="11" fillId="0" borderId="3" xfId="15" applyNumberFormat="1" applyFont="1" applyFill="1" applyBorder="1" applyAlignment="1">
      <alignment horizontal="right" vertical="center"/>
    </xf>
    <xf numFmtId="3" fontId="11" fillId="0" borderId="2" xfId="15" applyNumberFormat="1" applyFont="1" applyFill="1" applyBorder="1" applyAlignment="1">
      <alignment horizontal="right" vertical="center"/>
    </xf>
    <xf numFmtId="3" fontId="11" fillId="0" borderId="7" xfId="15" applyNumberFormat="1" applyFont="1" applyFill="1" applyBorder="1" applyAlignment="1">
      <alignment horizontal="right" vertical="center"/>
    </xf>
    <xf numFmtId="3" fontId="11" fillId="0" borderId="3" xfId="15" applyNumberFormat="1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horizontal="right"/>
    </xf>
    <xf numFmtId="3" fontId="11" fillId="0" borderId="3" xfId="15" applyNumberFormat="1" applyFont="1" applyFill="1" applyBorder="1" applyAlignment="1">
      <alignment horizontal="right" vertical="center" wrapText="1"/>
    </xf>
    <xf numFmtId="3" fontId="9" fillId="0" borderId="9" xfId="15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vertical="center"/>
    </xf>
    <xf numFmtId="3" fontId="9" fillId="0" borderId="6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11" fillId="0" borderId="3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/>
    </xf>
    <xf numFmtId="3" fontId="0" fillId="0" borderId="0" xfId="15" applyNumberFormat="1" applyFont="1" applyFill="1" applyAlignment="1">
      <alignment horizontal="right"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/>
    </xf>
    <xf numFmtId="3" fontId="10" fillId="0" borderId="3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left"/>
    </xf>
    <xf numFmtId="3" fontId="1" fillId="0" borderId="12" xfId="15" applyNumberFormat="1" applyFont="1" applyFill="1" applyBorder="1" applyAlignment="1">
      <alignment/>
    </xf>
    <xf numFmtId="3" fontId="1" fillId="0" borderId="13" xfId="15" applyNumberFormat="1" applyFont="1" applyFill="1" applyBorder="1" applyAlignment="1">
      <alignment/>
    </xf>
    <xf numFmtId="3" fontId="1" fillId="0" borderId="14" xfId="15" applyNumberFormat="1" applyFont="1" applyFill="1" applyBorder="1" applyAlignment="1">
      <alignment/>
    </xf>
    <xf numFmtId="3" fontId="12" fillId="0" borderId="12" xfId="15" applyNumberFormat="1" applyFont="1" applyFill="1" applyBorder="1" applyAlignment="1">
      <alignment horizontal="left"/>
    </xf>
    <xf numFmtId="3" fontId="1" fillId="0" borderId="14" xfId="15" applyNumberFormat="1" applyFont="1" applyFill="1" applyBorder="1" applyAlignment="1">
      <alignment horizontal="left"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left"/>
    </xf>
    <xf numFmtId="3" fontId="0" fillId="0" borderId="17" xfId="0" applyNumberFormat="1" applyFont="1" applyFill="1" applyBorder="1" applyAlignment="1">
      <alignment horizontal="left"/>
    </xf>
    <xf numFmtId="3" fontId="5" fillId="0" borderId="18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 wrapText="1"/>
    </xf>
    <xf numFmtId="3" fontId="3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/>
    </xf>
    <xf numFmtId="3" fontId="9" fillId="0" borderId="6" xfId="0" applyNumberFormat="1" applyFont="1" applyFill="1" applyBorder="1" applyAlignment="1">
      <alignment horizontal="right" vertical="center" wrapText="1"/>
    </xf>
    <xf numFmtId="3" fontId="10" fillId="0" borderId="23" xfId="0" applyNumberFormat="1" applyFont="1" applyFill="1" applyBorder="1" applyAlignment="1">
      <alignment horizontal="center" wrapText="1"/>
    </xf>
    <xf numFmtId="3" fontId="9" fillId="0" borderId="16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left" vertical="center"/>
    </xf>
    <xf numFmtId="3" fontId="0" fillId="0" borderId="25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3" fontId="1" fillId="0" borderId="24" xfId="0" applyNumberFormat="1" applyFont="1" applyFill="1" applyBorder="1" applyAlignment="1">
      <alignment horizontal="left" vertical="center" wrapText="1"/>
    </xf>
    <xf numFmtId="0" fontId="0" fillId="0" borderId="25" xfId="0" applyNumberFormat="1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 vertical="center" wrapText="1"/>
    </xf>
    <xf numFmtId="3" fontId="0" fillId="2" borderId="26" xfId="0" applyNumberFormat="1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 wrapText="1"/>
    </xf>
    <xf numFmtId="1" fontId="0" fillId="0" borderId="26" xfId="0" applyNumberFormat="1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/>
    </xf>
    <xf numFmtId="3" fontId="0" fillId="0" borderId="26" xfId="0" applyNumberFormat="1" applyFont="1" applyFill="1" applyBorder="1" applyAlignment="1">
      <alignment horizontal="left"/>
    </xf>
    <xf numFmtId="3" fontId="1" fillId="0" borderId="24" xfId="0" applyNumberFormat="1" applyFont="1" applyFill="1" applyBorder="1" applyAlignment="1">
      <alignment vertical="center" wrapText="1"/>
    </xf>
    <xf numFmtId="3" fontId="0" fillId="0" borderId="26" xfId="0" applyNumberFormat="1" applyFont="1" applyFill="1" applyBorder="1" applyAlignment="1">
      <alignment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NumberFormat="1" applyFont="1" applyFill="1" applyBorder="1" applyAlignment="1">
      <alignment vertical="center"/>
    </xf>
    <xf numFmtId="0" fontId="1" fillId="0" borderId="24" xfId="0" applyNumberFormat="1" applyFont="1" applyFill="1" applyBorder="1" applyAlignment="1">
      <alignment vertical="center" wrapText="1"/>
    </xf>
    <xf numFmtId="3" fontId="3" fillId="0" borderId="25" xfId="0" applyNumberFormat="1" applyFont="1" applyFill="1" applyBorder="1" applyAlignment="1">
      <alignment vertical="center"/>
    </xf>
    <xf numFmtId="3" fontId="10" fillId="0" borderId="28" xfId="0" applyNumberFormat="1" applyFont="1" applyFill="1" applyBorder="1" applyAlignment="1">
      <alignment vertical="center"/>
    </xf>
    <xf numFmtId="3" fontId="9" fillId="0" borderId="2" xfId="0" applyNumberFormat="1" applyFont="1" applyFill="1" applyBorder="1" applyAlignment="1">
      <alignment horizontal="right" vertical="center"/>
    </xf>
    <xf numFmtId="3" fontId="11" fillId="0" borderId="7" xfId="0" applyNumberFormat="1" applyFont="1" applyFill="1" applyBorder="1" applyAlignment="1">
      <alignment horizontal="right"/>
    </xf>
    <xf numFmtId="0" fontId="0" fillId="0" borderId="27" xfId="0" applyNumberFormat="1" applyFont="1" applyFill="1" applyBorder="1" applyAlignment="1">
      <alignment vertical="center" wrapText="1"/>
    </xf>
    <xf numFmtId="3" fontId="11" fillId="0" borderId="7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horizontal="left" vertical="center" wrapText="1"/>
    </xf>
    <xf numFmtId="3" fontId="0" fillId="2" borderId="25" xfId="0" applyNumberFormat="1" applyFont="1" applyFill="1" applyBorder="1" applyAlignment="1">
      <alignment horizontal="left" vertical="center" wrapText="1"/>
    </xf>
    <xf numFmtId="3" fontId="0" fillId="2" borderId="27" xfId="0" applyNumberFormat="1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 wrapText="1"/>
    </xf>
    <xf numFmtId="1" fontId="0" fillId="0" borderId="25" xfId="0" applyNumberFormat="1" applyFont="1" applyFill="1" applyBorder="1" applyAlignment="1">
      <alignment vertical="center" wrapText="1"/>
    </xf>
    <xf numFmtId="1" fontId="0" fillId="0" borderId="27" xfId="0" applyNumberFormat="1" applyFont="1" applyFill="1" applyBorder="1" applyAlignment="1">
      <alignment vertical="center" wrapText="1"/>
    </xf>
    <xf numFmtId="3" fontId="1" fillId="0" borderId="24" xfId="0" applyNumberFormat="1" applyFont="1" applyFill="1" applyBorder="1" applyAlignment="1">
      <alignment vertical="center"/>
    </xf>
    <xf numFmtId="3" fontId="11" fillId="0" borderId="2" xfId="15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/>
    </xf>
    <xf numFmtId="3" fontId="0" fillId="0" borderId="27" xfId="0" applyNumberFormat="1" applyFont="1" applyFill="1" applyBorder="1" applyAlignment="1">
      <alignment horizontal="left" wrapText="1"/>
    </xf>
    <xf numFmtId="0" fontId="9" fillId="0" borderId="24" xfId="0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wrapText="1"/>
    </xf>
    <xf numFmtId="0" fontId="3" fillId="0" borderId="25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3" fontId="11" fillId="0" borderId="7" xfId="0" applyNumberFormat="1" applyFont="1" applyFill="1" applyBorder="1" applyAlignment="1">
      <alignment horizontal="right" vertical="center"/>
    </xf>
    <xf numFmtId="3" fontId="0" fillId="0" borderId="29" xfId="0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left" wrapText="1"/>
    </xf>
    <xf numFmtId="3" fontId="9" fillId="0" borderId="28" xfId="0" applyNumberFormat="1" applyFont="1" applyFill="1" applyBorder="1" applyAlignment="1">
      <alignment vertical="center"/>
    </xf>
    <xf numFmtId="3" fontId="18" fillId="0" borderId="10" xfId="20" applyNumberFormat="1" applyFont="1" applyBorder="1">
      <alignment/>
      <protection/>
    </xf>
    <xf numFmtId="3" fontId="11" fillId="0" borderId="10" xfId="0" applyNumberFormat="1" applyFont="1" applyFill="1" applyBorder="1" applyAlignment="1">
      <alignment vertical="center"/>
    </xf>
    <xf numFmtId="3" fontId="18" fillId="0" borderId="5" xfId="20" applyNumberFormat="1" applyFont="1" applyBorder="1">
      <alignment/>
      <protection/>
    </xf>
    <xf numFmtId="3" fontId="18" fillId="0" borderId="30" xfId="20" applyNumberFormat="1" applyFont="1" applyBorder="1">
      <alignment/>
      <protection/>
    </xf>
    <xf numFmtId="3" fontId="11" fillId="0" borderId="30" xfId="0" applyNumberFormat="1" applyFont="1" applyFill="1" applyBorder="1" applyAlignment="1">
      <alignment/>
    </xf>
    <xf numFmtId="3" fontId="17" fillId="0" borderId="10" xfId="20" applyNumberFormat="1" applyBorder="1">
      <alignment/>
      <protection/>
    </xf>
    <xf numFmtId="3" fontId="17" fillId="0" borderId="5" xfId="20" applyNumberFormat="1" applyBorder="1">
      <alignment/>
      <protection/>
    </xf>
    <xf numFmtId="3" fontId="17" fillId="0" borderId="30" xfId="20" applyNumberFormat="1" applyBorder="1">
      <alignment/>
      <protection/>
    </xf>
    <xf numFmtId="0" fontId="11" fillId="0" borderId="2" xfId="0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right" vertical="center"/>
    </xf>
    <xf numFmtId="3" fontId="11" fillId="0" borderId="31" xfId="0" applyNumberFormat="1" applyFont="1" applyFill="1" applyBorder="1" applyAlignment="1">
      <alignment horizontal="right" vertical="center"/>
    </xf>
    <xf numFmtId="3" fontId="11" fillId="0" borderId="32" xfId="0" applyNumberFormat="1" applyFont="1" applyFill="1" applyBorder="1" applyAlignment="1">
      <alignment horizontal="right" vertical="center"/>
    </xf>
    <xf numFmtId="0" fontId="4" fillId="0" borderId="18" xfId="19" applyFont="1" applyBorder="1">
      <alignment/>
      <protection/>
    </xf>
    <xf numFmtId="0" fontId="4" fillId="0" borderId="18" xfId="19" applyFont="1" applyBorder="1" applyAlignment="1">
      <alignment wrapText="1"/>
      <protection/>
    </xf>
    <xf numFmtId="0" fontId="20" fillId="0" borderId="33" xfId="19" applyFont="1" applyBorder="1">
      <alignment/>
      <protection/>
    </xf>
    <xf numFmtId="0" fontId="21" fillId="0" borderId="34" xfId="19" applyFont="1" applyBorder="1" applyAlignment="1">
      <alignment wrapText="1"/>
      <protection/>
    </xf>
    <xf numFmtId="3" fontId="11" fillId="0" borderId="5" xfId="0" applyNumberFormat="1" applyFont="1" applyFill="1" applyBorder="1" applyAlignment="1">
      <alignment/>
    </xf>
    <xf numFmtId="3" fontId="10" fillId="0" borderId="3" xfId="15" applyNumberFormat="1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/>
    </xf>
    <xf numFmtId="3" fontId="9" fillId="0" borderId="5" xfId="0" applyNumberFormat="1" applyFont="1" applyFill="1" applyBorder="1" applyAlignment="1">
      <alignment/>
    </xf>
    <xf numFmtId="3" fontId="9" fillId="0" borderId="19" xfId="15" applyNumberFormat="1" applyFont="1" applyFill="1" applyBorder="1" applyAlignment="1">
      <alignment horizontal="right"/>
    </xf>
    <xf numFmtId="3" fontId="10" fillId="0" borderId="28" xfId="0" applyNumberFormat="1" applyFont="1" applyFill="1" applyBorder="1" applyAlignment="1">
      <alignment/>
    </xf>
    <xf numFmtId="3" fontId="10" fillId="0" borderId="35" xfId="15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>
      <alignment horizontal="right"/>
    </xf>
    <xf numFmtId="3" fontId="9" fillId="0" borderId="21" xfId="15" applyNumberFormat="1" applyFont="1" applyFill="1" applyBorder="1" applyAlignment="1">
      <alignment horizontal="right"/>
    </xf>
    <xf numFmtId="3" fontId="9" fillId="0" borderId="36" xfId="15" applyNumberFormat="1" applyFont="1" applyFill="1" applyBorder="1" applyAlignment="1">
      <alignment horizontal="right"/>
    </xf>
    <xf numFmtId="3" fontId="9" fillId="0" borderId="22" xfId="15" applyNumberFormat="1" applyFont="1" applyFill="1" applyBorder="1" applyAlignment="1">
      <alignment horizontal="right"/>
    </xf>
    <xf numFmtId="3" fontId="9" fillId="0" borderId="37" xfId="15" applyNumberFormat="1" applyFont="1" applyFill="1" applyBorder="1" applyAlignment="1">
      <alignment horizontal="right"/>
    </xf>
    <xf numFmtId="3" fontId="9" fillId="0" borderId="38" xfId="15" applyNumberFormat="1" applyFont="1" applyFill="1" applyBorder="1" applyAlignment="1">
      <alignment horizontal="right"/>
    </xf>
    <xf numFmtId="3" fontId="9" fillId="0" borderId="6" xfId="0" applyNumberFormat="1" applyFont="1" applyFill="1" applyBorder="1" applyAlignment="1">
      <alignment/>
    </xf>
    <xf numFmtId="3" fontId="17" fillId="0" borderId="10" xfId="20" applyNumberFormat="1" applyBorder="1" applyAlignment="1">
      <alignment/>
      <protection/>
    </xf>
    <xf numFmtId="3" fontId="11" fillId="0" borderId="10" xfId="0" applyNumberFormat="1" applyFont="1" applyFill="1" applyBorder="1" applyAlignment="1">
      <alignment/>
    </xf>
    <xf numFmtId="3" fontId="19" fillId="0" borderId="10" xfId="18" applyNumberFormat="1" applyBorder="1" applyAlignment="1">
      <alignment/>
      <protection/>
    </xf>
    <xf numFmtId="3" fontId="17" fillId="0" borderId="5" xfId="20" applyNumberFormat="1" applyBorder="1" applyAlignment="1">
      <alignment/>
      <protection/>
    </xf>
    <xf numFmtId="3" fontId="19" fillId="0" borderId="5" xfId="18" applyNumberFormat="1" applyBorder="1" applyAlignment="1">
      <alignment/>
      <protection/>
    </xf>
    <xf numFmtId="3" fontId="11" fillId="0" borderId="5" xfId="15" applyNumberFormat="1" applyFont="1" applyFill="1" applyBorder="1" applyAlignment="1">
      <alignment/>
    </xf>
    <xf numFmtId="3" fontId="17" fillId="0" borderId="5" xfId="20" applyNumberFormat="1" applyFill="1" applyBorder="1" applyAlignment="1">
      <alignment/>
      <protection/>
    </xf>
    <xf numFmtId="3" fontId="17" fillId="0" borderId="30" xfId="20" applyNumberFormat="1" applyBorder="1" applyAlignment="1">
      <alignment/>
      <protection/>
    </xf>
    <xf numFmtId="3" fontId="19" fillId="0" borderId="30" xfId="18" applyNumberFormat="1" applyBorder="1" applyAlignment="1">
      <alignment/>
      <protection/>
    </xf>
    <xf numFmtId="3" fontId="9" fillId="0" borderId="6" xfId="15" applyNumberFormat="1" applyFont="1" applyFill="1" applyBorder="1" applyAlignment="1">
      <alignment horizontal="right"/>
    </xf>
    <xf numFmtId="3" fontId="11" fillId="0" borderId="2" xfId="15" applyNumberFormat="1" applyFont="1" applyFill="1" applyBorder="1" applyAlignment="1">
      <alignment horizontal="right"/>
    </xf>
    <xf numFmtId="3" fontId="11" fillId="0" borderId="5" xfId="15" applyNumberFormat="1" applyFont="1" applyFill="1" applyBorder="1" applyAlignment="1">
      <alignment horizontal="right"/>
    </xf>
    <xf numFmtId="3" fontId="11" fillId="0" borderId="7" xfId="15" applyNumberFormat="1" applyFont="1" applyFill="1" applyBorder="1" applyAlignment="1">
      <alignment horizontal="right"/>
    </xf>
    <xf numFmtId="3" fontId="11" fillId="0" borderId="3" xfId="15" applyNumberFormat="1" applyFont="1" applyFill="1" applyBorder="1" applyAlignment="1">
      <alignment horizontal="right"/>
    </xf>
    <xf numFmtId="3" fontId="11" fillId="0" borderId="3" xfId="15" applyNumberFormat="1" applyFont="1" applyFill="1" applyBorder="1" applyAlignment="1">
      <alignment/>
    </xf>
    <xf numFmtId="3" fontId="11" fillId="0" borderId="2" xfId="15" applyNumberFormat="1" applyFont="1" applyFill="1" applyBorder="1" applyAlignment="1">
      <alignment/>
    </xf>
    <xf numFmtId="3" fontId="11" fillId="0" borderId="2" xfId="0" applyNumberFormat="1" applyFont="1" applyFill="1" applyBorder="1" applyAlignment="1">
      <alignment horizontal="right"/>
    </xf>
    <xf numFmtId="3" fontId="10" fillId="0" borderId="3" xfId="15" applyNumberFormat="1" applyFont="1" applyFill="1" applyBorder="1" applyAlignment="1">
      <alignment horizontal="right"/>
    </xf>
    <xf numFmtId="3" fontId="10" fillId="0" borderId="22" xfId="15" applyNumberFormat="1" applyFont="1" applyFill="1" applyBorder="1" applyAlignment="1">
      <alignment horizontal="right"/>
    </xf>
    <xf numFmtId="3" fontId="11" fillId="0" borderId="3" xfId="15" applyNumberFormat="1" applyFont="1" applyFill="1" applyBorder="1" applyAlignment="1">
      <alignment horizontal="right" wrapText="1"/>
    </xf>
    <xf numFmtId="3" fontId="9" fillId="0" borderId="6" xfId="0" applyNumberFormat="1" applyFont="1" applyFill="1" applyBorder="1" applyAlignment="1">
      <alignment horizontal="right"/>
    </xf>
    <xf numFmtId="3" fontId="10" fillId="0" borderId="3" xfId="0" applyNumberFormat="1" applyFont="1" applyFill="1" applyBorder="1" applyAlignment="1">
      <alignment horizontal="right"/>
    </xf>
    <xf numFmtId="3" fontId="11" fillId="0" borderId="2" xfId="0" applyNumberFormat="1" applyFont="1" applyFill="1" applyBorder="1" applyAlignment="1">
      <alignment/>
    </xf>
    <xf numFmtId="3" fontId="9" fillId="0" borderId="28" xfId="0" applyNumberFormat="1" applyFont="1" applyFill="1" applyBorder="1" applyAlignment="1">
      <alignment/>
    </xf>
    <xf numFmtId="3" fontId="9" fillId="0" borderId="35" xfId="15" applyNumberFormat="1" applyFont="1" applyFill="1" applyBorder="1" applyAlignment="1">
      <alignment horizontal="right"/>
    </xf>
    <xf numFmtId="3" fontId="9" fillId="0" borderId="9" xfId="15" applyNumberFormat="1" applyFont="1" applyFill="1" applyBorder="1" applyAlignment="1">
      <alignment horizontal="right"/>
    </xf>
    <xf numFmtId="3" fontId="9" fillId="0" borderId="39" xfId="15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3" fontId="10" fillId="0" borderId="40" xfId="15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 horizontal="right"/>
    </xf>
    <xf numFmtId="0" fontId="11" fillId="0" borderId="9" xfId="0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18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 wrapText="1"/>
    </xf>
    <xf numFmtId="3" fontId="0" fillId="2" borderId="18" xfId="0" applyNumberFormat="1" applyFont="1" applyFill="1" applyBorder="1" applyAlignment="1">
      <alignment horizontal="left" vertical="center" wrapText="1"/>
    </xf>
    <xf numFmtId="3" fontId="1" fillId="0" borderId="29" xfId="0" applyNumberFormat="1" applyFont="1" applyFill="1" applyBorder="1" applyAlignment="1">
      <alignment horizontal="left" vertical="center" wrapText="1"/>
    </xf>
    <xf numFmtId="3" fontId="9" fillId="0" borderId="9" xfId="0" applyNumberFormat="1" applyFont="1" applyFill="1" applyBorder="1" applyAlignment="1">
      <alignment vertical="center"/>
    </xf>
    <xf numFmtId="3" fontId="9" fillId="0" borderId="9" xfId="0" applyNumberFormat="1" applyFont="1" applyFill="1" applyBorder="1" applyAlignment="1">
      <alignment/>
    </xf>
    <xf numFmtId="0" fontId="0" fillId="0" borderId="41" xfId="0" applyNumberFormat="1" applyFont="1" applyFill="1" applyBorder="1" applyAlignment="1">
      <alignment vertical="center" wrapText="1"/>
    </xf>
    <xf numFmtId="3" fontId="11" fillId="0" borderId="41" xfId="0" applyNumberFormat="1" applyFont="1" applyFill="1" applyBorder="1" applyAlignment="1">
      <alignment vertical="center"/>
    </xf>
    <xf numFmtId="3" fontId="11" fillId="0" borderId="41" xfId="0" applyNumberFormat="1" applyFont="1" applyFill="1" applyBorder="1" applyAlignment="1">
      <alignment/>
    </xf>
    <xf numFmtId="3" fontId="9" fillId="0" borderId="41" xfId="15" applyNumberFormat="1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1" fillId="3" borderId="0" xfId="0" applyFont="1" applyFill="1" applyBorder="1" applyAlignment="1">
      <alignment/>
    </xf>
  </cellXfs>
  <cellStyles count="11">
    <cellStyle name="Normal" xfId="0"/>
    <cellStyle name="Comma" xfId="15"/>
    <cellStyle name="Comma [0]" xfId="16"/>
    <cellStyle name="Hyperlink" xfId="17"/>
    <cellStyle name="N" xfId="18"/>
    <cellStyle name="Normalny_Arkusz1" xfId="19"/>
    <cellStyle name="Normalny_BT 1 80104 POPR 1" xfId="20"/>
    <cellStyle name="Followed Hyperlink" xfId="21"/>
    <cellStyle name="Percent" xfId="22"/>
    <cellStyle name="Currency" xfId="23"/>
    <cellStyle name="Currency [0]" xfId="24"/>
  </cellStyles>
  <dxfs count="1">
    <dxf>
      <font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866775"/>
          <a:ext cx="415290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167</xdr:row>
      <xdr:rowOff>0</xdr:rowOff>
    </xdr:from>
    <xdr:to>
      <xdr:col>1</xdr:col>
      <xdr:colOff>0</xdr:colOff>
      <xdr:row>167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3815715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3" name="Line 3"/>
        <xdr:cNvSpPr>
          <a:spLocks/>
        </xdr:cNvSpPr>
      </xdr:nvSpPr>
      <xdr:spPr>
        <a:xfrm>
          <a:off x="28575" y="113823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167</xdr:row>
      <xdr:rowOff>0</xdr:rowOff>
    </xdr:from>
    <xdr:to>
      <xdr:col>1</xdr:col>
      <xdr:colOff>0</xdr:colOff>
      <xdr:row>167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3815715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5" name="Line 5"/>
        <xdr:cNvSpPr>
          <a:spLocks/>
        </xdr:cNvSpPr>
      </xdr:nvSpPr>
      <xdr:spPr>
        <a:xfrm>
          <a:off x="28575" y="492537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6" name="Line 6"/>
        <xdr:cNvSpPr>
          <a:spLocks/>
        </xdr:cNvSpPr>
      </xdr:nvSpPr>
      <xdr:spPr>
        <a:xfrm>
          <a:off x="28575" y="113823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7" name="Line 7"/>
        <xdr:cNvSpPr>
          <a:spLocks/>
        </xdr:cNvSpPr>
      </xdr:nvSpPr>
      <xdr:spPr>
        <a:xfrm>
          <a:off x="28575" y="607790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8" name="Line 8"/>
        <xdr:cNvSpPr>
          <a:spLocks/>
        </xdr:cNvSpPr>
      </xdr:nvSpPr>
      <xdr:spPr>
        <a:xfrm>
          <a:off x="28575" y="113823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9" name="Line 9"/>
        <xdr:cNvSpPr>
          <a:spLocks/>
        </xdr:cNvSpPr>
      </xdr:nvSpPr>
      <xdr:spPr>
        <a:xfrm>
          <a:off x="28575" y="492537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10" name="Line 10"/>
        <xdr:cNvSpPr>
          <a:spLocks/>
        </xdr:cNvSpPr>
      </xdr:nvSpPr>
      <xdr:spPr>
        <a:xfrm>
          <a:off x="28575" y="492537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11" name="Line 11"/>
        <xdr:cNvSpPr>
          <a:spLocks/>
        </xdr:cNvSpPr>
      </xdr:nvSpPr>
      <xdr:spPr>
        <a:xfrm>
          <a:off x="28575" y="607790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12" name="Line 12"/>
        <xdr:cNvSpPr>
          <a:spLocks/>
        </xdr:cNvSpPr>
      </xdr:nvSpPr>
      <xdr:spPr>
        <a:xfrm>
          <a:off x="28575" y="607790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13" name="Line 13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14" name="Line 14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15" name="Line 15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16" name="Line 16"/>
        <xdr:cNvSpPr>
          <a:spLocks/>
        </xdr:cNvSpPr>
      </xdr:nvSpPr>
      <xdr:spPr>
        <a:xfrm>
          <a:off x="28575" y="728853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17" name="Line 17"/>
        <xdr:cNvSpPr>
          <a:spLocks/>
        </xdr:cNvSpPr>
      </xdr:nvSpPr>
      <xdr:spPr>
        <a:xfrm>
          <a:off x="28575" y="728853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18" name="Line 18"/>
        <xdr:cNvSpPr>
          <a:spLocks/>
        </xdr:cNvSpPr>
      </xdr:nvSpPr>
      <xdr:spPr>
        <a:xfrm>
          <a:off x="28575" y="728853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346</xdr:row>
      <xdr:rowOff>0</xdr:rowOff>
    </xdr:from>
    <xdr:to>
      <xdr:col>1</xdr:col>
      <xdr:colOff>0</xdr:colOff>
      <xdr:row>346</xdr:row>
      <xdr:rowOff>0</xdr:rowOff>
    </xdr:to>
    <xdr:sp>
      <xdr:nvSpPr>
        <xdr:cNvPr id="19" name="Line 19"/>
        <xdr:cNvSpPr>
          <a:spLocks/>
        </xdr:cNvSpPr>
      </xdr:nvSpPr>
      <xdr:spPr>
        <a:xfrm>
          <a:off x="28575" y="812673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346</xdr:row>
      <xdr:rowOff>0</xdr:rowOff>
    </xdr:from>
    <xdr:to>
      <xdr:col>1</xdr:col>
      <xdr:colOff>0</xdr:colOff>
      <xdr:row>346</xdr:row>
      <xdr:rowOff>0</xdr:rowOff>
    </xdr:to>
    <xdr:sp>
      <xdr:nvSpPr>
        <xdr:cNvPr id="20" name="Line 20"/>
        <xdr:cNvSpPr>
          <a:spLocks/>
        </xdr:cNvSpPr>
      </xdr:nvSpPr>
      <xdr:spPr>
        <a:xfrm>
          <a:off x="28575" y="812673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346</xdr:row>
      <xdr:rowOff>0</xdr:rowOff>
    </xdr:from>
    <xdr:to>
      <xdr:col>1</xdr:col>
      <xdr:colOff>0</xdr:colOff>
      <xdr:row>346</xdr:row>
      <xdr:rowOff>0</xdr:rowOff>
    </xdr:to>
    <xdr:sp>
      <xdr:nvSpPr>
        <xdr:cNvPr id="21" name="Line 21"/>
        <xdr:cNvSpPr>
          <a:spLocks/>
        </xdr:cNvSpPr>
      </xdr:nvSpPr>
      <xdr:spPr>
        <a:xfrm>
          <a:off x="28575" y="812673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2" name="Line 22"/>
        <xdr:cNvSpPr>
          <a:spLocks/>
        </xdr:cNvSpPr>
      </xdr:nvSpPr>
      <xdr:spPr>
        <a:xfrm>
          <a:off x="28575" y="866775"/>
          <a:ext cx="415290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167</xdr:row>
      <xdr:rowOff>0</xdr:rowOff>
    </xdr:from>
    <xdr:to>
      <xdr:col>1</xdr:col>
      <xdr:colOff>0</xdr:colOff>
      <xdr:row>167</xdr:row>
      <xdr:rowOff>0</xdr:rowOff>
    </xdr:to>
    <xdr:sp>
      <xdr:nvSpPr>
        <xdr:cNvPr id="23" name="Line 23"/>
        <xdr:cNvSpPr>
          <a:spLocks/>
        </xdr:cNvSpPr>
      </xdr:nvSpPr>
      <xdr:spPr>
        <a:xfrm>
          <a:off x="28575" y="3815715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24" name="Line 24"/>
        <xdr:cNvSpPr>
          <a:spLocks/>
        </xdr:cNvSpPr>
      </xdr:nvSpPr>
      <xdr:spPr>
        <a:xfrm>
          <a:off x="28575" y="113823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167</xdr:row>
      <xdr:rowOff>0</xdr:rowOff>
    </xdr:from>
    <xdr:to>
      <xdr:col>1</xdr:col>
      <xdr:colOff>0</xdr:colOff>
      <xdr:row>167</xdr:row>
      <xdr:rowOff>0</xdr:rowOff>
    </xdr:to>
    <xdr:sp>
      <xdr:nvSpPr>
        <xdr:cNvPr id="25" name="Line 25"/>
        <xdr:cNvSpPr>
          <a:spLocks/>
        </xdr:cNvSpPr>
      </xdr:nvSpPr>
      <xdr:spPr>
        <a:xfrm>
          <a:off x="28575" y="3815715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6" name="Line 26"/>
        <xdr:cNvSpPr>
          <a:spLocks/>
        </xdr:cNvSpPr>
      </xdr:nvSpPr>
      <xdr:spPr>
        <a:xfrm>
          <a:off x="28575" y="492537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27" name="Line 27"/>
        <xdr:cNvSpPr>
          <a:spLocks/>
        </xdr:cNvSpPr>
      </xdr:nvSpPr>
      <xdr:spPr>
        <a:xfrm>
          <a:off x="28575" y="113823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28" name="Line 28"/>
        <xdr:cNvSpPr>
          <a:spLocks/>
        </xdr:cNvSpPr>
      </xdr:nvSpPr>
      <xdr:spPr>
        <a:xfrm>
          <a:off x="28575" y="607790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29" name="Line 29"/>
        <xdr:cNvSpPr>
          <a:spLocks/>
        </xdr:cNvSpPr>
      </xdr:nvSpPr>
      <xdr:spPr>
        <a:xfrm>
          <a:off x="28575" y="113823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30" name="Line 30"/>
        <xdr:cNvSpPr>
          <a:spLocks/>
        </xdr:cNvSpPr>
      </xdr:nvSpPr>
      <xdr:spPr>
        <a:xfrm>
          <a:off x="28575" y="492537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31" name="Line 31"/>
        <xdr:cNvSpPr>
          <a:spLocks/>
        </xdr:cNvSpPr>
      </xdr:nvSpPr>
      <xdr:spPr>
        <a:xfrm>
          <a:off x="28575" y="492537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2" name="Line 32"/>
        <xdr:cNvSpPr>
          <a:spLocks/>
        </xdr:cNvSpPr>
      </xdr:nvSpPr>
      <xdr:spPr>
        <a:xfrm>
          <a:off x="28575" y="607790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3" name="Line 33"/>
        <xdr:cNvSpPr>
          <a:spLocks/>
        </xdr:cNvSpPr>
      </xdr:nvSpPr>
      <xdr:spPr>
        <a:xfrm>
          <a:off x="28575" y="607790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34" name="Line 34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35" name="Line 35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36" name="Line 36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37" name="Line 37"/>
        <xdr:cNvSpPr>
          <a:spLocks/>
        </xdr:cNvSpPr>
      </xdr:nvSpPr>
      <xdr:spPr>
        <a:xfrm>
          <a:off x="28575" y="728853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38" name="Line 38"/>
        <xdr:cNvSpPr>
          <a:spLocks/>
        </xdr:cNvSpPr>
      </xdr:nvSpPr>
      <xdr:spPr>
        <a:xfrm>
          <a:off x="28575" y="728853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39" name="Line 39"/>
        <xdr:cNvSpPr>
          <a:spLocks/>
        </xdr:cNvSpPr>
      </xdr:nvSpPr>
      <xdr:spPr>
        <a:xfrm>
          <a:off x="28575" y="728853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346</xdr:row>
      <xdr:rowOff>0</xdr:rowOff>
    </xdr:from>
    <xdr:to>
      <xdr:col>1</xdr:col>
      <xdr:colOff>0</xdr:colOff>
      <xdr:row>346</xdr:row>
      <xdr:rowOff>0</xdr:rowOff>
    </xdr:to>
    <xdr:sp>
      <xdr:nvSpPr>
        <xdr:cNvPr id="40" name="Line 40"/>
        <xdr:cNvSpPr>
          <a:spLocks/>
        </xdr:cNvSpPr>
      </xdr:nvSpPr>
      <xdr:spPr>
        <a:xfrm>
          <a:off x="28575" y="812673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346</xdr:row>
      <xdr:rowOff>0</xdr:rowOff>
    </xdr:from>
    <xdr:to>
      <xdr:col>1</xdr:col>
      <xdr:colOff>0</xdr:colOff>
      <xdr:row>346</xdr:row>
      <xdr:rowOff>0</xdr:rowOff>
    </xdr:to>
    <xdr:sp>
      <xdr:nvSpPr>
        <xdr:cNvPr id="41" name="Line 41"/>
        <xdr:cNvSpPr>
          <a:spLocks/>
        </xdr:cNvSpPr>
      </xdr:nvSpPr>
      <xdr:spPr>
        <a:xfrm>
          <a:off x="28575" y="812673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346</xdr:row>
      <xdr:rowOff>0</xdr:rowOff>
    </xdr:from>
    <xdr:to>
      <xdr:col>1</xdr:col>
      <xdr:colOff>0</xdr:colOff>
      <xdr:row>346</xdr:row>
      <xdr:rowOff>0</xdr:rowOff>
    </xdr:to>
    <xdr:sp>
      <xdr:nvSpPr>
        <xdr:cNvPr id="42" name="Line 42"/>
        <xdr:cNvSpPr>
          <a:spLocks/>
        </xdr:cNvSpPr>
      </xdr:nvSpPr>
      <xdr:spPr>
        <a:xfrm>
          <a:off x="28575" y="812673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43" name="Line 43"/>
        <xdr:cNvSpPr>
          <a:spLocks/>
        </xdr:cNvSpPr>
      </xdr:nvSpPr>
      <xdr:spPr>
        <a:xfrm>
          <a:off x="28575" y="866775"/>
          <a:ext cx="415290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44" name="Line 44"/>
        <xdr:cNvSpPr>
          <a:spLocks/>
        </xdr:cNvSpPr>
      </xdr:nvSpPr>
      <xdr:spPr>
        <a:xfrm>
          <a:off x="28575" y="113823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</xdr:row>
      <xdr:rowOff>0</xdr:rowOff>
    </xdr:from>
    <xdr:to>
      <xdr:col>1</xdr:col>
      <xdr:colOff>0</xdr:colOff>
      <xdr:row>35</xdr:row>
      <xdr:rowOff>0</xdr:rowOff>
    </xdr:to>
    <xdr:sp>
      <xdr:nvSpPr>
        <xdr:cNvPr id="45" name="Line 45"/>
        <xdr:cNvSpPr>
          <a:spLocks/>
        </xdr:cNvSpPr>
      </xdr:nvSpPr>
      <xdr:spPr>
        <a:xfrm>
          <a:off x="28575" y="74961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46" name="Line 46"/>
        <xdr:cNvSpPr>
          <a:spLocks/>
        </xdr:cNvSpPr>
      </xdr:nvSpPr>
      <xdr:spPr>
        <a:xfrm>
          <a:off x="28575" y="113823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</xdr:row>
      <xdr:rowOff>0</xdr:rowOff>
    </xdr:from>
    <xdr:to>
      <xdr:col>1</xdr:col>
      <xdr:colOff>0</xdr:colOff>
      <xdr:row>78</xdr:row>
      <xdr:rowOff>0</xdr:rowOff>
    </xdr:to>
    <xdr:sp>
      <xdr:nvSpPr>
        <xdr:cNvPr id="47" name="Line 47"/>
        <xdr:cNvSpPr>
          <a:spLocks/>
        </xdr:cNvSpPr>
      </xdr:nvSpPr>
      <xdr:spPr>
        <a:xfrm>
          <a:off x="28575" y="174593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</xdr:row>
      <xdr:rowOff>0</xdr:rowOff>
    </xdr:from>
    <xdr:to>
      <xdr:col>1</xdr:col>
      <xdr:colOff>0</xdr:colOff>
      <xdr:row>35</xdr:row>
      <xdr:rowOff>0</xdr:rowOff>
    </xdr:to>
    <xdr:sp>
      <xdr:nvSpPr>
        <xdr:cNvPr id="48" name="Line 48"/>
        <xdr:cNvSpPr>
          <a:spLocks/>
        </xdr:cNvSpPr>
      </xdr:nvSpPr>
      <xdr:spPr>
        <a:xfrm>
          <a:off x="28575" y="74961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256</xdr:row>
      <xdr:rowOff>0</xdr:rowOff>
    </xdr:from>
    <xdr:to>
      <xdr:col>1</xdr:col>
      <xdr:colOff>0</xdr:colOff>
      <xdr:row>256</xdr:row>
      <xdr:rowOff>0</xdr:rowOff>
    </xdr:to>
    <xdr:sp>
      <xdr:nvSpPr>
        <xdr:cNvPr id="49" name="Line 49"/>
        <xdr:cNvSpPr>
          <a:spLocks/>
        </xdr:cNvSpPr>
      </xdr:nvSpPr>
      <xdr:spPr>
        <a:xfrm>
          <a:off x="28575" y="5941695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</xdr:row>
      <xdr:rowOff>0</xdr:rowOff>
    </xdr:from>
    <xdr:to>
      <xdr:col>1</xdr:col>
      <xdr:colOff>0</xdr:colOff>
      <xdr:row>35</xdr:row>
      <xdr:rowOff>0</xdr:rowOff>
    </xdr:to>
    <xdr:sp>
      <xdr:nvSpPr>
        <xdr:cNvPr id="50" name="Line 50"/>
        <xdr:cNvSpPr>
          <a:spLocks/>
        </xdr:cNvSpPr>
      </xdr:nvSpPr>
      <xdr:spPr>
        <a:xfrm>
          <a:off x="28575" y="74961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</xdr:row>
      <xdr:rowOff>0</xdr:rowOff>
    </xdr:from>
    <xdr:to>
      <xdr:col>1</xdr:col>
      <xdr:colOff>0</xdr:colOff>
      <xdr:row>78</xdr:row>
      <xdr:rowOff>0</xdr:rowOff>
    </xdr:to>
    <xdr:sp>
      <xdr:nvSpPr>
        <xdr:cNvPr id="51" name="Line 51"/>
        <xdr:cNvSpPr>
          <a:spLocks/>
        </xdr:cNvSpPr>
      </xdr:nvSpPr>
      <xdr:spPr>
        <a:xfrm>
          <a:off x="28575" y="174593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</xdr:row>
      <xdr:rowOff>0</xdr:rowOff>
    </xdr:from>
    <xdr:to>
      <xdr:col>1</xdr:col>
      <xdr:colOff>0</xdr:colOff>
      <xdr:row>78</xdr:row>
      <xdr:rowOff>0</xdr:rowOff>
    </xdr:to>
    <xdr:sp>
      <xdr:nvSpPr>
        <xdr:cNvPr id="52" name="Line 52"/>
        <xdr:cNvSpPr>
          <a:spLocks/>
        </xdr:cNvSpPr>
      </xdr:nvSpPr>
      <xdr:spPr>
        <a:xfrm>
          <a:off x="28575" y="174593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256</xdr:row>
      <xdr:rowOff>0</xdr:rowOff>
    </xdr:from>
    <xdr:to>
      <xdr:col>1</xdr:col>
      <xdr:colOff>0</xdr:colOff>
      <xdr:row>256</xdr:row>
      <xdr:rowOff>0</xdr:rowOff>
    </xdr:to>
    <xdr:sp>
      <xdr:nvSpPr>
        <xdr:cNvPr id="53" name="Line 53"/>
        <xdr:cNvSpPr>
          <a:spLocks/>
        </xdr:cNvSpPr>
      </xdr:nvSpPr>
      <xdr:spPr>
        <a:xfrm>
          <a:off x="28575" y="5941695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256</xdr:row>
      <xdr:rowOff>0</xdr:rowOff>
    </xdr:from>
    <xdr:to>
      <xdr:col>1</xdr:col>
      <xdr:colOff>0</xdr:colOff>
      <xdr:row>256</xdr:row>
      <xdr:rowOff>0</xdr:rowOff>
    </xdr:to>
    <xdr:sp>
      <xdr:nvSpPr>
        <xdr:cNvPr id="54" name="Line 54"/>
        <xdr:cNvSpPr>
          <a:spLocks/>
        </xdr:cNvSpPr>
      </xdr:nvSpPr>
      <xdr:spPr>
        <a:xfrm>
          <a:off x="28575" y="5941695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55" name="Line 55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56" name="Line 56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57" name="Line 57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58" name="Line 58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59" name="Line 59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60" name="Line 60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61" name="Line 61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62" name="Line 62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63" name="Line 63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64" name="Line 64"/>
        <xdr:cNvSpPr>
          <a:spLocks/>
        </xdr:cNvSpPr>
      </xdr:nvSpPr>
      <xdr:spPr>
        <a:xfrm>
          <a:off x="28575" y="866775"/>
          <a:ext cx="415290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65" name="Line 65"/>
        <xdr:cNvSpPr>
          <a:spLocks/>
        </xdr:cNvSpPr>
      </xdr:nvSpPr>
      <xdr:spPr>
        <a:xfrm>
          <a:off x="28575" y="113823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</xdr:row>
      <xdr:rowOff>0</xdr:rowOff>
    </xdr:from>
    <xdr:to>
      <xdr:col>1</xdr:col>
      <xdr:colOff>0</xdr:colOff>
      <xdr:row>35</xdr:row>
      <xdr:rowOff>0</xdr:rowOff>
    </xdr:to>
    <xdr:sp>
      <xdr:nvSpPr>
        <xdr:cNvPr id="66" name="Line 66"/>
        <xdr:cNvSpPr>
          <a:spLocks/>
        </xdr:cNvSpPr>
      </xdr:nvSpPr>
      <xdr:spPr>
        <a:xfrm>
          <a:off x="28575" y="74961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67" name="Line 67"/>
        <xdr:cNvSpPr>
          <a:spLocks/>
        </xdr:cNvSpPr>
      </xdr:nvSpPr>
      <xdr:spPr>
        <a:xfrm>
          <a:off x="28575" y="113823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</xdr:row>
      <xdr:rowOff>0</xdr:rowOff>
    </xdr:from>
    <xdr:to>
      <xdr:col>1</xdr:col>
      <xdr:colOff>0</xdr:colOff>
      <xdr:row>78</xdr:row>
      <xdr:rowOff>0</xdr:rowOff>
    </xdr:to>
    <xdr:sp>
      <xdr:nvSpPr>
        <xdr:cNvPr id="68" name="Line 68"/>
        <xdr:cNvSpPr>
          <a:spLocks/>
        </xdr:cNvSpPr>
      </xdr:nvSpPr>
      <xdr:spPr>
        <a:xfrm>
          <a:off x="28575" y="174593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</xdr:row>
      <xdr:rowOff>0</xdr:rowOff>
    </xdr:from>
    <xdr:to>
      <xdr:col>1</xdr:col>
      <xdr:colOff>0</xdr:colOff>
      <xdr:row>35</xdr:row>
      <xdr:rowOff>0</xdr:rowOff>
    </xdr:to>
    <xdr:sp>
      <xdr:nvSpPr>
        <xdr:cNvPr id="69" name="Line 69"/>
        <xdr:cNvSpPr>
          <a:spLocks/>
        </xdr:cNvSpPr>
      </xdr:nvSpPr>
      <xdr:spPr>
        <a:xfrm>
          <a:off x="28575" y="74961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256</xdr:row>
      <xdr:rowOff>0</xdr:rowOff>
    </xdr:from>
    <xdr:to>
      <xdr:col>1</xdr:col>
      <xdr:colOff>0</xdr:colOff>
      <xdr:row>256</xdr:row>
      <xdr:rowOff>0</xdr:rowOff>
    </xdr:to>
    <xdr:sp>
      <xdr:nvSpPr>
        <xdr:cNvPr id="70" name="Line 70"/>
        <xdr:cNvSpPr>
          <a:spLocks/>
        </xdr:cNvSpPr>
      </xdr:nvSpPr>
      <xdr:spPr>
        <a:xfrm>
          <a:off x="28575" y="5941695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</xdr:row>
      <xdr:rowOff>0</xdr:rowOff>
    </xdr:from>
    <xdr:to>
      <xdr:col>1</xdr:col>
      <xdr:colOff>0</xdr:colOff>
      <xdr:row>35</xdr:row>
      <xdr:rowOff>0</xdr:rowOff>
    </xdr:to>
    <xdr:sp>
      <xdr:nvSpPr>
        <xdr:cNvPr id="71" name="Line 71"/>
        <xdr:cNvSpPr>
          <a:spLocks/>
        </xdr:cNvSpPr>
      </xdr:nvSpPr>
      <xdr:spPr>
        <a:xfrm>
          <a:off x="28575" y="74961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</xdr:row>
      <xdr:rowOff>0</xdr:rowOff>
    </xdr:from>
    <xdr:to>
      <xdr:col>1</xdr:col>
      <xdr:colOff>0</xdr:colOff>
      <xdr:row>78</xdr:row>
      <xdr:rowOff>0</xdr:rowOff>
    </xdr:to>
    <xdr:sp>
      <xdr:nvSpPr>
        <xdr:cNvPr id="72" name="Line 72"/>
        <xdr:cNvSpPr>
          <a:spLocks/>
        </xdr:cNvSpPr>
      </xdr:nvSpPr>
      <xdr:spPr>
        <a:xfrm>
          <a:off x="28575" y="174593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</xdr:row>
      <xdr:rowOff>0</xdr:rowOff>
    </xdr:from>
    <xdr:to>
      <xdr:col>1</xdr:col>
      <xdr:colOff>0</xdr:colOff>
      <xdr:row>78</xdr:row>
      <xdr:rowOff>0</xdr:rowOff>
    </xdr:to>
    <xdr:sp>
      <xdr:nvSpPr>
        <xdr:cNvPr id="73" name="Line 73"/>
        <xdr:cNvSpPr>
          <a:spLocks/>
        </xdr:cNvSpPr>
      </xdr:nvSpPr>
      <xdr:spPr>
        <a:xfrm>
          <a:off x="28575" y="174593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256</xdr:row>
      <xdr:rowOff>0</xdr:rowOff>
    </xdr:from>
    <xdr:to>
      <xdr:col>1</xdr:col>
      <xdr:colOff>0</xdr:colOff>
      <xdr:row>256</xdr:row>
      <xdr:rowOff>0</xdr:rowOff>
    </xdr:to>
    <xdr:sp>
      <xdr:nvSpPr>
        <xdr:cNvPr id="74" name="Line 74"/>
        <xdr:cNvSpPr>
          <a:spLocks/>
        </xdr:cNvSpPr>
      </xdr:nvSpPr>
      <xdr:spPr>
        <a:xfrm>
          <a:off x="28575" y="5941695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256</xdr:row>
      <xdr:rowOff>0</xdr:rowOff>
    </xdr:from>
    <xdr:to>
      <xdr:col>1</xdr:col>
      <xdr:colOff>0</xdr:colOff>
      <xdr:row>256</xdr:row>
      <xdr:rowOff>0</xdr:rowOff>
    </xdr:to>
    <xdr:sp>
      <xdr:nvSpPr>
        <xdr:cNvPr id="75" name="Line 75"/>
        <xdr:cNvSpPr>
          <a:spLocks/>
        </xdr:cNvSpPr>
      </xdr:nvSpPr>
      <xdr:spPr>
        <a:xfrm>
          <a:off x="28575" y="5941695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76" name="Line 76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77" name="Line 77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78" name="Line 78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79" name="Line 79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80" name="Line 80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81" name="Line 81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82" name="Line 82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83" name="Line 83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84" name="Line 84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85" name="Line 85"/>
        <xdr:cNvSpPr>
          <a:spLocks/>
        </xdr:cNvSpPr>
      </xdr:nvSpPr>
      <xdr:spPr>
        <a:xfrm>
          <a:off x="28575" y="866775"/>
          <a:ext cx="415290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86" name="Line 86"/>
        <xdr:cNvSpPr>
          <a:spLocks/>
        </xdr:cNvSpPr>
      </xdr:nvSpPr>
      <xdr:spPr>
        <a:xfrm>
          <a:off x="28575" y="113823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</xdr:row>
      <xdr:rowOff>0</xdr:rowOff>
    </xdr:from>
    <xdr:to>
      <xdr:col>1</xdr:col>
      <xdr:colOff>0</xdr:colOff>
      <xdr:row>35</xdr:row>
      <xdr:rowOff>0</xdr:rowOff>
    </xdr:to>
    <xdr:sp>
      <xdr:nvSpPr>
        <xdr:cNvPr id="87" name="Line 87"/>
        <xdr:cNvSpPr>
          <a:spLocks/>
        </xdr:cNvSpPr>
      </xdr:nvSpPr>
      <xdr:spPr>
        <a:xfrm>
          <a:off x="28575" y="74961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88" name="Line 88"/>
        <xdr:cNvSpPr>
          <a:spLocks/>
        </xdr:cNvSpPr>
      </xdr:nvSpPr>
      <xdr:spPr>
        <a:xfrm>
          <a:off x="28575" y="113823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</xdr:row>
      <xdr:rowOff>0</xdr:rowOff>
    </xdr:from>
    <xdr:to>
      <xdr:col>1</xdr:col>
      <xdr:colOff>0</xdr:colOff>
      <xdr:row>78</xdr:row>
      <xdr:rowOff>0</xdr:rowOff>
    </xdr:to>
    <xdr:sp>
      <xdr:nvSpPr>
        <xdr:cNvPr id="89" name="Line 89"/>
        <xdr:cNvSpPr>
          <a:spLocks/>
        </xdr:cNvSpPr>
      </xdr:nvSpPr>
      <xdr:spPr>
        <a:xfrm>
          <a:off x="28575" y="174593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</xdr:row>
      <xdr:rowOff>0</xdr:rowOff>
    </xdr:from>
    <xdr:to>
      <xdr:col>1</xdr:col>
      <xdr:colOff>0</xdr:colOff>
      <xdr:row>35</xdr:row>
      <xdr:rowOff>0</xdr:rowOff>
    </xdr:to>
    <xdr:sp>
      <xdr:nvSpPr>
        <xdr:cNvPr id="90" name="Line 90"/>
        <xdr:cNvSpPr>
          <a:spLocks/>
        </xdr:cNvSpPr>
      </xdr:nvSpPr>
      <xdr:spPr>
        <a:xfrm>
          <a:off x="28575" y="74961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256</xdr:row>
      <xdr:rowOff>0</xdr:rowOff>
    </xdr:from>
    <xdr:to>
      <xdr:col>1</xdr:col>
      <xdr:colOff>0</xdr:colOff>
      <xdr:row>256</xdr:row>
      <xdr:rowOff>0</xdr:rowOff>
    </xdr:to>
    <xdr:sp>
      <xdr:nvSpPr>
        <xdr:cNvPr id="91" name="Line 91"/>
        <xdr:cNvSpPr>
          <a:spLocks/>
        </xdr:cNvSpPr>
      </xdr:nvSpPr>
      <xdr:spPr>
        <a:xfrm>
          <a:off x="28575" y="5941695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</xdr:row>
      <xdr:rowOff>0</xdr:rowOff>
    </xdr:from>
    <xdr:to>
      <xdr:col>1</xdr:col>
      <xdr:colOff>0</xdr:colOff>
      <xdr:row>35</xdr:row>
      <xdr:rowOff>0</xdr:rowOff>
    </xdr:to>
    <xdr:sp>
      <xdr:nvSpPr>
        <xdr:cNvPr id="92" name="Line 92"/>
        <xdr:cNvSpPr>
          <a:spLocks/>
        </xdr:cNvSpPr>
      </xdr:nvSpPr>
      <xdr:spPr>
        <a:xfrm>
          <a:off x="28575" y="74961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</xdr:row>
      <xdr:rowOff>0</xdr:rowOff>
    </xdr:from>
    <xdr:to>
      <xdr:col>1</xdr:col>
      <xdr:colOff>0</xdr:colOff>
      <xdr:row>78</xdr:row>
      <xdr:rowOff>0</xdr:rowOff>
    </xdr:to>
    <xdr:sp>
      <xdr:nvSpPr>
        <xdr:cNvPr id="93" name="Line 93"/>
        <xdr:cNvSpPr>
          <a:spLocks/>
        </xdr:cNvSpPr>
      </xdr:nvSpPr>
      <xdr:spPr>
        <a:xfrm>
          <a:off x="28575" y="174593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</xdr:row>
      <xdr:rowOff>0</xdr:rowOff>
    </xdr:from>
    <xdr:to>
      <xdr:col>1</xdr:col>
      <xdr:colOff>0</xdr:colOff>
      <xdr:row>78</xdr:row>
      <xdr:rowOff>0</xdr:rowOff>
    </xdr:to>
    <xdr:sp>
      <xdr:nvSpPr>
        <xdr:cNvPr id="94" name="Line 94"/>
        <xdr:cNvSpPr>
          <a:spLocks/>
        </xdr:cNvSpPr>
      </xdr:nvSpPr>
      <xdr:spPr>
        <a:xfrm>
          <a:off x="28575" y="174593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256</xdr:row>
      <xdr:rowOff>0</xdr:rowOff>
    </xdr:from>
    <xdr:to>
      <xdr:col>1</xdr:col>
      <xdr:colOff>0</xdr:colOff>
      <xdr:row>256</xdr:row>
      <xdr:rowOff>0</xdr:rowOff>
    </xdr:to>
    <xdr:sp>
      <xdr:nvSpPr>
        <xdr:cNvPr id="95" name="Line 95"/>
        <xdr:cNvSpPr>
          <a:spLocks/>
        </xdr:cNvSpPr>
      </xdr:nvSpPr>
      <xdr:spPr>
        <a:xfrm>
          <a:off x="28575" y="5941695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256</xdr:row>
      <xdr:rowOff>0</xdr:rowOff>
    </xdr:from>
    <xdr:to>
      <xdr:col>1</xdr:col>
      <xdr:colOff>0</xdr:colOff>
      <xdr:row>256</xdr:row>
      <xdr:rowOff>0</xdr:rowOff>
    </xdr:to>
    <xdr:sp>
      <xdr:nvSpPr>
        <xdr:cNvPr id="96" name="Line 96"/>
        <xdr:cNvSpPr>
          <a:spLocks/>
        </xdr:cNvSpPr>
      </xdr:nvSpPr>
      <xdr:spPr>
        <a:xfrm>
          <a:off x="28575" y="5941695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97" name="Line 97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98" name="Line 98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99" name="Line 99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100" name="Line 100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101" name="Line 101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102" name="Line 102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103" name="Line 103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104" name="Line 104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105" name="Line 105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106" name="Line 106"/>
        <xdr:cNvSpPr>
          <a:spLocks/>
        </xdr:cNvSpPr>
      </xdr:nvSpPr>
      <xdr:spPr>
        <a:xfrm>
          <a:off x="28575" y="866775"/>
          <a:ext cx="415290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107" name="Line 107"/>
        <xdr:cNvSpPr>
          <a:spLocks/>
        </xdr:cNvSpPr>
      </xdr:nvSpPr>
      <xdr:spPr>
        <a:xfrm>
          <a:off x="28575" y="113823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</xdr:row>
      <xdr:rowOff>0</xdr:rowOff>
    </xdr:from>
    <xdr:to>
      <xdr:col>1</xdr:col>
      <xdr:colOff>0</xdr:colOff>
      <xdr:row>35</xdr:row>
      <xdr:rowOff>0</xdr:rowOff>
    </xdr:to>
    <xdr:sp>
      <xdr:nvSpPr>
        <xdr:cNvPr id="108" name="Line 108"/>
        <xdr:cNvSpPr>
          <a:spLocks/>
        </xdr:cNvSpPr>
      </xdr:nvSpPr>
      <xdr:spPr>
        <a:xfrm>
          <a:off x="28575" y="74961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109" name="Line 109"/>
        <xdr:cNvSpPr>
          <a:spLocks/>
        </xdr:cNvSpPr>
      </xdr:nvSpPr>
      <xdr:spPr>
        <a:xfrm>
          <a:off x="28575" y="113823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</xdr:row>
      <xdr:rowOff>0</xdr:rowOff>
    </xdr:from>
    <xdr:to>
      <xdr:col>1</xdr:col>
      <xdr:colOff>0</xdr:colOff>
      <xdr:row>78</xdr:row>
      <xdr:rowOff>0</xdr:rowOff>
    </xdr:to>
    <xdr:sp>
      <xdr:nvSpPr>
        <xdr:cNvPr id="110" name="Line 110"/>
        <xdr:cNvSpPr>
          <a:spLocks/>
        </xdr:cNvSpPr>
      </xdr:nvSpPr>
      <xdr:spPr>
        <a:xfrm>
          <a:off x="28575" y="174593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</xdr:row>
      <xdr:rowOff>0</xdr:rowOff>
    </xdr:from>
    <xdr:to>
      <xdr:col>1</xdr:col>
      <xdr:colOff>0</xdr:colOff>
      <xdr:row>35</xdr:row>
      <xdr:rowOff>0</xdr:rowOff>
    </xdr:to>
    <xdr:sp>
      <xdr:nvSpPr>
        <xdr:cNvPr id="111" name="Line 111"/>
        <xdr:cNvSpPr>
          <a:spLocks/>
        </xdr:cNvSpPr>
      </xdr:nvSpPr>
      <xdr:spPr>
        <a:xfrm>
          <a:off x="28575" y="74961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256</xdr:row>
      <xdr:rowOff>0</xdr:rowOff>
    </xdr:from>
    <xdr:to>
      <xdr:col>1</xdr:col>
      <xdr:colOff>0</xdr:colOff>
      <xdr:row>256</xdr:row>
      <xdr:rowOff>0</xdr:rowOff>
    </xdr:to>
    <xdr:sp>
      <xdr:nvSpPr>
        <xdr:cNvPr id="112" name="Line 112"/>
        <xdr:cNvSpPr>
          <a:spLocks/>
        </xdr:cNvSpPr>
      </xdr:nvSpPr>
      <xdr:spPr>
        <a:xfrm>
          <a:off x="28575" y="5941695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</xdr:row>
      <xdr:rowOff>0</xdr:rowOff>
    </xdr:from>
    <xdr:to>
      <xdr:col>1</xdr:col>
      <xdr:colOff>0</xdr:colOff>
      <xdr:row>35</xdr:row>
      <xdr:rowOff>0</xdr:rowOff>
    </xdr:to>
    <xdr:sp>
      <xdr:nvSpPr>
        <xdr:cNvPr id="113" name="Line 113"/>
        <xdr:cNvSpPr>
          <a:spLocks/>
        </xdr:cNvSpPr>
      </xdr:nvSpPr>
      <xdr:spPr>
        <a:xfrm>
          <a:off x="28575" y="74961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</xdr:row>
      <xdr:rowOff>0</xdr:rowOff>
    </xdr:from>
    <xdr:to>
      <xdr:col>1</xdr:col>
      <xdr:colOff>0</xdr:colOff>
      <xdr:row>78</xdr:row>
      <xdr:rowOff>0</xdr:rowOff>
    </xdr:to>
    <xdr:sp>
      <xdr:nvSpPr>
        <xdr:cNvPr id="114" name="Line 114"/>
        <xdr:cNvSpPr>
          <a:spLocks/>
        </xdr:cNvSpPr>
      </xdr:nvSpPr>
      <xdr:spPr>
        <a:xfrm>
          <a:off x="28575" y="174593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</xdr:row>
      <xdr:rowOff>0</xdr:rowOff>
    </xdr:from>
    <xdr:to>
      <xdr:col>1</xdr:col>
      <xdr:colOff>0</xdr:colOff>
      <xdr:row>78</xdr:row>
      <xdr:rowOff>0</xdr:rowOff>
    </xdr:to>
    <xdr:sp>
      <xdr:nvSpPr>
        <xdr:cNvPr id="115" name="Line 115"/>
        <xdr:cNvSpPr>
          <a:spLocks/>
        </xdr:cNvSpPr>
      </xdr:nvSpPr>
      <xdr:spPr>
        <a:xfrm>
          <a:off x="28575" y="174593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256</xdr:row>
      <xdr:rowOff>0</xdr:rowOff>
    </xdr:from>
    <xdr:to>
      <xdr:col>1</xdr:col>
      <xdr:colOff>0</xdr:colOff>
      <xdr:row>256</xdr:row>
      <xdr:rowOff>0</xdr:rowOff>
    </xdr:to>
    <xdr:sp>
      <xdr:nvSpPr>
        <xdr:cNvPr id="116" name="Line 116"/>
        <xdr:cNvSpPr>
          <a:spLocks/>
        </xdr:cNvSpPr>
      </xdr:nvSpPr>
      <xdr:spPr>
        <a:xfrm>
          <a:off x="28575" y="5941695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256</xdr:row>
      <xdr:rowOff>0</xdr:rowOff>
    </xdr:from>
    <xdr:to>
      <xdr:col>1</xdr:col>
      <xdr:colOff>0</xdr:colOff>
      <xdr:row>256</xdr:row>
      <xdr:rowOff>0</xdr:rowOff>
    </xdr:to>
    <xdr:sp>
      <xdr:nvSpPr>
        <xdr:cNvPr id="117" name="Line 117"/>
        <xdr:cNvSpPr>
          <a:spLocks/>
        </xdr:cNvSpPr>
      </xdr:nvSpPr>
      <xdr:spPr>
        <a:xfrm>
          <a:off x="28575" y="5941695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118" name="Line 118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119" name="Line 119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120" name="Line 120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121" name="Line 121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122" name="Line 122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123" name="Line 123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124" name="Line 124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125" name="Line 125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126" name="Line 126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127" name="Line 127"/>
        <xdr:cNvSpPr>
          <a:spLocks/>
        </xdr:cNvSpPr>
      </xdr:nvSpPr>
      <xdr:spPr>
        <a:xfrm>
          <a:off x="28575" y="866775"/>
          <a:ext cx="415290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128" name="Line 128"/>
        <xdr:cNvSpPr>
          <a:spLocks/>
        </xdr:cNvSpPr>
      </xdr:nvSpPr>
      <xdr:spPr>
        <a:xfrm>
          <a:off x="28575" y="113823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</xdr:row>
      <xdr:rowOff>0</xdr:rowOff>
    </xdr:from>
    <xdr:to>
      <xdr:col>1</xdr:col>
      <xdr:colOff>0</xdr:colOff>
      <xdr:row>35</xdr:row>
      <xdr:rowOff>0</xdr:rowOff>
    </xdr:to>
    <xdr:sp>
      <xdr:nvSpPr>
        <xdr:cNvPr id="129" name="Line 129"/>
        <xdr:cNvSpPr>
          <a:spLocks/>
        </xdr:cNvSpPr>
      </xdr:nvSpPr>
      <xdr:spPr>
        <a:xfrm>
          <a:off x="28575" y="74961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130" name="Line 130"/>
        <xdr:cNvSpPr>
          <a:spLocks/>
        </xdr:cNvSpPr>
      </xdr:nvSpPr>
      <xdr:spPr>
        <a:xfrm>
          <a:off x="28575" y="113823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</xdr:row>
      <xdr:rowOff>0</xdr:rowOff>
    </xdr:from>
    <xdr:to>
      <xdr:col>1</xdr:col>
      <xdr:colOff>0</xdr:colOff>
      <xdr:row>78</xdr:row>
      <xdr:rowOff>0</xdr:rowOff>
    </xdr:to>
    <xdr:sp>
      <xdr:nvSpPr>
        <xdr:cNvPr id="131" name="Line 131"/>
        <xdr:cNvSpPr>
          <a:spLocks/>
        </xdr:cNvSpPr>
      </xdr:nvSpPr>
      <xdr:spPr>
        <a:xfrm>
          <a:off x="28575" y="174593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</xdr:row>
      <xdr:rowOff>0</xdr:rowOff>
    </xdr:from>
    <xdr:to>
      <xdr:col>1</xdr:col>
      <xdr:colOff>0</xdr:colOff>
      <xdr:row>35</xdr:row>
      <xdr:rowOff>0</xdr:rowOff>
    </xdr:to>
    <xdr:sp>
      <xdr:nvSpPr>
        <xdr:cNvPr id="132" name="Line 132"/>
        <xdr:cNvSpPr>
          <a:spLocks/>
        </xdr:cNvSpPr>
      </xdr:nvSpPr>
      <xdr:spPr>
        <a:xfrm>
          <a:off x="28575" y="74961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256</xdr:row>
      <xdr:rowOff>0</xdr:rowOff>
    </xdr:from>
    <xdr:to>
      <xdr:col>1</xdr:col>
      <xdr:colOff>0</xdr:colOff>
      <xdr:row>256</xdr:row>
      <xdr:rowOff>0</xdr:rowOff>
    </xdr:to>
    <xdr:sp>
      <xdr:nvSpPr>
        <xdr:cNvPr id="133" name="Line 133"/>
        <xdr:cNvSpPr>
          <a:spLocks/>
        </xdr:cNvSpPr>
      </xdr:nvSpPr>
      <xdr:spPr>
        <a:xfrm>
          <a:off x="28575" y="5941695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</xdr:row>
      <xdr:rowOff>0</xdr:rowOff>
    </xdr:from>
    <xdr:to>
      <xdr:col>1</xdr:col>
      <xdr:colOff>0</xdr:colOff>
      <xdr:row>35</xdr:row>
      <xdr:rowOff>0</xdr:rowOff>
    </xdr:to>
    <xdr:sp>
      <xdr:nvSpPr>
        <xdr:cNvPr id="134" name="Line 134"/>
        <xdr:cNvSpPr>
          <a:spLocks/>
        </xdr:cNvSpPr>
      </xdr:nvSpPr>
      <xdr:spPr>
        <a:xfrm>
          <a:off x="28575" y="74961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</xdr:row>
      <xdr:rowOff>0</xdr:rowOff>
    </xdr:from>
    <xdr:to>
      <xdr:col>1</xdr:col>
      <xdr:colOff>0</xdr:colOff>
      <xdr:row>78</xdr:row>
      <xdr:rowOff>0</xdr:rowOff>
    </xdr:to>
    <xdr:sp>
      <xdr:nvSpPr>
        <xdr:cNvPr id="135" name="Line 135"/>
        <xdr:cNvSpPr>
          <a:spLocks/>
        </xdr:cNvSpPr>
      </xdr:nvSpPr>
      <xdr:spPr>
        <a:xfrm>
          <a:off x="28575" y="174593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</xdr:row>
      <xdr:rowOff>0</xdr:rowOff>
    </xdr:from>
    <xdr:to>
      <xdr:col>1</xdr:col>
      <xdr:colOff>0</xdr:colOff>
      <xdr:row>78</xdr:row>
      <xdr:rowOff>0</xdr:rowOff>
    </xdr:to>
    <xdr:sp>
      <xdr:nvSpPr>
        <xdr:cNvPr id="136" name="Line 136"/>
        <xdr:cNvSpPr>
          <a:spLocks/>
        </xdr:cNvSpPr>
      </xdr:nvSpPr>
      <xdr:spPr>
        <a:xfrm>
          <a:off x="28575" y="174593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256</xdr:row>
      <xdr:rowOff>0</xdr:rowOff>
    </xdr:from>
    <xdr:to>
      <xdr:col>1</xdr:col>
      <xdr:colOff>0</xdr:colOff>
      <xdr:row>256</xdr:row>
      <xdr:rowOff>0</xdr:rowOff>
    </xdr:to>
    <xdr:sp>
      <xdr:nvSpPr>
        <xdr:cNvPr id="137" name="Line 137"/>
        <xdr:cNvSpPr>
          <a:spLocks/>
        </xdr:cNvSpPr>
      </xdr:nvSpPr>
      <xdr:spPr>
        <a:xfrm>
          <a:off x="28575" y="5941695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256</xdr:row>
      <xdr:rowOff>0</xdr:rowOff>
    </xdr:from>
    <xdr:to>
      <xdr:col>1</xdr:col>
      <xdr:colOff>0</xdr:colOff>
      <xdr:row>256</xdr:row>
      <xdr:rowOff>0</xdr:rowOff>
    </xdr:to>
    <xdr:sp>
      <xdr:nvSpPr>
        <xdr:cNvPr id="138" name="Line 138"/>
        <xdr:cNvSpPr>
          <a:spLocks/>
        </xdr:cNvSpPr>
      </xdr:nvSpPr>
      <xdr:spPr>
        <a:xfrm>
          <a:off x="28575" y="5941695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139" name="Line 139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140" name="Line 140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141" name="Line 141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142" name="Line 142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143" name="Line 143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144" name="Line 144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145" name="Line 145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146" name="Line 146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147" name="Line 147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8575" y="866775"/>
          <a:ext cx="415290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575" y="202311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</xdr:row>
      <xdr:rowOff>0</xdr:rowOff>
    </xdr:from>
    <xdr:to>
      <xdr:col>1</xdr:col>
      <xdr:colOff>0</xdr:colOff>
      <xdr:row>37</xdr:row>
      <xdr:rowOff>0</xdr:rowOff>
    </xdr:to>
    <xdr:sp>
      <xdr:nvSpPr>
        <xdr:cNvPr id="150" name="Line 150"/>
        <xdr:cNvSpPr>
          <a:spLocks/>
        </xdr:cNvSpPr>
      </xdr:nvSpPr>
      <xdr:spPr>
        <a:xfrm>
          <a:off x="28575" y="79533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151" name="Line 151"/>
        <xdr:cNvSpPr>
          <a:spLocks/>
        </xdr:cNvSpPr>
      </xdr:nvSpPr>
      <xdr:spPr>
        <a:xfrm>
          <a:off x="28575" y="202311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152" name="Line 152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</xdr:row>
      <xdr:rowOff>0</xdr:rowOff>
    </xdr:from>
    <xdr:to>
      <xdr:col>1</xdr:col>
      <xdr:colOff>0</xdr:colOff>
      <xdr:row>37</xdr:row>
      <xdr:rowOff>0</xdr:rowOff>
    </xdr:to>
    <xdr:sp>
      <xdr:nvSpPr>
        <xdr:cNvPr id="153" name="Line 153"/>
        <xdr:cNvSpPr>
          <a:spLocks/>
        </xdr:cNvSpPr>
      </xdr:nvSpPr>
      <xdr:spPr>
        <a:xfrm>
          <a:off x="28575" y="79533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431</xdr:row>
      <xdr:rowOff>0</xdr:rowOff>
    </xdr:from>
    <xdr:to>
      <xdr:col>1</xdr:col>
      <xdr:colOff>0</xdr:colOff>
      <xdr:row>431</xdr:row>
      <xdr:rowOff>0</xdr:rowOff>
    </xdr:to>
    <xdr:sp>
      <xdr:nvSpPr>
        <xdr:cNvPr id="154" name="Line 154"/>
        <xdr:cNvSpPr>
          <a:spLocks/>
        </xdr:cNvSpPr>
      </xdr:nvSpPr>
      <xdr:spPr>
        <a:xfrm>
          <a:off x="28575" y="1006983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</xdr:row>
      <xdr:rowOff>0</xdr:rowOff>
    </xdr:from>
    <xdr:to>
      <xdr:col>1</xdr:col>
      <xdr:colOff>0</xdr:colOff>
      <xdr:row>37</xdr:row>
      <xdr:rowOff>0</xdr:rowOff>
    </xdr:to>
    <xdr:sp>
      <xdr:nvSpPr>
        <xdr:cNvPr id="155" name="Line 155"/>
        <xdr:cNvSpPr>
          <a:spLocks/>
        </xdr:cNvSpPr>
      </xdr:nvSpPr>
      <xdr:spPr>
        <a:xfrm>
          <a:off x="28575" y="79533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156" name="Line 156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157" name="Line 157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431</xdr:row>
      <xdr:rowOff>0</xdr:rowOff>
    </xdr:from>
    <xdr:to>
      <xdr:col>1</xdr:col>
      <xdr:colOff>0</xdr:colOff>
      <xdr:row>431</xdr:row>
      <xdr:rowOff>0</xdr:rowOff>
    </xdr:to>
    <xdr:sp>
      <xdr:nvSpPr>
        <xdr:cNvPr id="158" name="Line 158"/>
        <xdr:cNvSpPr>
          <a:spLocks/>
        </xdr:cNvSpPr>
      </xdr:nvSpPr>
      <xdr:spPr>
        <a:xfrm>
          <a:off x="28575" y="1006983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431</xdr:row>
      <xdr:rowOff>0</xdr:rowOff>
    </xdr:from>
    <xdr:to>
      <xdr:col>1</xdr:col>
      <xdr:colOff>0</xdr:colOff>
      <xdr:row>431</xdr:row>
      <xdr:rowOff>0</xdr:rowOff>
    </xdr:to>
    <xdr:sp>
      <xdr:nvSpPr>
        <xdr:cNvPr id="159" name="Line 159"/>
        <xdr:cNvSpPr>
          <a:spLocks/>
        </xdr:cNvSpPr>
      </xdr:nvSpPr>
      <xdr:spPr>
        <a:xfrm>
          <a:off x="28575" y="1006983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437</xdr:row>
      <xdr:rowOff>0</xdr:rowOff>
    </xdr:from>
    <xdr:to>
      <xdr:col>1</xdr:col>
      <xdr:colOff>0</xdr:colOff>
      <xdr:row>437</xdr:row>
      <xdr:rowOff>0</xdr:rowOff>
    </xdr:to>
    <xdr:sp>
      <xdr:nvSpPr>
        <xdr:cNvPr id="160" name="Line 160"/>
        <xdr:cNvSpPr>
          <a:spLocks/>
        </xdr:cNvSpPr>
      </xdr:nvSpPr>
      <xdr:spPr>
        <a:xfrm>
          <a:off x="28575" y="1020699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437</xdr:row>
      <xdr:rowOff>0</xdr:rowOff>
    </xdr:from>
    <xdr:to>
      <xdr:col>1</xdr:col>
      <xdr:colOff>0</xdr:colOff>
      <xdr:row>437</xdr:row>
      <xdr:rowOff>0</xdr:rowOff>
    </xdr:to>
    <xdr:sp>
      <xdr:nvSpPr>
        <xdr:cNvPr id="161" name="Line 161"/>
        <xdr:cNvSpPr>
          <a:spLocks/>
        </xdr:cNvSpPr>
      </xdr:nvSpPr>
      <xdr:spPr>
        <a:xfrm>
          <a:off x="28575" y="1020699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437</xdr:row>
      <xdr:rowOff>0</xdr:rowOff>
    </xdr:from>
    <xdr:to>
      <xdr:col>1</xdr:col>
      <xdr:colOff>0</xdr:colOff>
      <xdr:row>437</xdr:row>
      <xdr:rowOff>0</xdr:rowOff>
    </xdr:to>
    <xdr:sp>
      <xdr:nvSpPr>
        <xdr:cNvPr id="162" name="Line 162"/>
        <xdr:cNvSpPr>
          <a:spLocks/>
        </xdr:cNvSpPr>
      </xdr:nvSpPr>
      <xdr:spPr>
        <a:xfrm>
          <a:off x="28575" y="1020699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452</xdr:row>
      <xdr:rowOff>0</xdr:rowOff>
    </xdr:from>
    <xdr:to>
      <xdr:col>1</xdr:col>
      <xdr:colOff>0</xdr:colOff>
      <xdr:row>452</xdr:row>
      <xdr:rowOff>0</xdr:rowOff>
    </xdr:to>
    <xdr:sp>
      <xdr:nvSpPr>
        <xdr:cNvPr id="163" name="Line 163"/>
        <xdr:cNvSpPr>
          <a:spLocks/>
        </xdr:cNvSpPr>
      </xdr:nvSpPr>
      <xdr:spPr>
        <a:xfrm>
          <a:off x="28575" y="1057275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452</xdr:row>
      <xdr:rowOff>0</xdr:rowOff>
    </xdr:from>
    <xdr:to>
      <xdr:col>1</xdr:col>
      <xdr:colOff>0</xdr:colOff>
      <xdr:row>452</xdr:row>
      <xdr:rowOff>0</xdr:rowOff>
    </xdr:to>
    <xdr:sp>
      <xdr:nvSpPr>
        <xdr:cNvPr id="164" name="Line 164"/>
        <xdr:cNvSpPr>
          <a:spLocks/>
        </xdr:cNvSpPr>
      </xdr:nvSpPr>
      <xdr:spPr>
        <a:xfrm>
          <a:off x="28575" y="1057275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452</xdr:row>
      <xdr:rowOff>0</xdr:rowOff>
    </xdr:from>
    <xdr:to>
      <xdr:col>1</xdr:col>
      <xdr:colOff>0</xdr:colOff>
      <xdr:row>452</xdr:row>
      <xdr:rowOff>0</xdr:rowOff>
    </xdr:to>
    <xdr:sp>
      <xdr:nvSpPr>
        <xdr:cNvPr id="165" name="Line 165"/>
        <xdr:cNvSpPr>
          <a:spLocks/>
        </xdr:cNvSpPr>
      </xdr:nvSpPr>
      <xdr:spPr>
        <a:xfrm>
          <a:off x="28575" y="1057275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452</xdr:row>
      <xdr:rowOff>0</xdr:rowOff>
    </xdr:from>
    <xdr:to>
      <xdr:col>1</xdr:col>
      <xdr:colOff>0</xdr:colOff>
      <xdr:row>452</xdr:row>
      <xdr:rowOff>0</xdr:rowOff>
    </xdr:to>
    <xdr:sp>
      <xdr:nvSpPr>
        <xdr:cNvPr id="166" name="Line 166"/>
        <xdr:cNvSpPr>
          <a:spLocks/>
        </xdr:cNvSpPr>
      </xdr:nvSpPr>
      <xdr:spPr>
        <a:xfrm>
          <a:off x="28575" y="1057275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452</xdr:row>
      <xdr:rowOff>0</xdr:rowOff>
    </xdr:from>
    <xdr:to>
      <xdr:col>1</xdr:col>
      <xdr:colOff>0</xdr:colOff>
      <xdr:row>452</xdr:row>
      <xdr:rowOff>0</xdr:rowOff>
    </xdr:to>
    <xdr:sp>
      <xdr:nvSpPr>
        <xdr:cNvPr id="167" name="Line 167"/>
        <xdr:cNvSpPr>
          <a:spLocks/>
        </xdr:cNvSpPr>
      </xdr:nvSpPr>
      <xdr:spPr>
        <a:xfrm>
          <a:off x="28575" y="1057275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452</xdr:row>
      <xdr:rowOff>0</xdr:rowOff>
    </xdr:from>
    <xdr:to>
      <xdr:col>1</xdr:col>
      <xdr:colOff>0</xdr:colOff>
      <xdr:row>452</xdr:row>
      <xdr:rowOff>0</xdr:rowOff>
    </xdr:to>
    <xdr:sp>
      <xdr:nvSpPr>
        <xdr:cNvPr id="168" name="Line 168"/>
        <xdr:cNvSpPr>
          <a:spLocks/>
        </xdr:cNvSpPr>
      </xdr:nvSpPr>
      <xdr:spPr>
        <a:xfrm>
          <a:off x="28575" y="1057275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169" name="Line 169"/>
        <xdr:cNvSpPr>
          <a:spLocks/>
        </xdr:cNvSpPr>
      </xdr:nvSpPr>
      <xdr:spPr>
        <a:xfrm>
          <a:off x="28575" y="866775"/>
          <a:ext cx="415290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170" name="Line 170"/>
        <xdr:cNvSpPr>
          <a:spLocks/>
        </xdr:cNvSpPr>
      </xdr:nvSpPr>
      <xdr:spPr>
        <a:xfrm>
          <a:off x="28575" y="202311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</xdr:row>
      <xdr:rowOff>0</xdr:rowOff>
    </xdr:from>
    <xdr:to>
      <xdr:col>1</xdr:col>
      <xdr:colOff>0</xdr:colOff>
      <xdr:row>37</xdr:row>
      <xdr:rowOff>0</xdr:rowOff>
    </xdr:to>
    <xdr:sp>
      <xdr:nvSpPr>
        <xdr:cNvPr id="171" name="Line 171"/>
        <xdr:cNvSpPr>
          <a:spLocks/>
        </xdr:cNvSpPr>
      </xdr:nvSpPr>
      <xdr:spPr>
        <a:xfrm>
          <a:off x="28575" y="79533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172" name="Line 172"/>
        <xdr:cNvSpPr>
          <a:spLocks/>
        </xdr:cNvSpPr>
      </xdr:nvSpPr>
      <xdr:spPr>
        <a:xfrm>
          <a:off x="28575" y="202311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173" name="Line 173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</xdr:row>
      <xdr:rowOff>0</xdr:rowOff>
    </xdr:from>
    <xdr:to>
      <xdr:col>1</xdr:col>
      <xdr:colOff>0</xdr:colOff>
      <xdr:row>37</xdr:row>
      <xdr:rowOff>0</xdr:rowOff>
    </xdr:to>
    <xdr:sp>
      <xdr:nvSpPr>
        <xdr:cNvPr id="174" name="Line 174"/>
        <xdr:cNvSpPr>
          <a:spLocks/>
        </xdr:cNvSpPr>
      </xdr:nvSpPr>
      <xdr:spPr>
        <a:xfrm>
          <a:off x="28575" y="79533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431</xdr:row>
      <xdr:rowOff>0</xdr:rowOff>
    </xdr:from>
    <xdr:to>
      <xdr:col>1</xdr:col>
      <xdr:colOff>0</xdr:colOff>
      <xdr:row>431</xdr:row>
      <xdr:rowOff>0</xdr:rowOff>
    </xdr:to>
    <xdr:sp>
      <xdr:nvSpPr>
        <xdr:cNvPr id="175" name="Line 175"/>
        <xdr:cNvSpPr>
          <a:spLocks/>
        </xdr:cNvSpPr>
      </xdr:nvSpPr>
      <xdr:spPr>
        <a:xfrm>
          <a:off x="28575" y="1006983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</xdr:row>
      <xdr:rowOff>0</xdr:rowOff>
    </xdr:from>
    <xdr:to>
      <xdr:col>1</xdr:col>
      <xdr:colOff>0</xdr:colOff>
      <xdr:row>37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575" y="79533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177" name="Line 177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178" name="Line 178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431</xdr:row>
      <xdr:rowOff>0</xdr:rowOff>
    </xdr:from>
    <xdr:to>
      <xdr:col>1</xdr:col>
      <xdr:colOff>0</xdr:colOff>
      <xdr:row>431</xdr:row>
      <xdr:rowOff>0</xdr:rowOff>
    </xdr:to>
    <xdr:sp>
      <xdr:nvSpPr>
        <xdr:cNvPr id="179" name="Line 179"/>
        <xdr:cNvSpPr>
          <a:spLocks/>
        </xdr:cNvSpPr>
      </xdr:nvSpPr>
      <xdr:spPr>
        <a:xfrm>
          <a:off x="28575" y="1006983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431</xdr:row>
      <xdr:rowOff>0</xdr:rowOff>
    </xdr:from>
    <xdr:to>
      <xdr:col>1</xdr:col>
      <xdr:colOff>0</xdr:colOff>
      <xdr:row>431</xdr:row>
      <xdr:rowOff>0</xdr:rowOff>
    </xdr:to>
    <xdr:sp>
      <xdr:nvSpPr>
        <xdr:cNvPr id="180" name="Line 180"/>
        <xdr:cNvSpPr>
          <a:spLocks/>
        </xdr:cNvSpPr>
      </xdr:nvSpPr>
      <xdr:spPr>
        <a:xfrm>
          <a:off x="28575" y="1006983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437</xdr:row>
      <xdr:rowOff>0</xdr:rowOff>
    </xdr:from>
    <xdr:to>
      <xdr:col>1</xdr:col>
      <xdr:colOff>0</xdr:colOff>
      <xdr:row>437</xdr:row>
      <xdr:rowOff>0</xdr:rowOff>
    </xdr:to>
    <xdr:sp>
      <xdr:nvSpPr>
        <xdr:cNvPr id="181" name="Line 181"/>
        <xdr:cNvSpPr>
          <a:spLocks/>
        </xdr:cNvSpPr>
      </xdr:nvSpPr>
      <xdr:spPr>
        <a:xfrm>
          <a:off x="28575" y="1020699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437</xdr:row>
      <xdr:rowOff>0</xdr:rowOff>
    </xdr:from>
    <xdr:to>
      <xdr:col>1</xdr:col>
      <xdr:colOff>0</xdr:colOff>
      <xdr:row>437</xdr:row>
      <xdr:rowOff>0</xdr:rowOff>
    </xdr:to>
    <xdr:sp>
      <xdr:nvSpPr>
        <xdr:cNvPr id="182" name="Line 182"/>
        <xdr:cNvSpPr>
          <a:spLocks/>
        </xdr:cNvSpPr>
      </xdr:nvSpPr>
      <xdr:spPr>
        <a:xfrm>
          <a:off x="28575" y="1020699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437</xdr:row>
      <xdr:rowOff>0</xdr:rowOff>
    </xdr:from>
    <xdr:to>
      <xdr:col>1</xdr:col>
      <xdr:colOff>0</xdr:colOff>
      <xdr:row>437</xdr:row>
      <xdr:rowOff>0</xdr:rowOff>
    </xdr:to>
    <xdr:sp>
      <xdr:nvSpPr>
        <xdr:cNvPr id="183" name="Line 183"/>
        <xdr:cNvSpPr>
          <a:spLocks/>
        </xdr:cNvSpPr>
      </xdr:nvSpPr>
      <xdr:spPr>
        <a:xfrm>
          <a:off x="28575" y="1020699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452</xdr:row>
      <xdr:rowOff>0</xdr:rowOff>
    </xdr:from>
    <xdr:to>
      <xdr:col>1</xdr:col>
      <xdr:colOff>0</xdr:colOff>
      <xdr:row>452</xdr:row>
      <xdr:rowOff>0</xdr:rowOff>
    </xdr:to>
    <xdr:sp>
      <xdr:nvSpPr>
        <xdr:cNvPr id="184" name="Line 184"/>
        <xdr:cNvSpPr>
          <a:spLocks/>
        </xdr:cNvSpPr>
      </xdr:nvSpPr>
      <xdr:spPr>
        <a:xfrm>
          <a:off x="28575" y="1057275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452</xdr:row>
      <xdr:rowOff>0</xdr:rowOff>
    </xdr:from>
    <xdr:to>
      <xdr:col>1</xdr:col>
      <xdr:colOff>0</xdr:colOff>
      <xdr:row>452</xdr:row>
      <xdr:rowOff>0</xdr:rowOff>
    </xdr:to>
    <xdr:sp>
      <xdr:nvSpPr>
        <xdr:cNvPr id="185" name="Line 185"/>
        <xdr:cNvSpPr>
          <a:spLocks/>
        </xdr:cNvSpPr>
      </xdr:nvSpPr>
      <xdr:spPr>
        <a:xfrm>
          <a:off x="28575" y="1057275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452</xdr:row>
      <xdr:rowOff>0</xdr:rowOff>
    </xdr:from>
    <xdr:to>
      <xdr:col>1</xdr:col>
      <xdr:colOff>0</xdr:colOff>
      <xdr:row>452</xdr:row>
      <xdr:rowOff>0</xdr:rowOff>
    </xdr:to>
    <xdr:sp>
      <xdr:nvSpPr>
        <xdr:cNvPr id="186" name="Line 186"/>
        <xdr:cNvSpPr>
          <a:spLocks/>
        </xdr:cNvSpPr>
      </xdr:nvSpPr>
      <xdr:spPr>
        <a:xfrm>
          <a:off x="28575" y="1057275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452</xdr:row>
      <xdr:rowOff>0</xdr:rowOff>
    </xdr:from>
    <xdr:to>
      <xdr:col>1</xdr:col>
      <xdr:colOff>0</xdr:colOff>
      <xdr:row>452</xdr:row>
      <xdr:rowOff>0</xdr:rowOff>
    </xdr:to>
    <xdr:sp>
      <xdr:nvSpPr>
        <xdr:cNvPr id="187" name="Line 187"/>
        <xdr:cNvSpPr>
          <a:spLocks/>
        </xdr:cNvSpPr>
      </xdr:nvSpPr>
      <xdr:spPr>
        <a:xfrm>
          <a:off x="28575" y="1057275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452</xdr:row>
      <xdr:rowOff>0</xdr:rowOff>
    </xdr:from>
    <xdr:to>
      <xdr:col>1</xdr:col>
      <xdr:colOff>0</xdr:colOff>
      <xdr:row>452</xdr:row>
      <xdr:rowOff>0</xdr:rowOff>
    </xdr:to>
    <xdr:sp>
      <xdr:nvSpPr>
        <xdr:cNvPr id="188" name="Line 188"/>
        <xdr:cNvSpPr>
          <a:spLocks/>
        </xdr:cNvSpPr>
      </xdr:nvSpPr>
      <xdr:spPr>
        <a:xfrm>
          <a:off x="28575" y="1057275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452</xdr:row>
      <xdr:rowOff>0</xdr:rowOff>
    </xdr:from>
    <xdr:to>
      <xdr:col>1</xdr:col>
      <xdr:colOff>0</xdr:colOff>
      <xdr:row>452</xdr:row>
      <xdr:rowOff>0</xdr:rowOff>
    </xdr:to>
    <xdr:sp>
      <xdr:nvSpPr>
        <xdr:cNvPr id="189" name="Line 189"/>
        <xdr:cNvSpPr>
          <a:spLocks/>
        </xdr:cNvSpPr>
      </xdr:nvSpPr>
      <xdr:spPr>
        <a:xfrm>
          <a:off x="28575" y="1057275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190" name="Line 190"/>
        <xdr:cNvSpPr>
          <a:spLocks/>
        </xdr:cNvSpPr>
      </xdr:nvSpPr>
      <xdr:spPr>
        <a:xfrm>
          <a:off x="28575" y="866775"/>
          <a:ext cx="415290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191" name="Line 191"/>
        <xdr:cNvSpPr>
          <a:spLocks/>
        </xdr:cNvSpPr>
      </xdr:nvSpPr>
      <xdr:spPr>
        <a:xfrm>
          <a:off x="28575" y="202311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</xdr:row>
      <xdr:rowOff>0</xdr:rowOff>
    </xdr:from>
    <xdr:to>
      <xdr:col>1</xdr:col>
      <xdr:colOff>0</xdr:colOff>
      <xdr:row>37</xdr:row>
      <xdr:rowOff>0</xdr:rowOff>
    </xdr:to>
    <xdr:sp>
      <xdr:nvSpPr>
        <xdr:cNvPr id="192" name="Line 192"/>
        <xdr:cNvSpPr>
          <a:spLocks/>
        </xdr:cNvSpPr>
      </xdr:nvSpPr>
      <xdr:spPr>
        <a:xfrm>
          <a:off x="28575" y="79533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193" name="Line 193"/>
        <xdr:cNvSpPr>
          <a:spLocks/>
        </xdr:cNvSpPr>
      </xdr:nvSpPr>
      <xdr:spPr>
        <a:xfrm>
          <a:off x="28575" y="202311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194" name="Line 194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</xdr:row>
      <xdr:rowOff>0</xdr:rowOff>
    </xdr:from>
    <xdr:to>
      <xdr:col>1</xdr:col>
      <xdr:colOff>0</xdr:colOff>
      <xdr:row>37</xdr:row>
      <xdr:rowOff>0</xdr:rowOff>
    </xdr:to>
    <xdr:sp>
      <xdr:nvSpPr>
        <xdr:cNvPr id="195" name="Line 195"/>
        <xdr:cNvSpPr>
          <a:spLocks/>
        </xdr:cNvSpPr>
      </xdr:nvSpPr>
      <xdr:spPr>
        <a:xfrm>
          <a:off x="28575" y="79533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431</xdr:row>
      <xdr:rowOff>0</xdr:rowOff>
    </xdr:from>
    <xdr:to>
      <xdr:col>1</xdr:col>
      <xdr:colOff>0</xdr:colOff>
      <xdr:row>431</xdr:row>
      <xdr:rowOff>0</xdr:rowOff>
    </xdr:to>
    <xdr:sp>
      <xdr:nvSpPr>
        <xdr:cNvPr id="196" name="Line 196"/>
        <xdr:cNvSpPr>
          <a:spLocks/>
        </xdr:cNvSpPr>
      </xdr:nvSpPr>
      <xdr:spPr>
        <a:xfrm>
          <a:off x="28575" y="1006983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</xdr:row>
      <xdr:rowOff>0</xdr:rowOff>
    </xdr:from>
    <xdr:to>
      <xdr:col>1</xdr:col>
      <xdr:colOff>0</xdr:colOff>
      <xdr:row>37</xdr:row>
      <xdr:rowOff>0</xdr:rowOff>
    </xdr:to>
    <xdr:sp>
      <xdr:nvSpPr>
        <xdr:cNvPr id="197" name="Line 197"/>
        <xdr:cNvSpPr>
          <a:spLocks/>
        </xdr:cNvSpPr>
      </xdr:nvSpPr>
      <xdr:spPr>
        <a:xfrm>
          <a:off x="28575" y="79533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198" name="Line 198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199" name="Line 199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431</xdr:row>
      <xdr:rowOff>0</xdr:rowOff>
    </xdr:from>
    <xdr:to>
      <xdr:col>1</xdr:col>
      <xdr:colOff>0</xdr:colOff>
      <xdr:row>431</xdr:row>
      <xdr:rowOff>0</xdr:rowOff>
    </xdr:to>
    <xdr:sp>
      <xdr:nvSpPr>
        <xdr:cNvPr id="200" name="Line 200"/>
        <xdr:cNvSpPr>
          <a:spLocks/>
        </xdr:cNvSpPr>
      </xdr:nvSpPr>
      <xdr:spPr>
        <a:xfrm>
          <a:off x="28575" y="1006983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431</xdr:row>
      <xdr:rowOff>0</xdr:rowOff>
    </xdr:from>
    <xdr:to>
      <xdr:col>1</xdr:col>
      <xdr:colOff>0</xdr:colOff>
      <xdr:row>431</xdr:row>
      <xdr:rowOff>0</xdr:rowOff>
    </xdr:to>
    <xdr:sp>
      <xdr:nvSpPr>
        <xdr:cNvPr id="201" name="Line 201"/>
        <xdr:cNvSpPr>
          <a:spLocks/>
        </xdr:cNvSpPr>
      </xdr:nvSpPr>
      <xdr:spPr>
        <a:xfrm>
          <a:off x="28575" y="1006983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437</xdr:row>
      <xdr:rowOff>0</xdr:rowOff>
    </xdr:from>
    <xdr:to>
      <xdr:col>1</xdr:col>
      <xdr:colOff>0</xdr:colOff>
      <xdr:row>437</xdr:row>
      <xdr:rowOff>0</xdr:rowOff>
    </xdr:to>
    <xdr:sp>
      <xdr:nvSpPr>
        <xdr:cNvPr id="202" name="Line 202"/>
        <xdr:cNvSpPr>
          <a:spLocks/>
        </xdr:cNvSpPr>
      </xdr:nvSpPr>
      <xdr:spPr>
        <a:xfrm>
          <a:off x="28575" y="1020699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437</xdr:row>
      <xdr:rowOff>0</xdr:rowOff>
    </xdr:from>
    <xdr:to>
      <xdr:col>1</xdr:col>
      <xdr:colOff>0</xdr:colOff>
      <xdr:row>437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575" y="1020699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437</xdr:row>
      <xdr:rowOff>0</xdr:rowOff>
    </xdr:from>
    <xdr:to>
      <xdr:col>1</xdr:col>
      <xdr:colOff>0</xdr:colOff>
      <xdr:row>437</xdr:row>
      <xdr:rowOff>0</xdr:rowOff>
    </xdr:to>
    <xdr:sp>
      <xdr:nvSpPr>
        <xdr:cNvPr id="204" name="Line 204"/>
        <xdr:cNvSpPr>
          <a:spLocks/>
        </xdr:cNvSpPr>
      </xdr:nvSpPr>
      <xdr:spPr>
        <a:xfrm>
          <a:off x="28575" y="1020699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452</xdr:row>
      <xdr:rowOff>0</xdr:rowOff>
    </xdr:from>
    <xdr:to>
      <xdr:col>1</xdr:col>
      <xdr:colOff>0</xdr:colOff>
      <xdr:row>452</xdr:row>
      <xdr:rowOff>0</xdr:rowOff>
    </xdr:to>
    <xdr:sp>
      <xdr:nvSpPr>
        <xdr:cNvPr id="205" name="Line 205"/>
        <xdr:cNvSpPr>
          <a:spLocks/>
        </xdr:cNvSpPr>
      </xdr:nvSpPr>
      <xdr:spPr>
        <a:xfrm>
          <a:off x="28575" y="1057275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452</xdr:row>
      <xdr:rowOff>0</xdr:rowOff>
    </xdr:from>
    <xdr:to>
      <xdr:col>1</xdr:col>
      <xdr:colOff>0</xdr:colOff>
      <xdr:row>452</xdr:row>
      <xdr:rowOff>0</xdr:rowOff>
    </xdr:to>
    <xdr:sp>
      <xdr:nvSpPr>
        <xdr:cNvPr id="206" name="Line 206"/>
        <xdr:cNvSpPr>
          <a:spLocks/>
        </xdr:cNvSpPr>
      </xdr:nvSpPr>
      <xdr:spPr>
        <a:xfrm>
          <a:off x="28575" y="1057275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452</xdr:row>
      <xdr:rowOff>0</xdr:rowOff>
    </xdr:from>
    <xdr:to>
      <xdr:col>1</xdr:col>
      <xdr:colOff>0</xdr:colOff>
      <xdr:row>452</xdr:row>
      <xdr:rowOff>0</xdr:rowOff>
    </xdr:to>
    <xdr:sp>
      <xdr:nvSpPr>
        <xdr:cNvPr id="207" name="Line 207"/>
        <xdr:cNvSpPr>
          <a:spLocks/>
        </xdr:cNvSpPr>
      </xdr:nvSpPr>
      <xdr:spPr>
        <a:xfrm>
          <a:off x="28575" y="1057275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452</xdr:row>
      <xdr:rowOff>0</xdr:rowOff>
    </xdr:from>
    <xdr:to>
      <xdr:col>1</xdr:col>
      <xdr:colOff>0</xdr:colOff>
      <xdr:row>452</xdr:row>
      <xdr:rowOff>0</xdr:rowOff>
    </xdr:to>
    <xdr:sp>
      <xdr:nvSpPr>
        <xdr:cNvPr id="208" name="Line 208"/>
        <xdr:cNvSpPr>
          <a:spLocks/>
        </xdr:cNvSpPr>
      </xdr:nvSpPr>
      <xdr:spPr>
        <a:xfrm>
          <a:off x="28575" y="1057275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452</xdr:row>
      <xdr:rowOff>0</xdr:rowOff>
    </xdr:from>
    <xdr:to>
      <xdr:col>1</xdr:col>
      <xdr:colOff>0</xdr:colOff>
      <xdr:row>452</xdr:row>
      <xdr:rowOff>0</xdr:rowOff>
    </xdr:to>
    <xdr:sp>
      <xdr:nvSpPr>
        <xdr:cNvPr id="209" name="Line 209"/>
        <xdr:cNvSpPr>
          <a:spLocks/>
        </xdr:cNvSpPr>
      </xdr:nvSpPr>
      <xdr:spPr>
        <a:xfrm>
          <a:off x="28575" y="1057275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452</xdr:row>
      <xdr:rowOff>0</xdr:rowOff>
    </xdr:from>
    <xdr:to>
      <xdr:col>1</xdr:col>
      <xdr:colOff>0</xdr:colOff>
      <xdr:row>452</xdr:row>
      <xdr:rowOff>0</xdr:rowOff>
    </xdr:to>
    <xdr:sp>
      <xdr:nvSpPr>
        <xdr:cNvPr id="210" name="Line 210"/>
        <xdr:cNvSpPr>
          <a:spLocks/>
        </xdr:cNvSpPr>
      </xdr:nvSpPr>
      <xdr:spPr>
        <a:xfrm>
          <a:off x="28575" y="1057275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8575" y="866775"/>
          <a:ext cx="415290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12" name="Line 212"/>
        <xdr:cNvSpPr>
          <a:spLocks/>
        </xdr:cNvSpPr>
      </xdr:nvSpPr>
      <xdr:spPr>
        <a:xfrm>
          <a:off x="28575" y="202311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</xdr:row>
      <xdr:rowOff>0</xdr:rowOff>
    </xdr:from>
    <xdr:to>
      <xdr:col>1</xdr:col>
      <xdr:colOff>0</xdr:colOff>
      <xdr:row>37</xdr:row>
      <xdr:rowOff>0</xdr:rowOff>
    </xdr:to>
    <xdr:sp>
      <xdr:nvSpPr>
        <xdr:cNvPr id="213" name="Line 213"/>
        <xdr:cNvSpPr>
          <a:spLocks/>
        </xdr:cNvSpPr>
      </xdr:nvSpPr>
      <xdr:spPr>
        <a:xfrm>
          <a:off x="28575" y="79533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14" name="Line 214"/>
        <xdr:cNvSpPr>
          <a:spLocks/>
        </xdr:cNvSpPr>
      </xdr:nvSpPr>
      <xdr:spPr>
        <a:xfrm>
          <a:off x="28575" y="202311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215" name="Line 215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</xdr:row>
      <xdr:rowOff>0</xdr:rowOff>
    </xdr:from>
    <xdr:to>
      <xdr:col>1</xdr:col>
      <xdr:colOff>0</xdr:colOff>
      <xdr:row>37</xdr:row>
      <xdr:rowOff>0</xdr:rowOff>
    </xdr:to>
    <xdr:sp>
      <xdr:nvSpPr>
        <xdr:cNvPr id="216" name="Line 216"/>
        <xdr:cNvSpPr>
          <a:spLocks/>
        </xdr:cNvSpPr>
      </xdr:nvSpPr>
      <xdr:spPr>
        <a:xfrm>
          <a:off x="28575" y="79533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431</xdr:row>
      <xdr:rowOff>0</xdr:rowOff>
    </xdr:from>
    <xdr:to>
      <xdr:col>1</xdr:col>
      <xdr:colOff>0</xdr:colOff>
      <xdr:row>431</xdr:row>
      <xdr:rowOff>0</xdr:rowOff>
    </xdr:to>
    <xdr:sp>
      <xdr:nvSpPr>
        <xdr:cNvPr id="217" name="Line 217"/>
        <xdr:cNvSpPr>
          <a:spLocks/>
        </xdr:cNvSpPr>
      </xdr:nvSpPr>
      <xdr:spPr>
        <a:xfrm>
          <a:off x="28575" y="1006983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</xdr:row>
      <xdr:rowOff>0</xdr:rowOff>
    </xdr:from>
    <xdr:to>
      <xdr:col>1</xdr:col>
      <xdr:colOff>0</xdr:colOff>
      <xdr:row>37</xdr:row>
      <xdr:rowOff>0</xdr:rowOff>
    </xdr:to>
    <xdr:sp>
      <xdr:nvSpPr>
        <xdr:cNvPr id="218" name="Line 218"/>
        <xdr:cNvSpPr>
          <a:spLocks/>
        </xdr:cNvSpPr>
      </xdr:nvSpPr>
      <xdr:spPr>
        <a:xfrm>
          <a:off x="28575" y="79533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219" name="Line 219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431</xdr:row>
      <xdr:rowOff>0</xdr:rowOff>
    </xdr:from>
    <xdr:to>
      <xdr:col>1</xdr:col>
      <xdr:colOff>0</xdr:colOff>
      <xdr:row>431</xdr:row>
      <xdr:rowOff>0</xdr:rowOff>
    </xdr:to>
    <xdr:sp>
      <xdr:nvSpPr>
        <xdr:cNvPr id="221" name="Line 221"/>
        <xdr:cNvSpPr>
          <a:spLocks/>
        </xdr:cNvSpPr>
      </xdr:nvSpPr>
      <xdr:spPr>
        <a:xfrm>
          <a:off x="28575" y="1006983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431</xdr:row>
      <xdr:rowOff>0</xdr:rowOff>
    </xdr:from>
    <xdr:to>
      <xdr:col>1</xdr:col>
      <xdr:colOff>0</xdr:colOff>
      <xdr:row>431</xdr:row>
      <xdr:rowOff>0</xdr:rowOff>
    </xdr:to>
    <xdr:sp>
      <xdr:nvSpPr>
        <xdr:cNvPr id="222" name="Line 222"/>
        <xdr:cNvSpPr>
          <a:spLocks/>
        </xdr:cNvSpPr>
      </xdr:nvSpPr>
      <xdr:spPr>
        <a:xfrm>
          <a:off x="28575" y="1006983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437</xdr:row>
      <xdr:rowOff>0</xdr:rowOff>
    </xdr:from>
    <xdr:to>
      <xdr:col>1</xdr:col>
      <xdr:colOff>0</xdr:colOff>
      <xdr:row>437</xdr:row>
      <xdr:rowOff>0</xdr:rowOff>
    </xdr:to>
    <xdr:sp>
      <xdr:nvSpPr>
        <xdr:cNvPr id="223" name="Line 223"/>
        <xdr:cNvSpPr>
          <a:spLocks/>
        </xdr:cNvSpPr>
      </xdr:nvSpPr>
      <xdr:spPr>
        <a:xfrm>
          <a:off x="28575" y="1020699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437</xdr:row>
      <xdr:rowOff>0</xdr:rowOff>
    </xdr:from>
    <xdr:to>
      <xdr:col>1</xdr:col>
      <xdr:colOff>0</xdr:colOff>
      <xdr:row>437</xdr:row>
      <xdr:rowOff>0</xdr:rowOff>
    </xdr:to>
    <xdr:sp>
      <xdr:nvSpPr>
        <xdr:cNvPr id="224" name="Line 224"/>
        <xdr:cNvSpPr>
          <a:spLocks/>
        </xdr:cNvSpPr>
      </xdr:nvSpPr>
      <xdr:spPr>
        <a:xfrm>
          <a:off x="28575" y="1020699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437</xdr:row>
      <xdr:rowOff>0</xdr:rowOff>
    </xdr:from>
    <xdr:to>
      <xdr:col>1</xdr:col>
      <xdr:colOff>0</xdr:colOff>
      <xdr:row>437</xdr:row>
      <xdr:rowOff>0</xdr:rowOff>
    </xdr:to>
    <xdr:sp>
      <xdr:nvSpPr>
        <xdr:cNvPr id="225" name="Line 225"/>
        <xdr:cNvSpPr>
          <a:spLocks/>
        </xdr:cNvSpPr>
      </xdr:nvSpPr>
      <xdr:spPr>
        <a:xfrm>
          <a:off x="28575" y="1020699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452</xdr:row>
      <xdr:rowOff>0</xdr:rowOff>
    </xdr:from>
    <xdr:to>
      <xdr:col>1</xdr:col>
      <xdr:colOff>0</xdr:colOff>
      <xdr:row>452</xdr:row>
      <xdr:rowOff>0</xdr:rowOff>
    </xdr:to>
    <xdr:sp>
      <xdr:nvSpPr>
        <xdr:cNvPr id="226" name="Line 226"/>
        <xdr:cNvSpPr>
          <a:spLocks/>
        </xdr:cNvSpPr>
      </xdr:nvSpPr>
      <xdr:spPr>
        <a:xfrm>
          <a:off x="28575" y="1057275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452</xdr:row>
      <xdr:rowOff>0</xdr:rowOff>
    </xdr:from>
    <xdr:to>
      <xdr:col>1</xdr:col>
      <xdr:colOff>0</xdr:colOff>
      <xdr:row>452</xdr:row>
      <xdr:rowOff>0</xdr:rowOff>
    </xdr:to>
    <xdr:sp>
      <xdr:nvSpPr>
        <xdr:cNvPr id="227" name="Line 227"/>
        <xdr:cNvSpPr>
          <a:spLocks/>
        </xdr:cNvSpPr>
      </xdr:nvSpPr>
      <xdr:spPr>
        <a:xfrm>
          <a:off x="28575" y="1057275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452</xdr:row>
      <xdr:rowOff>0</xdr:rowOff>
    </xdr:from>
    <xdr:to>
      <xdr:col>1</xdr:col>
      <xdr:colOff>0</xdr:colOff>
      <xdr:row>452</xdr:row>
      <xdr:rowOff>0</xdr:rowOff>
    </xdr:to>
    <xdr:sp>
      <xdr:nvSpPr>
        <xdr:cNvPr id="228" name="Line 228"/>
        <xdr:cNvSpPr>
          <a:spLocks/>
        </xdr:cNvSpPr>
      </xdr:nvSpPr>
      <xdr:spPr>
        <a:xfrm>
          <a:off x="28575" y="1057275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452</xdr:row>
      <xdr:rowOff>0</xdr:rowOff>
    </xdr:from>
    <xdr:to>
      <xdr:col>1</xdr:col>
      <xdr:colOff>0</xdr:colOff>
      <xdr:row>452</xdr:row>
      <xdr:rowOff>0</xdr:rowOff>
    </xdr:to>
    <xdr:sp>
      <xdr:nvSpPr>
        <xdr:cNvPr id="229" name="Line 229"/>
        <xdr:cNvSpPr>
          <a:spLocks/>
        </xdr:cNvSpPr>
      </xdr:nvSpPr>
      <xdr:spPr>
        <a:xfrm>
          <a:off x="28575" y="1057275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452</xdr:row>
      <xdr:rowOff>0</xdr:rowOff>
    </xdr:from>
    <xdr:to>
      <xdr:col>1</xdr:col>
      <xdr:colOff>0</xdr:colOff>
      <xdr:row>452</xdr:row>
      <xdr:rowOff>0</xdr:rowOff>
    </xdr:to>
    <xdr:sp>
      <xdr:nvSpPr>
        <xdr:cNvPr id="230" name="Line 230"/>
        <xdr:cNvSpPr>
          <a:spLocks/>
        </xdr:cNvSpPr>
      </xdr:nvSpPr>
      <xdr:spPr>
        <a:xfrm>
          <a:off x="28575" y="1057275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452</xdr:row>
      <xdr:rowOff>0</xdr:rowOff>
    </xdr:from>
    <xdr:to>
      <xdr:col>1</xdr:col>
      <xdr:colOff>0</xdr:colOff>
      <xdr:row>452</xdr:row>
      <xdr:rowOff>0</xdr:rowOff>
    </xdr:to>
    <xdr:sp>
      <xdr:nvSpPr>
        <xdr:cNvPr id="231" name="Line 231"/>
        <xdr:cNvSpPr>
          <a:spLocks/>
        </xdr:cNvSpPr>
      </xdr:nvSpPr>
      <xdr:spPr>
        <a:xfrm>
          <a:off x="28575" y="1057275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1</xdr:col>
      <xdr:colOff>0</xdr:colOff>
      <xdr:row>10</xdr:row>
      <xdr:rowOff>0</xdr:rowOff>
    </xdr:to>
    <xdr:sp>
      <xdr:nvSpPr>
        <xdr:cNvPr id="232" name="Line 232"/>
        <xdr:cNvSpPr>
          <a:spLocks/>
        </xdr:cNvSpPr>
      </xdr:nvSpPr>
      <xdr:spPr>
        <a:xfrm>
          <a:off x="28575" y="866775"/>
          <a:ext cx="415290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33" name="Line 233"/>
        <xdr:cNvSpPr>
          <a:spLocks/>
        </xdr:cNvSpPr>
      </xdr:nvSpPr>
      <xdr:spPr>
        <a:xfrm>
          <a:off x="28575" y="202311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</xdr:row>
      <xdr:rowOff>0</xdr:rowOff>
    </xdr:from>
    <xdr:to>
      <xdr:col>1</xdr:col>
      <xdr:colOff>0</xdr:colOff>
      <xdr:row>37</xdr:row>
      <xdr:rowOff>0</xdr:rowOff>
    </xdr:to>
    <xdr:sp>
      <xdr:nvSpPr>
        <xdr:cNvPr id="234" name="Line 234"/>
        <xdr:cNvSpPr>
          <a:spLocks/>
        </xdr:cNvSpPr>
      </xdr:nvSpPr>
      <xdr:spPr>
        <a:xfrm>
          <a:off x="28575" y="79533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235" name="Line 235"/>
        <xdr:cNvSpPr>
          <a:spLocks/>
        </xdr:cNvSpPr>
      </xdr:nvSpPr>
      <xdr:spPr>
        <a:xfrm>
          <a:off x="28575" y="202311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236" name="Line 236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</xdr:row>
      <xdr:rowOff>0</xdr:rowOff>
    </xdr:from>
    <xdr:to>
      <xdr:col>1</xdr:col>
      <xdr:colOff>0</xdr:colOff>
      <xdr:row>37</xdr:row>
      <xdr:rowOff>0</xdr:rowOff>
    </xdr:to>
    <xdr:sp>
      <xdr:nvSpPr>
        <xdr:cNvPr id="237" name="Line 237"/>
        <xdr:cNvSpPr>
          <a:spLocks/>
        </xdr:cNvSpPr>
      </xdr:nvSpPr>
      <xdr:spPr>
        <a:xfrm>
          <a:off x="28575" y="79533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431</xdr:row>
      <xdr:rowOff>0</xdr:rowOff>
    </xdr:from>
    <xdr:to>
      <xdr:col>1</xdr:col>
      <xdr:colOff>0</xdr:colOff>
      <xdr:row>431</xdr:row>
      <xdr:rowOff>0</xdr:rowOff>
    </xdr:to>
    <xdr:sp>
      <xdr:nvSpPr>
        <xdr:cNvPr id="238" name="Line 238"/>
        <xdr:cNvSpPr>
          <a:spLocks/>
        </xdr:cNvSpPr>
      </xdr:nvSpPr>
      <xdr:spPr>
        <a:xfrm>
          <a:off x="28575" y="1006983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</xdr:row>
      <xdr:rowOff>0</xdr:rowOff>
    </xdr:from>
    <xdr:to>
      <xdr:col>1</xdr:col>
      <xdr:colOff>0</xdr:colOff>
      <xdr:row>37</xdr:row>
      <xdr:rowOff>0</xdr:rowOff>
    </xdr:to>
    <xdr:sp>
      <xdr:nvSpPr>
        <xdr:cNvPr id="239" name="Line 239"/>
        <xdr:cNvSpPr>
          <a:spLocks/>
        </xdr:cNvSpPr>
      </xdr:nvSpPr>
      <xdr:spPr>
        <a:xfrm>
          <a:off x="28575" y="79533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240" name="Line 240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271</xdr:row>
      <xdr:rowOff>0</xdr:rowOff>
    </xdr:from>
    <xdr:to>
      <xdr:col>1</xdr:col>
      <xdr:colOff>0</xdr:colOff>
      <xdr:row>271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575" y="63293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431</xdr:row>
      <xdr:rowOff>0</xdr:rowOff>
    </xdr:from>
    <xdr:to>
      <xdr:col>1</xdr:col>
      <xdr:colOff>0</xdr:colOff>
      <xdr:row>431</xdr:row>
      <xdr:rowOff>0</xdr:rowOff>
    </xdr:to>
    <xdr:sp>
      <xdr:nvSpPr>
        <xdr:cNvPr id="242" name="Line 242"/>
        <xdr:cNvSpPr>
          <a:spLocks/>
        </xdr:cNvSpPr>
      </xdr:nvSpPr>
      <xdr:spPr>
        <a:xfrm>
          <a:off x="28575" y="1006983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431</xdr:row>
      <xdr:rowOff>0</xdr:rowOff>
    </xdr:from>
    <xdr:to>
      <xdr:col>1</xdr:col>
      <xdr:colOff>0</xdr:colOff>
      <xdr:row>431</xdr:row>
      <xdr:rowOff>0</xdr:rowOff>
    </xdr:to>
    <xdr:sp>
      <xdr:nvSpPr>
        <xdr:cNvPr id="243" name="Line 243"/>
        <xdr:cNvSpPr>
          <a:spLocks/>
        </xdr:cNvSpPr>
      </xdr:nvSpPr>
      <xdr:spPr>
        <a:xfrm>
          <a:off x="28575" y="1006983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437</xdr:row>
      <xdr:rowOff>0</xdr:rowOff>
    </xdr:from>
    <xdr:to>
      <xdr:col>1</xdr:col>
      <xdr:colOff>0</xdr:colOff>
      <xdr:row>437</xdr:row>
      <xdr:rowOff>0</xdr:rowOff>
    </xdr:to>
    <xdr:sp>
      <xdr:nvSpPr>
        <xdr:cNvPr id="244" name="Line 244"/>
        <xdr:cNvSpPr>
          <a:spLocks/>
        </xdr:cNvSpPr>
      </xdr:nvSpPr>
      <xdr:spPr>
        <a:xfrm>
          <a:off x="28575" y="1020699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437</xdr:row>
      <xdr:rowOff>0</xdr:rowOff>
    </xdr:from>
    <xdr:to>
      <xdr:col>1</xdr:col>
      <xdr:colOff>0</xdr:colOff>
      <xdr:row>437</xdr:row>
      <xdr:rowOff>0</xdr:rowOff>
    </xdr:to>
    <xdr:sp>
      <xdr:nvSpPr>
        <xdr:cNvPr id="245" name="Line 245"/>
        <xdr:cNvSpPr>
          <a:spLocks/>
        </xdr:cNvSpPr>
      </xdr:nvSpPr>
      <xdr:spPr>
        <a:xfrm>
          <a:off x="28575" y="1020699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437</xdr:row>
      <xdr:rowOff>0</xdr:rowOff>
    </xdr:from>
    <xdr:to>
      <xdr:col>1</xdr:col>
      <xdr:colOff>0</xdr:colOff>
      <xdr:row>437</xdr:row>
      <xdr:rowOff>0</xdr:rowOff>
    </xdr:to>
    <xdr:sp>
      <xdr:nvSpPr>
        <xdr:cNvPr id="246" name="Line 246"/>
        <xdr:cNvSpPr>
          <a:spLocks/>
        </xdr:cNvSpPr>
      </xdr:nvSpPr>
      <xdr:spPr>
        <a:xfrm>
          <a:off x="28575" y="1020699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452</xdr:row>
      <xdr:rowOff>0</xdr:rowOff>
    </xdr:from>
    <xdr:to>
      <xdr:col>1</xdr:col>
      <xdr:colOff>0</xdr:colOff>
      <xdr:row>452</xdr:row>
      <xdr:rowOff>0</xdr:rowOff>
    </xdr:to>
    <xdr:sp>
      <xdr:nvSpPr>
        <xdr:cNvPr id="247" name="Line 247"/>
        <xdr:cNvSpPr>
          <a:spLocks/>
        </xdr:cNvSpPr>
      </xdr:nvSpPr>
      <xdr:spPr>
        <a:xfrm>
          <a:off x="28575" y="1057275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452</xdr:row>
      <xdr:rowOff>0</xdr:rowOff>
    </xdr:from>
    <xdr:to>
      <xdr:col>1</xdr:col>
      <xdr:colOff>0</xdr:colOff>
      <xdr:row>452</xdr:row>
      <xdr:rowOff>0</xdr:rowOff>
    </xdr:to>
    <xdr:sp>
      <xdr:nvSpPr>
        <xdr:cNvPr id="248" name="Line 248"/>
        <xdr:cNvSpPr>
          <a:spLocks/>
        </xdr:cNvSpPr>
      </xdr:nvSpPr>
      <xdr:spPr>
        <a:xfrm>
          <a:off x="28575" y="1057275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452</xdr:row>
      <xdr:rowOff>0</xdr:rowOff>
    </xdr:from>
    <xdr:to>
      <xdr:col>1</xdr:col>
      <xdr:colOff>0</xdr:colOff>
      <xdr:row>452</xdr:row>
      <xdr:rowOff>0</xdr:rowOff>
    </xdr:to>
    <xdr:sp>
      <xdr:nvSpPr>
        <xdr:cNvPr id="249" name="Line 249"/>
        <xdr:cNvSpPr>
          <a:spLocks/>
        </xdr:cNvSpPr>
      </xdr:nvSpPr>
      <xdr:spPr>
        <a:xfrm>
          <a:off x="28575" y="1057275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452</xdr:row>
      <xdr:rowOff>0</xdr:rowOff>
    </xdr:from>
    <xdr:to>
      <xdr:col>1</xdr:col>
      <xdr:colOff>0</xdr:colOff>
      <xdr:row>452</xdr:row>
      <xdr:rowOff>0</xdr:rowOff>
    </xdr:to>
    <xdr:sp>
      <xdr:nvSpPr>
        <xdr:cNvPr id="250" name="Line 250"/>
        <xdr:cNvSpPr>
          <a:spLocks/>
        </xdr:cNvSpPr>
      </xdr:nvSpPr>
      <xdr:spPr>
        <a:xfrm>
          <a:off x="28575" y="1057275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452</xdr:row>
      <xdr:rowOff>0</xdr:rowOff>
    </xdr:from>
    <xdr:to>
      <xdr:col>1</xdr:col>
      <xdr:colOff>0</xdr:colOff>
      <xdr:row>452</xdr:row>
      <xdr:rowOff>0</xdr:rowOff>
    </xdr:to>
    <xdr:sp>
      <xdr:nvSpPr>
        <xdr:cNvPr id="251" name="Line 251"/>
        <xdr:cNvSpPr>
          <a:spLocks/>
        </xdr:cNvSpPr>
      </xdr:nvSpPr>
      <xdr:spPr>
        <a:xfrm>
          <a:off x="28575" y="1057275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452</xdr:row>
      <xdr:rowOff>0</xdr:rowOff>
    </xdr:from>
    <xdr:to>
      <xdr:col>1</xdr:col>
      <xdr:colOff>0</xdr:colOff>
      <xdr:row>452</xdr:row>
      <xdr:rowOff>0</xdr:rowOff>
    </xdr:to>
    <xdr:sp>
      <xdr:nvSpPr>
        <xdr:cNvPr id="252" name="Line 252"/>
        <xdr:cNvSpPr>
          <a:spLocks/>
        </xdr:cNvSpPr>
      </xdr:nvSpPr>
      <xdr:spPr>
        <a:xfrm>
          <a:off x="28575" y="1057275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452</xdr:row>
      <xdr:rowOff>0</xdr:rowOff>
    </xdr:from>
    <xdr:to>
      <xdr:col>1</xdr:col>
      <xdr:colOff>0</xdr:colOff>
      <xdr:row>452</xdr:row>
      <xdr:rowOff>0</xdr:rowOff>
    </xdr:to>
    <xdr:sp>
      <xdr:nvSpPr>
        <xdr:cNvPr id="253" name="Line 253"/>
        <xdr:cNvSpPr>
          <a:spLocks/>
        </xdr:cNvSpPr>
      </xdr:nvSpPr>
      <xdr:spPr>
        <a:xfrm>
          <a:off x="28575" y="1057275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452</xdr:row>
      <xdr:rowOff>0</xdr:rowOff>
    </xdr:from>
    <xdr:to>
      <xdr:col>1</xdr:col>
      <xdr:colOff>0</xdr:colOff>
      <xdr:row>452</xdr:row>
      <xdr:rowOff>0</xdr:rowOff>
    </xdr:to>
    <xdr:sp>
      <xdr:nvSpPr>
        <xdr:cNvPr id="254" name="Line 254"/>
        <xdr:cNvSpPr>
          <a:spLocks/>
        </xdr:cNvSpPr>
      </xdr:nvSpPr>
      <xdr:spPr>
        <a:xfrm>
          <a:off x="28575" y="1057275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452</xdr:row>
      <xdr:rowOff>0</xdr:rowOff>
    </xdr:from>
    <xdr:to>
      <xdr:col>1</xdr:col>
      <xdr:colOff>0</xdr:colOff>
      <xdr:row>452</xdr:row>
      <xdr:rowOff>0</xdr:rowOff>
    </xdr:to>
    <xdr:sp>
      <xdr:nvSpPr>
        <xdr:cNvPr id="255" name="Line 255"/>
        <xdr:cNvSpPr>
          <a:spLocks/>
        </xdr:cNvSpPr>
      </xdr:nvSpPr>
      <xdr:spPr>
        <a:xfrm>
          <a:off x="28575" y="1057275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452</xdr:row>
      <xdr:rowOff>0</xdr:rowOff>
    </xdr:from>
    <xdr:to>
      <xdr:col>1</xdr:col>
      <xdr:colOff>0</xdr:colOff>
      <xdr:row>452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575" y="1057275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452</xdr:row>
      <xdr:rowOff>0</xdr:rowOff>
    </xdr:from>
    <xdr:to>
      <xdr:col>1</xdr:col>
      <xdr:colOff>0</xdr:colOff>
      <xdr:row>452</xdr:row>
      <xdr:rowOff>0</xdr:rowOff>
    </xdr:to>
    <xdr:sp>
      <xdr:nvSpPr>
        <xdr:cNvPr id="257" name="Line 257"/>
        <xdr:cNvSpPr>
          <a:spLocks/>
        </xdr:cNvSpPr>
      </xdr:nvSpPr>
      <xdr:spPr>
        <a:xfrm>
          <a:off x="28575" y="1057275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452</xdr:row>
      <xdr:rowOff>0</xdr:rowOff>
    </xdr:from>
    <xdr:to>
      <xdr:col>1</xdr:col>
      <xdr:colOff>0</xdr:colOff>
      <xdr:row>452</xdr:row>
      <xdr:rowOff>0</xdr:rowOff>
    </xdr:to>
    <xdr:sp>
      <xdr:nvSpPr>
        <xdr:cNvPr id="258" name="Line 258"/>
        <xdr:cNvSpPr>
          <a:spLocks/>
        </xdr:cNvSpPr>
      </xdr:nvSpPr>
      <xdr:spPr>
        <a:xfrm>
          <a:off x="28575" y="1057275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452</xdr:row>
      <xdr:rowOff>0</xdr:rowOff>
    </xdr:from>
    <xdr:to>
      <xdr:col>1</xdr:col>
      <xdr:colOff>0</xdr:colOff>
      <xdr:row>452</xdr:row>
      <xdr:rowOff>0</xdr:rowOff>
    </xdr:to>
    <xdr:sp>
      <xdr:nvSpPr>
        <xdr:cNvPr id="259" name="Line 259"/>
        <xdr:cNvSpPr>
          <a:spLocks/>
        </xdr:cNvSpPr>
      </xdr:nvSpPr>
      <xdr:spPr>
        <a:xfrm>
          <a:off x="28575" y="1057275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452</xdr:row>
      <xdr:rowOff>0</xdr:rowOff>
    </xdr:from>
    <xdr:to>
      <xdr:col>1</xdr:col>
      <xdr:colOff>0</xdr:colOff>
      <xdr:row>452</xdr:row>
      <xdr:rowOff>0</xdr:rowOff>
    </xdr:to>
    <xdr:sp>
      <xdr:nvSpPr>
        <xdr:cNvPr id="260" name="Line 260"/>
        <xdr:cNvSpPr>
          <a:spLocks/>
        </xdr:cNvSpPr>
      </xdr:nvSpPr>
      <xdr:spPr>
        <a:xfrm>
          <a:off x="28575" y="1057275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452</xdr:row>
      <xdr:rowOff>0</xdr:rowOff>
    </xdr:from>
    <xdr:to>
      <xdr:col>1</xdr:col>
      <xdr:colOff>0</xdr:colOff>
      <xdr:row>452</xdr:row>
      <xdr:rowOff>0</xdr:rowOff>
    </xdr:to>
    <xdr:sp>
      <xdr:nvSpPr>
        <xdr:cNvPr id="261" name="Line 261"/>
        <xdr:cNvSpPr>
          <a:spLocks/>
        </xdr:cNvSpPr>
      </xdr:nvSpPr>
      <xdr:spPr>
        <a:xfrm>
          <a:off x="28575" y="1057275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452</xdr:row>
      <xdr:rowOff>0</xdr:rowOff>
    </xdr:from>
    <xdr:to>
      <xdr:col>1</xdr:col>
      <xdr:colOff>0</xdr:colOff>
      <xdr:row>452</xdr:row>
      <xdr:rowOff>0</xdr:rowOff>
    </xdr:to>
    <xdr:sp>
      <xdr:nvSpPr>
        <xdr:cNvPr id="262" name="Line 262"/>
        <xdr:cNvSpPr>
          <a:spLocks/>
        </xdr:cNvSpPr>
      </xdr:nvSpPr>
      <xdr:spPr>
        <a:xfrm>
          <a:off x="28575" y="1057275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452</xdr:row>
      <xdr:rowOff>0</xdr:rowOff>
    </xdr:from>
    <xdr:to>
      <xdr:col>1</xdr:col>
      <xdr:colOff>0</xdr:colOff>
      <xdr:row>452</xdr:row>
      <xdr:rowOff>0</xdr:rowOff>
    </xdr:to>
    <xdr:sp>
      <xdr:nvSpPr>
        <xdr:cNvPr id="263" name="Line 263"/>
        <xdr:cNvSpPr>
          <a:spLocks/>
        </xdr:cNvSpPr>
      </xdr:nvSpPr>
      <xdr:spPr>
        <a:xfrm>
          <a:off x="28575" y="1057275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452</xdr:row>
      <xdr:rowOff>0</xdr:rowOff>
    </xdr:from>
    <xdr:to>
      <xdr:col>1</xdr:col>
      <xdr:colOff>0</xdr:colOff>
      <xdr:row>452</xdr:row>
      <xdr:rowOff>0</xdr:rowOff>
    </xdr:to>
    <xdr:sp>
      <xdr:nvSpPr>
        <xdr:cNvPr id="264" name="Line 264"/>
        <xdr:cNvSpPr>
          <a:spLocks/>
        </xdr:cNvSpPr>
      </xdr:nvSpPr>
      <xdr:spPr>
        <a:xfrm>
          <a:off x="28575" y="1057275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452</xdr:row>
      <xdr:rowOff>0</xdr:rowOff>
    </xdr:from>
    <xdr:to>
      <xdr:col>1</xdr:col>
      <xdr:colOff>0</xdr:colOff>
      <xdr:row>452</xdr:row>
      <xdr:rowOff>0</xdr:rowOff>
    </xdr:to>
    <xdr:sp>
      <xdr:nvSpPr>
        <xdr:cNvPr id="265" name="Line 265"/>
        <xdr:cNvSpPr>
          <a:spLocks/>
        </xdr:cNvSpPr>
      </xdr:nvSpPr>
      <xdr:spPr>
        <a:xfrm>
          <a:off x="28575" y="1057275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452</xdr:row>
      <xdr:rowOff>0</xdr:rowOff>
    </xdr:from>
    <xdr:to>
      <xdr:col>1</xdr:col>
      <xdr:colOff>0</xdr:colOff>
      <xdr:row>452</xdr:row>
      <xdr:rowOff>0</xdr:rowOff>
    </xdr:to>
    <xdr:sp>
      <xdr:nvSpPr>
        <xdr:cNvPr id="266" name="Line 266"/>
        <xdr:cNvSpPr>
          <a:spLocks/>
        </xdr:cNvSpPr>
      </xdr:nvSpPr>
      <xdr:spPr>
        <a:xfrm>
          <a:off x="28575" y="1057275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452</xdr:row>
      <xdr:rowOff>0</xdr:rowOff>
    </xdr:from>
    <xdr:to>
      <xdr:col>1</xdr:col>
      <xdr:colOff>0</xdr:colOff>
      <xdr:row>452</xdr:row>
      <xdr:rowOff>0</xdr:rowOff>
    </xdr:to>
    <xdr:sp>
      <xdr:nvSpPr>
        <xdr:cNvPr id="267" name="Line 267"/>
        <xdr:cNvSpPr>
          <a:spLocks/>
        </xdr:cNvSpPr>
      </xdr:nvSpPr>
      <xdr:spPr>
        <a:xfrm>
          <a:off x="28575" y="1057275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268" name="Line 268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269" name="Line 269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270" name="Line 270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271" name="Line 271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272" name="Line 272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274" name="Line 274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275" name="Line 275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276" name="Line 276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277" name="Line 277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278" name="Line 278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279" name="Line 279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280" name="Line 280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281" name="Line 281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282" name="Line 282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283" name="Line 283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284" name="Line 284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285" name="Line 285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286" name="Line 286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287" name="Line 287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288" name="Line 288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290" name="Line 290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291" name="Line 291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292" name="Line 292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293" name="Line 293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294" name="Line 294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295" name="Line 295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296" name="Line 296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297" name="Line 297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298" name="Line 298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299" name="Line 299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300" name="Line 300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301" name="Line 301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302" name="Line 302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304" name="Line 304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305" name="Line 305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306" name="Line 306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307" name="Line 307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308" name="Line 308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309" name="Line 309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310" name="Line 310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311" name="Line 311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312" name="Line 312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313" name="Line 313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314" name="Line 314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315" name="Line 315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316" name="Line 316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317" name="Line 317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318" name="Line 318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319" name="Line 319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320" name="Line 320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321" name="Line 321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322" name="Line 322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323" name="Line 323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324" name="Line 324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325" name="Line 325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326" name="Line 326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327" name="Line 327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328" name="Line 328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329" name="Line 329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330" name="Line 330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332" name="Line 332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333" name="Line 333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334" name="Line 334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335" name="Line 335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336" name="Line 336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337" name="Line 337"/>
        <xdr:cNvSpPr>
          <a:spLocks/>
        </xdr:cNvSpPr>
      </xdr:nvSpPr>
      <xdr:spPr>
        <a:xfrm>
          <a:off x="28575" y="656939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273</xdr:row>
      <xdr:rowOff>0</xdr:rowOff>
    </xdr:from>
    <xdr:to>
      <xdr:col>1</xdr:col>
      <xdr:colOff>0</xdr:colOff>
      <xdr:row>273</xdr:row>
      <xdr:rowOff>0</xdr:rowOff>
    </xdr:to>
    <xdr:sp>
      <xdr:nvSpPr>
        <xdr:cNvPr id="338" name="Line 338"/>
        <xdr:cNvSpPr>
          <a:spLocks/>
        </xdr:cNvSpPr>
      </xdr:nvSpPr>
      <xdr:spPr>
        <a:xfrm>
          <a:off x="28575" y="637698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273</xdr:row>
      <xdr:rowOff>0</xdr:rowOff>
    </xdr:from>
    <xdr:to>
      <xdr:col>1</xdr:col>
      <xdr:colOff>0</xdr:colOff>
      <xdr:row>273</xdr:row>
      <xdr:rowOff>0</xdr:rowOff>
    </xdr:to>
    <xdr:sp>
      <xdr:nvSpPr>
        <xdr:cNvPr id="339" name="Line 339"/>
        <xdr:cNvSpPr>
          <a:spLocks/>
        </xdr:cNvSpPr>
      </xdr:nvSpPr>
      <xdr:spPr>
        <a:xfrm>
          <a:off x="28575" y="637698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273</xdr:row>
      <xdr:rowOff>0</xdr:rowOff>
    </xdr:from>
    <xdr:to>
      <xdr:col>1</xdr:col>
      <xdr:colOff>0</xdr:colOff>
      <xdr:row>273</xdr:row>
      <xdr:rowOff>0</xdr:rowOff>
    </xdr:to>
    <xdr:sp>
      <xdr:nvSpPr>
        <xdr:cNvPr id="340" name="Line 340"/>
        <xdr:cNvSpPr>
          <a:spLocks/>
        </xdr:cNvSpPr>
      </xdr:nvSpPr>
      <xdr:spPr>
        <a:xfrm>
          <a:off x="28575" y="637698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273</xdr:row>
      <xdr:rowOff>0</xdr:rowOff>
    </xdr:from>
    <xdr:to>
      <xdr:col>1</xdr:col>
      <xdr:colOff>0</xdr:colOff>
      <xdr:row>273</xdr:row>
      <xdr:rowOff>0</xdr:rowOff>
    </xdr:to>
    <xdr:sp>
      <xdr:nvSpPr>
        <xdr:cNvPr id="341" name="Line 341"/>
        <xdr:cNvSpPr>
          <a:spLocks/>
        </xdr:cNvSpPr>
      </xdr:nvSpPr>
      <xdr:spPr>
        <a:xfrm>
          <a:off x="28575" y="637698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273</xdr:row>
      <xdr:rowOff>0</xdr:rowOff>
    </xdr:from>
    <xdr:to>
      <xdr:col>1</xdr:col>
      <xdr:colOff>0</xdr:colOff>
      <xdr:row>273</xdr:row>
      <xdr:rowOff>0</xdr:rowOff>
    </xdr:to>
    <xdr:sp>
      <xdr:nvSpPr>
        <xdr:cNvPr id="342" name="Line 342"/>
        <xdr:cNvSpPr>
          <a:spLocks/>
        </xdr:cNvSpPr>
      </xdr:nvSpPr>
      <xdr:spPr>
        <a:xfrm>
          <a:off x="28575" y="637698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273</xdr:row>
      <xdr:rowOff>0</xdr:rowOff>
    </xdr:from>
    <xdr:to>
      <xdr:col>1</xdr:col>
      <xdr:colOff>0</xdr:colOff>
      <xdr:row>273</xdr:row>
      <xdr:rowOff>0</xdr:rowOff>
    </xdr:to>
    <xdr:sp>
      <xdr:nvSpPr>
        <xdr:cNvPr id="343" name="Line 343"/>
        <xdr:cNvSpPr>
          <a:spLocks/>
        </xdr:cNvSpPr>
      </xdr:nvSpPr>
      <xdr:spPr>
        <a:xfrm>
          <a:off x="28575" y="637698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102</xdr:row>
      <xdr:rowOff>0</xdr:rowOff>
    </xdr:from>
    <xdr:to>
      <xdr:col>1</xdr:col>
      <xdr:colOff>0</xdr:colOff>
      <xdr:row>102</xdr:row>
      <xdr:rowOff>0</xdr:rowOff>
    </xdr:to>
    <xdr:sp>
      <xdr:nvSpPr>
        <xdr:cNvPr id="344" name="Line 348"/>
        <xdr:cNvSpPr>
          <a:spLocks/>
        </xdr:cNvSpPr>
      </xdr:nvSpPr>
      <xdr:spPr>
        <a:xfrm>
          <a:off x="28575" y="232029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102</xdr:row>
      <xdr:rowOff>0</xdr:rowOff>
    </xdr:from>
    <xdr:to>
      <xdr:col>1</xdr:col>
      <xdr:colOff>0</xdr:colOff>
      <xdr:row>102</xdr:row>
      <xdr:rowOff>0</xdr:rowOff>
    </xdr:to>
    <xdr:sp>
      <xdr:nvSpPr>
        <xdr:cNvPr id="345" name="Line 349"/>
        <xdr:cNvSpPr>
          <a:spLocks/>
        </xdr:cNvSpPr>
      </xdr:nvSpPr>
      <xdr:spPr>
        <a:xfrm>
          <a:off x="28575" y="232029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102</xdr:row>
      <xdr:rowOff>0</xdr:rowOff>
    </xdr:from>
    <xdr:to>
      <xdr:col>1</xdr:col>
      <xdr:colOff>0</xdr:colOff>
      <xdr:row>102</xdr:row>
      <xdr:rowOff>0</xdr:rowOff>
    </xdr:to>
    <xdr:sp>
      <xdr:nvSpPr>
        <xdr:cNvPr id="346" name="Line 350"/>
        <xdr:cNvSpPr>
          <a:spLocks/>
        </xdr:cNvSpPr>
      </xdr:nvSpPr>
      <xdr:spPr>
        <a:xfrm>
          <a:off x="28575" y="232029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102</xdr:row>
      <xdr:rowOff>0</xdr:rowOff>
    </xdr:from>
    <xdr:to>
      <xdr:col>1</xdr:col>
      <xdr:colOff>0</xdr:colOff>
      <xdr:row>102</xdr:row>
      <xdr:rowOff>0</xdr:rowOff>
    </xdr:to>
    <xdr:sp>
      <xdr:nvSpPr>
        <xdr:cNvPr id="347" name="Line 351"/>
        <xdr:cNvSpPr>
          <a:spLocks/>
        </xdr:cNvSpPr>
      </xdr:nvSpPr>
      <xdr:spPr>
        <a:xfrm>
          <a:off x="28575" y="23202900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68"/>
  <sheetViews>
    <sheetView tabSelected="1" zoomScale="90" zoomScaleNormal="90" zoomScaleSheetLayoutView="100" workbookViewId="0" topLeftCell="A1">
      <pane xSplit="1" topLeftCell="B1" activePane="topRight" state="frozen"/>
      <selection pane="topLeft" activeCell="A4" sqref="A4"/>
      <selection pane="topRight" activeCell="C3" sqref="C3"/>
    </sheetView>
  </sheetViews>
  <sheetFormatPr defaultColWidth="9.00390625" defaultRowHeight="12.75"/>
  <cols>
    <col min="1" max="1" width="54.875" style="72" customWidth="1"/>
    <col min="2" max="2" width="13.625" style="72" customWidth="1"/>
    <col min="3" max="3" width="11.875" style="72" customWidth="1"/>
    <col min="4" max="5" width="11.75390625" style="72" customWidth="1"/>
    <col min="6" max="6" width="12.75390625" style="72" customWidth="1"/>
    <col min="7" max="7" width="9.75390625" style="73" customWidth="1"/>
    <col min="8" max="8" width="8.625" style="72" customWidth="1"/>
    <col min="9" max="9" width="10.00390625" style="72" customWidth="1"/>
    <col min="10" max="10" width="9.875" style="72" customWidth="1"/>
    <col min="11" max="11" width="9.375" style="72" customWidth="1"/>
    <col min="12" max="12" width="10.375" style="72" customWidth="1"/>
    <col min="13" max="13" width="9.625" style="72" customWidth="1"/>
    <col min="14" max="14" width="12.125" style="72" customWidth="1"/>
    <col min="15" max="15" width="9.875" style="72" bestFit="1" customWidth="1"/>
    <col min="16" max="16" width="12.75390625" style="72" customWidth="1"/>
    <col min="17" max="17" width="11.875" style="72" customWidth="1"/>
    <col min="18" max="18" width="10.00390625" style="72" customWidth="1"/>
    <col min="19" max="20" width="10.625" style="72" customWidth="1"/>
    <col min="21" max="21" width="9.75390625" style="72" customWidth="1"/>
    <col min="22" max="23" width="8.875" style="72" customWidth="1"/>
    <col min="24" max="24" width="8.75390625" style="72" customWidth="1"/>
    <col min="25" max="25" width="9.00390625" style="72" customWidth="1"/>
    <col min="26" max="26" width="11.625" style="72" customWidth="1"/>
    <col min="27" max="27" width="8.875" style="72" customWidth="1"/>
    <col min="28" max="29" width="11.125" style="72" customWidth="1"/>
    <col min="30" max="30" width="11.375" style="72" customWidth="1"/>
    <col min="31" max="31" width="12.875" style="72" customWidth="1"/>
    <col min="32" max="32" width="13.00390625" style="104" customWidth="1"/>
    <col min="33" max="33" width="9.125" style="51" customWidth="1"/>
    <col min="34" max="34" width="11.875" style="51" customWidth="1"/>
    <col min="35" max="35" width="10.875" style="51" customWidth="1"/>
    <col min="36" max="36" width="11.875" style="51" customWidth="1"/>
    <col min="37" max="16384" width="9.125" style="51" customWidth="1"/>
  </cols>
  <sheetData>
    <row r="1" spans="1:32" s="21" customFormat="1" ht="15.75">
      <c r="A1" s="1" t="s">
        <v>386</v>
      </c>
      <c r="B1" s="18"/>
      <c r="C1" s="18"/>
      <c r="D1" s="19"/>
      <c r="E1" s="2"/>
      <c r="F1" s="20"/>
      <c r="G1" s="18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4"/>
    </row>
    <row r="2" spans="1:32" s="21" customFormat="1" ht="18" customHeight="1">
      <c r="A2" s="16"/>
      <c r="B2" s="22"/>
      <c r="C2" s="23"/>
      <c r="D2" s="3"/>
      <c r="E2" s="2"/>
      <c r="F2" s="19"/>
      <c r="G2" s="22"/>
      <c r="H2" s="23"/>
      <c r="I2" s="23"/>
      <c r="J2" s="23"/>
      <c r="K2" s="23"/>
      <c r="L2" s="2"/>
      <c r="M2" s="2"/>
      <c r="N2" s="2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4"/>
    </row>
    <row r="3" spans="1:32" s="15" customFormat="1" ht="18.75" customHeight="1" thickBot="1">
      <c r="A3" s="4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103" t="s">
        <v>151</v>
      </c>
    </row>
    <row r="4" spans="1:32" s="15" customFormat="1" ht="13.5" customHeight="1">
      <c r="A4" s="88"/>
      <c r="B4" s="89" t="s">
        <v>233</v>
      </c>
      <c r="C4" s="90"/>
      <c r="D4" s="91"/>
      <c r="E4" s="92" t="s">
        <v>349</v>
      </c>
      <c r="F4" s="93"/>
      <c r="G4" s="89"/>
      <c r="H4" s="90"/>
      <c r="I4" s="90"/>
      <c r="J4" s="90"/>
      <c r="K4" s="90"/>
      <c r="L4" s="90" t="s">
        <v>350</v>
      </c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89" t="s">
        <v>388</v>
      </c>
      <c r="AF4" s="94"/>
    </row>
    <row r="5" spans="1:32" s="27" customFormat="1" ht="12.75">
      <c r="A5" s="95" t="s">
        <v>132</v>
      </c>
      <c r="B5" s="6" t="s">
        <v>235</v>
      </c>
      <c r="C5" s="6" t="s">
        <v>236</v>
      </c>
      <c r="D5" s="6" t="s">
        <v>346</v>
      </c>
      <c r="E5" s="6" t="s">
        <v>237</v>
      </c>
      <c r="F5" s="6" t="s">
        <v>239</v>
      </c>
      <c r="G5" s="5" t="s">
        <v>231</v>
      </c>
      <c r="H5" s="6" t="s">
        <v>232</v>
      </c>
      <c r="I5" s="6" t="s">
        <v>411</v>
      </c>
      <c r="J5" s="6" t="s">
        <v>412</v>
      </c>
      <c r="K5" s="6" t="s">
        <v>343</v>
      </c>
      <c r="L5" s="6" t="s">
        <v>292</v>
      </c>
      <c r="M5" s="6" t="s">
        <v>244</v>
      </c>
      <c r="N5" s="6" t="s">
        <v>240</v>
      </c>
      <c r="O5" s="6" t="s">
        <v>242</v>
      </c>
      <c r="P5" s="6" t="s">
        <v>248</v>
      </c>
      <c r="Q5" s="6" t="s">
        <v>253</v>
      </c>
      <c r="R5" s="25" t="s">
        <v>288</v>
      </c>
      <c r="S5" s="6" t="s">
        <v>255</v>
      </c>
      <c r="T5" s="6" t="s">
        <v>348</v>
      </c>
      <c r="U5" s="6" t="s">
        <v>362</v>
      </c>
      <c r="V5" s="6" t="s">
        <v>368</v>
      </c>
      <c r="W5" s="6" t="s">
        <v>258</v>
      </c>
      <c r="X5" s="6" t="s">
        <v>260</v>
      </c>
      <c r="Y5" s="24" t="s">
        <v>261</v>
      </c>
      <c r="Z5" s="6" t="s">
        <v>262</v>
      </c>
      <c r="AA5" s="6" t="s">
        <v>111</v>
      </c>
      <c r="AB5" s="6" t="s">
        <v>370</v>
      </c>
      <c r="AC5" s="24" t="s">
        <v>375</v>
      </c>
      <c r="AD5" s="26" t="s">
        <v>381</v>
      </c>
      <c r="AE5" s="24" t="s">
        <v>266</v>
      </c>
      <c r="AF5" s="105"/>
    </row>
    <row r="6" spans="1:32" s="32" customFormat="1" ht="12.75">
      <c r="A6" s="96" t="s">
        <v>139</v>
      </c>
      <c r="B6" s="6" t="s">
        <v>233</v>
      </c>
      <c r="C6" s="6" t="s">
        <v>201</v>
      </c>
      <c r="D6" s="8" t="s">
        <v>233</v>
      </c>
      <c r="E6" s="28" t="s">
        <v>238</v>
      </c>
      <c r="F6" s="28" t="s">
        <v>119</v>
      </c>
      <c r="G6" s="28" t="s">
        <v>137</v>
      </c>
      <c r="H6" s="8" t="s">
        <v>117</v>
      </c>
      <c r="I6" s="8" t="s">
        <v>117</v>
      </c>
      <c r="J6" s="8" t="s">
        <v>117</v>
      </c>
      <c r="K6" s="8" t="s">
        <v>344</v>
      </c>
      <c r="L6" s="28" t="s">
        <v>293</v>
      </c>
      <c r="M6" s="8" t="s">
        <v>245</v>
      </c>
      <c r="N6" s="28" t="s">
        <v>280</v>
      </c>
      <c r="O6" s="28" t="s">
        <v>241</v>
      </c>
      <c r="P6" s="28" t="s">
        <v>241</v>
      </c>
      <c r="Q6" s="28" t="s">
        <v>241</v>
      </c>
      <c r="R6" s="29" t="s">
        <v>289</v>
      </c>
      <c r="S6" s="28" t="s">
        <v>241</v>
      </c>
      <c r="T6" s="8" t="s">
        <v>107</v>
      </c>
      <c r="U6" s="8" t="s">
        <v>363</v>
      </c>
      <c r="V6" s="8" t="s">
        <v>363</v>
      </c>
      <c r="W6" s="28" t="s">
        <v>259</v>
      </c>
      <c r="X6" s="28" t="s">
        <v>259</v>
      </c>
      <c r="Y6" s="30" t="s">
        <v>118</v>
      </c>
      <c r="Z6" s="30" t="s">
        <v>120</v>
      </c>
      <c r="AA6" s="28" t="s">
        <v>321</v>
      </c>
      <c r="AB6" s="8" t="s">
        <v>371</v>
      </c>
      <c r="AC6" s="8" t="s">
        <v>376</v>
      </c>
      <c r="AD6" s="7" t="s">
        <v>241</v>
      </c>
      <c r="AE6" s="31" t="s">
        <v>267</v>
      </c>
      <c r="AF6" s="106"/>
    </row>
    <row r="7" spans="1:32" s="32" customFormat="1" ht="12.75">
      <c r="A7" s="97"/>
      <c r="B7" s="28" t="s">
        <v>121</v>
      </c>
      <c r="C7" s="28" t="s">
        <v>202</v>
      </c>
      <c r="D7" s="8" t="s">
        <v>347</v>
      </c>
      <c r="E7" s="28" t="s">
        <v>281</v>
      </c>
      <c r="F7" s="28" t="s">
        <v>126</v>
      </c>
      <c r="G7" s="28" t="s">
        <v>121</v>
      </c>
      <c r="H7" s="8" t="s">
        <v>340</v>
      </c>
      <c r="I7" s="8" t="s">
        <v>340</v>
      </c>
      <c r="J7" s="8" t="s">
        <v>340</v>
      </c>
      <c r="K7" s="8" t="s">
        <v>249</v>
      </c>
      <c r="L7" s="28" t="s">
        <v>294</v>
      </c>
      <c r="M7" s="8" t="s">
        <v>246</v>
      </c>
      <c r="N7" s="28" t="s">
        <v>286</v>
      </c>
      <c r="O7" s="28" t="s">
        <v>243</v>
      </c>
      <c r="P7" s="28" t="s">
        <v>249</v>
      </c>
      <c r="Q7" s="28" t="s">
        <v>254</v>
      </c>
      <c r="R7" s="29" t="s">
        <v>290</v>
      </c>
      <c r="S7" s="28" t="s">
        <v>256</v>
      </c>
      <c r="T7" s="8" t="s">
        <v>108</v>
      </c>
      <c r="U7" s="8" t="s">
        <v>366</v>
      </c>
      <c r="V7" s="8" t="s">
        <v>366</v>
      </c>
      <c r="W7" s="28" t="s">
        <v>123</v>
      </c>
      <c r="X7" s="28" t="s">
        <v>123</v>
      </c>
      <c r="Y7" s="30" t="s">
        <v>125</v>
      </c>
      <c r="Z7" s="30" t="s">
        <v>127</v>
      </c>
      <c r="AA7" s="28" t="s">
        <v>112</v>
      </c>
      <c r="AB7" s="8" t="s">
        <v>234</v>
      </c>
      <c r="AC7" s="8" t="s">
        <v>377</v>
      </c>
      <c r="AD7" s="7" t="s">
        <v>382</v>
      </c>
      <c r="AE7" s="31" t="s">
        <v>226</v>
      </c>
      <c r="AF7" s="106" t="s">
        <v>116</v>
      </c>
    </row>
    <row r="8" spans="1:32" s="27" customFormat="1" ht="12.75" customHeight="1">
      <c r="A8" s="97"/>
      <c r="B8" s="28" t="s">
        <v>234</v>
      </c>
      <c r="C8" s="28" t="s">
        <v>203</v>
      </c>
      <c r="D8" s="8"/>
      <c r="E8" s="28" t="s">
        <v>122</v>
      </c>
      <c r="F8" s="28" t="s">
        <v>131</v>
      </c>
      <c r="G8" s="28" t="s">
        <v>341</v>
      </c>
      <c r="H8" s="7" t="s">
        <v>128</v>
      </c>
      <c r="I8" s="7" t="s">
        <v>128</v>
      </c>
      <c r="J8" s="7" t="s">
        <v>128</v>
      </c>
      <c r="K8" s="7" t="s">
        <v>345</v>
      </c>
      <c r="L8" s="8" t="s">
        <v>295</v>
      </c>
      <c r="M8" s="8" t="s">
        <v>131</v>
      </c>
      <c r="N8" s="28" t="s">
        <v>124</v>
      </c>
      <c r="O8" s="28" t="s">
        <v>204</v>
      </c>
      <c r="P8" s="28" t="s">
        <v>250</v>
      </c>
      <c r="Q8" s="28"/>
      <c r="R8" s="33" t="s">
        <v>291</v>
      </c>
      <c r="S8" s="34" t="s">
        <v>257</v>
      </c>
      <c r="T8" s="8" t="s">
        <v>109</v>
      </c>
      <c r="U8" s="8" t="s">
        <v>367</v>
      </c>
      <c r="V8" s="8" t="s">
        <v>367</v>
      </c>
      <c r="W8" s="28" t="s">
        <v>129</v>
      </c>
      <c r="X8" s="28" t="s">
        <v>138</v>
      </c>
      <c r="Y8" s="30" t="s">
        <v>130</v>
      </c>
      <c r="Z8" s="30" t="s">
        <v>263</v>
      </c>
      <c r="AA8" s="28" t="s">
        <v>113</v>
      </c>
      <c r="AB8" s="8" t="s">
        <v>372</v>
      </c>
      <c r="AC8" s="8" t="s">
        <v>378</v>
      </c>
      <c r="AD8" s="35" t="s">
        <v>383</v>
      </c>
      <c r="AE8" s="36" t="s">
        <v>227</v>
      </c>
      <c r="AF8" s="106"/>
    </row>
    <row r="9" spans="1:32" s="38" customFormat="1" ht="12.75" customHeight="1">
      <c r="A9" s="98" t="s">
        <v>132</v>
      </c>
      <c r="B9" s="6"/>
      <c r="C9" s="6"/>
      <c r="D9" s="8"/>
      <c r="E9" s="28"/>
      <c r="F9" s="28" t="s">
        <v>133</v>
      </c>
      <c r="G9" s="28" t="s">
        <v>342</v>
      </c>
      <c r="H9" s="7"/>
      <c r="I9" s="7"/>
      <c r="J9" s="7"/>
      <c r="K9" s="7"/>
      <c r="L9" s="28" t="s">
        <v>296</v>
      </c>
      <c r="M9" s="8" t="s">
        <v>247</v>
      </c>
      <c r="N9" s="28" t="s">
        <v>287</v>
      </c>
      <c r="O9" s="28"/>
      <c r="P9" s="8" t="s">
        <v>251</v>
      </c>
      <c r="Q9" s="28"/>
      <c r="R9" s="30"/>
      <c r="S9" s="28"/>
      <c r="T9" s="8" t="s">
        <v>110</v>
      </c>
      <c r="U9" s="8" t="s">
        <v>364</v>
      </c>
      <c r="V9" s="8" t="s">
        <v>364</v>
      </c>
      <c r="W9" s="28"/>
      <c r="X9" s="28"/>
      <c r="Y9" s="30"/>
      <c r="Z9" s="30" t="s">
        <v>134</v>
      </c>
      <c r="AA9" s="28" t="s">
        <v>114</v>
      </c>
      <c r="AB9" s="37" t="s">
        <v>373</v>
      </c>
      <c r="AC9" s="37" t="s">
        <v>379</v>
      </c>
      <c r="AD9" s="35" t="s">
        <v>384</v>
      </c>
      <c r="AE9" s="36" t="s">
        <v>264</v>
      </c>
      <c r="AF9" s="106"/>
    </row>
    <row r="10" spans="1:32" s="38" customFormat="1" ht="12" customHeight="1">
      <c r="A10" s="99" t="s">
        <v>135</v>
      </c>
      <c r="B10" s="39"/>
      <c r="C10" s="39"/>
      <c r="D10" s="10"/>
      <c r="E10" s="40"/>
      <c r="F10" s="40"/>
      <c r="G10" s="40" t="s">
        <v>202</v>
      </c>
      <c r="H10" s="9"/>
      <c r="I10" s="9"/>
      <c r="J10" s="9"/>
      <c r="K10" s="9"/>
      <c r="L10" s="40"/>
      <c r="M10" s="10" t="s">
        <v>282</v>
      </c>
      <c r="N10" s="40"/>
      <c r="O10" s="40"/>
      <c r="P10" s="40" t="s">
        <v>252</v>
      </c>
      <c r="Q10" s="40"/>
      <c r="R10" s="41"/>
      <c r="S10" s="40"/>
      <c r="T10" s="40"/>
      <c r="U10" s="10" t="s">
        <v>365</v>
      </c>
      <c r="V10" s="10" t="s">
        <v>369</v>
      </c>
      <c r="W10" s="40"/>
      <c r="X10" s="40"/>
      <c r="Y10" s="41"/>
      <c r="Z10" s="41" t="s">
        <v>136</v>
      </c>
      <c r="AA10" s="40" t="s">
        <v>115</v>
      </c>
      <c r="AB10" s="42" t="s">
        <v>374</v>
      </c>
      <c r="AC10" s="43" t="s">
        <v>380</v>
      </c>
      <c r="AD10" s="9" t="s">
        <v>385</v>
      </c>
      <c r="AE10" s="36" t="s">
        <v>265</v>
      </c>
      <c r="AF10" s="107"/>
    </row>
    <row r="11" spans="1:32" s="11" customFormat="1" ht="11.25">
      <c r="A11" s="100">
        <v>1</v>
      </c>
      <c r="B11" s="87">
        <v>2</v>
      </c>
      <c r="C11" s="87">
        <v>3</v>
      </c>
      <c r="D11" s="87">
        <v>4</v>
      </c>
      <c r="E11" s="87">
        <v>5</v>
      </c>
      <c r="F11" s="87">
        <v>6</v>
      </c>
      <c r="G11" s="87">
        <v>7</v>
      </c>
      <c r="H11" s="87">
        <v>8</v>
      </c>
      <c r="I11" s="87">
        <v>9</v>
      </c>
      <c r="J11" s="87">
        <v>10</v>
      </c>
      <c r="K11" s="87">
        <v>11</v>
      </c>
      <c r="L11" s="87">
        <v>12</v>
      </c>
      <c r="M11" s="87">
        <v>13</v>
      </c>
      <c r="N11" s="87">
        <v>14</v>
      </c>
      <c r="O11" s="87">
        <v>15</v>
      </c>
      <c r="P11" s="87">
        <v>16</v>
      </c>
      <c r="Q11" s="87">
        <v>17</v>
      </c>
      <c r="R11" s="87">
        <v>18</v>
      </c>
      <c r="S11" s="87">
        <v>19</v>
      </c>
      <c r="T11" s="87">
        <v>20</v>
      </c>
      <c r="U11" s="87">
        <v>21</v>
      </c>
      <c r="V11" s="87">
        <v>22</v>
      </c>
      <c r="W11" s="87">
        <v>23</v>
      </c>
      <c r="X11" s="87">
        <v>24</v>
      </c>
      <c r="Y11" s="87">
        <v>25</v>
      </c>
      <c r="Z11" s="87">
        <v>26</v>
      </c>
      <c r="AA11" s="87">
        <v>27</v>
      </c>
      <c r="AB11" s="87">
        <v>28</v>
      </c>
      <c r="AC11" s="87">
        <v>29</v>
      </c>
      <c r="AD11" s="87">
        <v>30</v>
      </c>
      <c r="AE11" s="87">
        <v>31</v>
      </c>
      <c r="AF11" s="101">
        <v>32</v>
      </c>
    </row>
    <row r="12" spans="1:36" s="84" customFormat="1" ht="18" customHeight="1">
      <c r="A12" s="102" t="s">
        <v>283</v>
      </c>
      <c r="B12" s="44">
        <f aca="true" t="shared" si="0" ref="B12:AE12">B13+B532+B567</f>
        <v>230199120</v>
      </c>
      <c r="C12" s="44">
        <f t="shared" si="0"/>
        <v>18637848</v>
      </c>
      <c r="D12" s="44">
        <f t="shared" si="0"/>
        <v>573486</v>
      </c>
      <c r="E12" s="44">
        <f t="shared" si="0"/>
        <v>43206903</v>
      </c>
      <c r="F12" s="44">
        <f t="shared" si="0"/>
        <v>5740221</v>
      </c>
      <c r="G12" s="44">
        <f t="shared" si="0"/>
        <v>667452</v>
      </c>
      <c r="H12" s="44">
        <f t="shared" si="0"/>
        <v>80640</v>
      </c>
      <c r="I12" s="44">
        <f t="shared" si="0"/>
        <v>478445</v>
      </c>
      <c r="J12" s="44">
        <f t="shared" si="0"/>
        <v>224635</v>
      </c>
      <c r="K12" s="44">
        <f t="shared" si="0"/>
        <v>9000</v>
      </c>
      <c r="L12" s="44">
        <f t="shared" si="0"/>
        <v>890</v>
      </c>
      <c r="M12" s="185">
        <f t="shared" si="0"/>
        <v>222310</v>
      </c>
      <c r="N12" s="185">
        <f t="shared" si="0"/>
        <v>3757950</v>
      </c>
      <c r="O12" s="185">
        <f t="shared" si="0"/>
        <v>450000</v>
      </c>
      <c r="P12" s="185">
        <f t="shared" si="0"/>
        <v>719770</v>
      </c>
      <c r="Q12" s="185">
        <f t="shared" si="0"/>
        <v>15943404</v>
      </c>
      <c r="R12" s="185">
        <f t="shared" si="0"/>
        <v>309110</v>
      </c>
      <c r="S12" s="185">
        <f t="shared" si="0"/>
        <v>3824640</v>
      </c>
      <c r="T12" s="185">
        <f t="shared" si="0"/>
        <v>351300</v>
      </c>
      <c r="U12" s="185">
        <f t="shared" si="0"/>
        <v>75790</v>
      </c>
      <c r="V12" s="185">
        <f t="shared" si="0"/>
        <v>908240</v>
      </c>
      <c r="W12" s="185">
        <f t="shared" si="0"/>
        <v>201600</v>
      </c>
      <c r="X12" s="185">
        <f t="shared" si="0"/>
        <v>40500</v>
      </c>
      <c r="Y12" s="185">
        <f t="shared" si="0"/>
        <v>432310</v>
      </c>
      <c r="Z12" s="185">
        <f t="shared" si="0"/>
        <v>16946562</v>
      </c>
      <c r="AA12" s="185">
        <f t="shared" si="0"/>
        <v>2000</v>
      </c>
      <c r="AB12" s="185">
        <f t="shared" si="0"/>
        <v>203100</v>
      </c>
      <c r="AC12" s="185">
        <f t="shared" si="0"/>
        <v>322810</v>
      </c>
      <c r="AD12" s="185">
        <f t="shared" si="0"/>
        <v>364800</v>
      </c>
      <c r="AE12" s="185">
        <f t="shared" si="0"/>
        <v>137000</v>
      </c>
      <c r="AF12" s="186">
        <f>SUM(B12:AE12)</f>
        <v>345031836</v>
      </c>
      <c r="AH12" s="85"/>
      <c r="AI12" s="85"/>
      <c r="AJ12" s="85"/>
    </row>
    <row r="13" spans="1:36" s="82" customFormat="1" ht="18" customHeight="1" thickBot="1">
      <c r="A13" s="110" t="s">
        <v>94</v>
      </c>
      <c r="B13" s="134">
        <f>B14+B286+B453+B282</f>
        <v>230199120</v>
      </c>
      <c r="C13" s="134">
        <f aca="true" t="shared" si="1" ref="C13:AE13">C14+C286+C453+C282</f>
        <v>18637848</v>
      </c>
      <c r="D13" s="134">
        <f t="shared" si="1"/>
        <v>573486</v>
      </c>
      <c r="E13" s="134">
        <f t="shared" si="1"/>
        <v>43206903</v>
      </c>
      <c r="F13" s="134">
        <f t="shared" si="1"/>
        <v>5740221</v>
      </c>
      <c r="G13" s="134">
        <f t="shared" si="1"/>
        <v>667452</v>
      </c>
      <c r="H13" s="134">
        <f t="shared" si="1"/>
        <v>80640</v>
      </c>
      <c r="I13" s="134">
        <f t="shared" si="1"/>
        <v>0</v>
      </c>
      <c r="J13" s="134">
        <f t="shared" si="1"/>
        <v>0</v>
      </c>
      <c r="K13" s="134">
        <f t="shared" si="1"/>
        <v>9000</v>
      </c>
      <c r="L13" s="134">
        <f t="shared" si="1"/>
        <v>0</v>
      </c>
      <c r="M13" s="187">
        <f t="shared" si="1"/>
        <v>222310</v>
      </c>
      <c r="N13" s="187">
        <f t="shared" si="1"/>
        <v>3757950</v>
      </c>
      <c r="O13" s="187">
        <f t="shared" si="1"/>
        <v>450000</v>
      </c>
      <c r="P13" s="187">
        <f t="shared" si="1"/>
        <v>719770</v>
      </c>
      <c r="Q13" s="187">
        <f t="shared" si="1"/>
        <v>15943404</v>
      </c>
      <c r="R13" s="187">
        <f t="shared" si="1"/>
        <v>309110</v>
      </c>
      <c r="S13" s="187">
        <f t="shared" si="1"/>
        <v>3824640</v>
      </c>
      <c r="T13" s="187">
        <f t="shared" si="1"/>
        <v>351300</v>
      </c>
      <c r="U13" s="187">
        <f t="shared" si="1"/>
        <v>75790</v>
      </c>
      <c r="V13" s="187">
        <f t="shared" si="1"/>
        <v>908240</v>
      </c>
      <c r="W13" s="187">
        <f t="shared" si="1"/>
        <v>201600</v>
      </c>
      <c r="X13" s="187">
        <f t="shared" si="1"/>
        <v>40500</v>
      </c>
      <c r="Y13" s="187">
        <f t="shared" si="1"/>
        <v>432310</v>
      </c>
      <c r="Z13" s="187">
        <f t="shared" si="1"/>
        <v>16946562</v>
      </c>
      <c r="AA13" s="187">
        <f t="shared" si="1"/>
        <v>2000</v>
      </c>
      <c r="AB13" s="187">
        <f t="shared" si="1"/>
        <v>203100</v>
      </c>
      <c r="AC13" s="187">
        <f t="shared" si="1"/>
        <v>322810</v>
      </c>
      <c r="AD13" s="187">
        <f t="shared" si="1"/>
        <v>364800</v>
      </c>
      <c r="AE13" s="187">
        <f t="shared" si="1"/>
        <v>137000</v>
      </c>
      <c r="AF13" s="188">
        <f aca="true" t="shared" si="2" ref="AF13:AF76">SUM(B13:AE13)</f>
        <v>344327866</v>
      </c>
      <c r="AH13" s="83"/>
      <c r="AI13" s="83"/>
      <c r="AJ13" s="83"/>
    </row>
    <row r="14" spans="1:34" s="74" customFormat="1" ht="23.25" customHeight="1" thickBot="1" thickTop="1">
      <c r="A14" s="111" t="s">
        <v>268</v>
      </c>
      <c r="B14" s="135">
        <f>B15+B53+B76+B82+B100+B162+B165+B186+B191+B218+B240+B243+B257+B259+B272+B274+B277</f>
        <v>205065840</v>
      </c>
      <c r="C14" s="135">
        <f aca="true" t="shared" si="3" ref="C14:AE14">C15+C53+C76+C82+C100+C162+C165+C186+C191+C218+C240+C243+C257+C259+C272+C274+C277</f>
        <v>16618568</v>
      </c>
      <c r="D14" s="135">
        <f t="shared" si="3"/>
        <v>163200</v>
      </c>
      <c r="E14" s="135">
        <f t="shared" si="3"/>
        <v>38515609</v>
      </c>
      <c r="F14" s="135">
        <f t="shared" si="3"/>
        <v>5091921</v>
      </c>
      <c r="G14" s="135">
        <f t="shared" si="3"/>
        <v>578592</v>
      </c>
      <c r="H14" s="135"/>
      <c r="I14" s="135"/>
      <c r="J14" s="135"/>
      <c r="K14" s="135"/>
      <c r="L14" s="135"/>
      <c r="M14" s="189">
        <f t="shared" si="3"/>
        <v>182810</v>
      </c>
      <c r="N14" s="189">
        <f t="shared" si="3"/>
        <v>2982950</v>
      </c>
      <c r="O14" s="189"/>
      <c r="P14" s="189">
        <f t="shared" si="3"/>
        <v>622310</v>
      </c>
      <c r="Q14" s="189">
        <f t="shared" si="3"/>
        <v>14044914</v>
      </c>
      <c r="R14" s="189">
        <f t="shared" si="3"/>
        <v>271190</v>
      </c>
      <c r="S14" s="189">
        <f t="shared" si="3"/>
        <v>3375580</v>
      </c>
      <c r="T14" s="189">
        <f t="shared" si="3"/>
        <v>316570</v>
      </c>
      <c r="U14" s="189">
        <f t="shared" si="3"/>
        <v>66290</v>
      </c>
      <c r="V14" s="189">
        <f t="shared" si="3"/>
        <v>798090</v>
      </c>
      <c r="W14" s="189">
        <f t="shared" si="3"/>
        <v>178950</v>
      </c>
      <c r="X14" s="189">
        <f t="shared" si="3"/>
        <v>38000</v>
      </c>
      <c r="Y14" s="189">
        <f t="shared" si="3"/>
        <v>376270</v>
      </c>
      <c r="Z14" s="189">
        <f t="shared" si="3"/>
        <v>15276144</v>
      </c>
      <c r="AA14" s="189"/>
      <c r="AB14" s="189">
        <f t="shared" si="3"/>
        <v>199100</v>
      </c>
      <c r="AC14" s="189">
        <f t="shared" si="3"/>
        <v>281310</v>
      </c>
      <c r="AD14" s="189">
        <f t="shared" si="3"/>
        <v>321700</v>
      </c>
      <c r="AE14" s="189">
        <f t="shared" si="3"/>
        <v>87000</v>
      </c>
      <c r="AF14" s="190">
        <f t="shared" si="2"/>
        <v>305452908</v>
      </c>
      <c r="AH14" s="75"/>
    </row>
    <row r="15" spans="1:35" s="80" customFormat="1" ht="18" customHeight="1" thickBot="1">
      <c r="A15" s="112" t="s">
        <v>269</v>
      </c>
      <c r="B15" s="48">
        <f aca="true" t="shared" si="4" ref="B15:G15">SUM(B16:B52)</f>
        <v>54996140</v>
      </c>
      <c r="C15" s="48">
        <f t="shared" si="4"/>
        <v>4514970</v>
      </c>
      <c r="D15" s="48">
        <f t="shared" si="4"/>
        <v>60000</v>
      </c>
      <c r="E15" s="48">
        <f t="shared" si="4"/>
        <v>10486200</v>
      </c>
      <c r="F15" s="48">
        <f t="shared" si="4"/>
        <v>1382630</v>
      </c>
      <c r="G15" s="48">
        <f t="shared" si="4"/>
        <v>238040</v>
      </c>
      <c r="H15" s="48"/>
      <c r="I15" s="48"/>
      <c r="J15" s="48"/>
      <c r="K15" s="48"/>
      <c r="L15" s="48"/>
      <c r="M15" s="48">
        <f>SUM(M16:M52)</f>
        <v>37310</v>
      </c>
      <c r="N15" s="48">
        <f>SUM(N16:N52)</f>
        <v>1004630</v>
      </c>
      <c r="O15" s="48"/>
      <c r="P15" s="48">
        <f aca="true" t="shared" si="5" ref="P15:W15">SUM(P16:P52)</f>
        <v>239370</v>
      </c>
      <c r="Q15" s="48">
        <f t="shared" si="5"/>
        <v>4548830</v>
      </c>
      <c r="R15" s="48">
        <f t="shared" si="5"/>
        <v>86440</v>
      </c>
      <c r="S15" s="48">
        <f t="shared" si="5"/>
        <v>631930</v>
      </c>
      <c r="T15" s="48">
        <f t="shared" si="5"/>
        <v>98280</v>
      </c>
      <c r="U15" s="48">
        <f t="shared" si="5"/>
        <v>36600</v>
      </c>
      <c r="V15" s="48">
        <f t="shared" si="5"/>
        <v>247000</v>
      </c>
      <c r="W15" s="48">
        <f t="shared" si="5"/>
        <v>54490</v>
      </c>
      <c r="X15" s="48"/>
      <c r="Y15" s="48">
        <f>SUM(Y16:Y52)</f>
        <v>101220</v>
      </c>
      <c r="Z15" s="48">
        <f>SUM(Z16:Z52)</f>
        <v>4078051</v>
      </c>
      <c r="AA15" s="48"/>
      <c r="AB15" s="48">
        <f>SUM(AB16:AB52)</f>
        <v>164500</v>
      </c>
      <c r="AC15" s="48">
        <f>SUM(AC16:AC52)</f>
        <v>111100</v>
      </c>
      <c r="AD15" s="48">
        <f>SUM(AD16:AD52)</f>
        <v>175900</v>
      </c>
      <c r="AE15" s="48">
        <f>SUM(AE16:AE52)</f>
        <v>10000</v>
      </c>
      <c r="AF15" s="191">
        <f t="shared" si="2"/>
        <v>83303631</v>
      </c>
      <c r="AG15" s="14"/>
      <c r="AH15" s="14"/>
      <c r="AI15" s="80">
        <f>AF15+AF53+21400+2420264</f>
        <v>86190535</v>
      </c>
    </row>
    <row r="16" spans="1:36" s="47" customFormat="1" ht="18" customHeight="1">
      <c r="A16" s="113" t="s">
        <v>152</v>
      </c>
      <c r="B16" s="59">
        <v>2110530</v>
      </c>
      <c r="C16" s="59">
        <v>169640</v>
      </c>
      <c r="D16" s="59">
        <v>4000</v>
      </c>
      <c r="E16" s="59">
        <v>378100</v>
      </c>
      <c r="F16" s="59">
        <v>52580</v>
      </c>
      <c r="G16" s="59">
        <v>10000</v>
      </c>
      <c r="H16" s="59"/>
      <c r="I16" s="59"/>
      <c r="J16" s="59"/>
      <c r="K16" s="59"/>
      <c r="L16" s="59"/>
      <c r="M16" s="59"/>
      <c r="N16" s="59">
        <v>120000</v>
      </c>
      <c r="O16" s="59"/>
      <c r="P16" s="59">
        <v>8000</v>
      </c>
      <c r="Q16" s="59">
        <v>55000</v>
      </c>
      <c r="R16" s="59">
        <v>4000</v>
      </c>
      <c r="S16" s="59">
        <v>26000</v>
      </c>
      <c r="T16" s="59">
        <v>4500</v>
      </c>
      <c r="U16" s="59"/>
      <c r="V16" s="59">
        <v>17000</v>
      </c>
      <c r="W16" s="59">
        <v>3000</v>
      </c>
      <c r="X16" s="59"/>
      <c r="Y16" s="59">
        <v>2000</v>
      </c>
      <c r="Z16" s="59">
        <f>122120+28035</f>
        <v>150155</v>
      </c>
      <c r="AA16" s="59"/>
      <c r="AB16" s="59">
        <v>5000</v>
      </c>
      <c r="AC16" s="59">
        <v>5000</v>
      </c>
      <c r="AD16" s="59">
        <v>22000</v>
      </c>
      <c r="AE16" s="59"/>
      <c r="AF16" s="192">
        <f t="shared" si="2"/>
        <v>3146505</v>
      </c>
      <c r="AG16" s="49"/>
      <c r="AH16" s="49"/>
      <c r="AI16" s="80"/>
      <c r="AJ16" s="45"/>
    </row>
    <row r="17" spans="1:34" s="47" customFormat="1" ht="18" customHeight="1">
      <c r="A17" s="114" t="s">
        <v>153</v>
      </c>
      <c r="B17" s="50">
        <v>1593870</v>
      </c>
      <c r="C17" s="50">
        <v>144000</v>
      </c>
      <c r="D17" s="50">
        <v>3000</v>
      </c>
      <c r="E17" s="50">
        <v>304500</v>
      </c>
      <c r="F17" s="50">
        <v>37110</v>
      </c>
      <c r="G17" s="50">
        <v>6500</v>
      </c>
      <c r="H17" s="50"/>
      <c r="I17" s="50"/>
      <c r="J17" s="50"/>
      <c r="K17" s="50"/>
      <c r="L17" s="50"/>
      <c r="M17" s="50">
        <v>12000</v>
      </c>
      <c r="N17" s="50">
        <v>21000</v>
      </c>
      <c r="O17" s="50"/>
      <c r="P17" s="50">
        <v>5000</v>
      </c>
      <c r="Q17" s="50">
        <v>140000</v>
      </c>
      <c r="R17" s="50">
        <v>1600</v>
      </c>
      <c r="S17" s="50">
        <v>11600</v>
      </c>
      <c r="T17" s="50">
        <v>3600</v>
      </c>
      <c r="U17" s="50"/>
      <c r="V17" s="50">
        <v>9600</v>
      </c>
      <c r="W17" s="50">
        <v>1550</v>
      </c>
      <c r="X17" s="50"/>
      <c r="Y17" s="50">
        <v>1600</v>
      </c>
      <c r="Z17" s="50">
        <f>89490+28035</f>
        <v>117525</v>
      </c>
      <c r="AA17" s="50"/>
      <c r="AB17" s="50">
        <v>5000</v>
      </c>
      <c r="AC17" s="50">
        <v>2000</v>
      </c>
      <c r="AD17" s="50">
        <v>3000</v>
      </c>
      <c r="AE17" s="50"/>
      <c r="AF17" s="193">
        <f t="shared" si="2"/>
        <v>2424055</v>
      </c>
      <c r="AG17" s="49"/>
      <c r="AH17" s="49"/>
    </row>
    <row r="18" spans="1:34" s="47" customFormat="1" ht="18" customHeight="1">
      <c r="A18" s="114" t="s">
        <v>154</v>
      </c>
      <c r="B18" s="50">
        <v>1538660</v>
      </c>
      <c r="C18" s="50">
        <v>131380</v>
      </c>
      <c r="D18" s="50">
        <v>4000</v>
      </c>
      <c r="E18" s="50">
        <v>284440</v>
      </c>
      <c r="F18" s="50">
        <v>37740</v>
      </c>
      <c r="G18" s="50">
        <v>5050</v>
      </c>
      <c r="H18" s="50"/>
      <c r="I18" s="50"/>
      <c r="J18" s="50"/>
      <c r="K18" s="50"/>
      <c r="L18" s="50"/>
      <c r="M18" s="50"/>
      <c r="N18" s="50">
        <v>32200</v>
      </c>
      <c r="O18" s="50"/>
      <c r="P18" s="50">
        <v>8000</v>
      </c>
      <c r="Q18" s="50">
        <v>135000</v>
      </c>
      <c r="R18" s="50">
        <v>2000</v>
      </c>
      <c r="S18" s="50">
        <v>16000</v>
      </c>
      <c r="T18" s="50"/>
      <c r="U18" s="50"/>
      <c r="V18" s="50"/>
      <c r="W18" s="50">
        <v>2000</v>
      </c>
      <c r="X18" s="50"/>
      <c r="Y18" s="50">
        <v>3300</v>
      </c>
      <c r="Z18" s="50">
        <f>95610+25632</f>
        <v>121242</v>
      </c>
      <c r="AA18" s="50"/>
      <c r="AB18" s="50">
        <v>7000</v>
      </c>
      <c r="AC18" s="50">
        <v>5000</v>
      </c>
      <c r="AD18" s="50">
        <v>3000</v>
      </c>
      <c r="AE18" s="50"/>
      <c r="AF18" s="193">
        <f t="shared" si="2"/>
        <v>2336012</v>
      </c>
      <c r="AH18" s="45"/>
    </row>
    <row r="19" spans="1:36" s="47" customFormat="1" ht="18" customHeight="1">
      <c r="A19" s="114" t="s">
        <v>155</v>
      </c>
      <c r="B19" s="50">
        <v>1838000</v>
      </c>
      <c r="C19" s="50">
        <v>141400</v>
      </c>
      <c r="D19" s="50">
        <v>2000</v>
      </c>
      <c r="E19" s="50">
        <v>341000</v>
      </c>
      <c r="F19" s="50">
        <v>46000</v>
      </c>
      <c r="G19" s="50">
        <v>5000</v>
      </c>
      <c r="H19" s="50"/>
      <c r="I19" s="50"/>
      <c r="J19" s="50"/>
      <c r="K19" s="50"/>
      <c r="L19" s="50"/>
      <c r="M19" s="50"/>
      <c r="N19" s="50">
        <v>18000</v>
      </c>
      <c r="O19" s="50"/>
      <c r="P19" s="50">
        <v>5000</v>
      </c>
      <c r="Q19" s="50">
        <v>90000</v>
      </c>
      <c r="R19" s="50">
        <v>3000</v>
      </c>
      <c r="S19" s="50">
        <v>15000</v>
      </c>
      <c r="T19" s="50">
        <v>600</v>
      </c>
      <c r="U19" s="50">
        <v>3000</v>
      </c>
      <c r="V19" s="50">
        <v>3700</v>
      </c>
      <c r="W19" s="50">
        <v>2000</v>
      </c>
      <c r="X19" s="50"/>
      <c r="Y19" s="50">
        <v>1500</v>
      </c>
      <c r="Z19" s="50">
        <f>120840+23229</f>
        <v>144069</v>
      </c>
      <c r="AA19" s="50"/>
      <c r="AB19" s="50">
        <v>5000</v>
      </c>
      <c r="AC19" s="50">
        <v>1500</v>
      </c>
      <c r="AD19" s="50">
        <v>3000</v>
      </c>
      <c r="AE19" s="50"/>
      <c r="AF19" s="193">
        <f t="shared" si="2"/>
        <v>2668769</v>
      </c>
      <c r="AH19" s="45"/>
      <c r="AI19" s="45"/>
      <c r="AJ19" s="45"/>
    </row>
    <row r="20" spans="1:34" s="47" customFormat="1" ht="18" customHeight="1">
      <c r="A20" s="114" t="s">
        <v>156</v>
      </c>
      <c r="B20" s="50">
        <v>1401380</v>
      </c>
      <c r="C20" s="50">
        <v>108840</v>
      </c>
      <c r="D20" s="50"/>
      <c r="E20" s="50">
        <v>252110</v>
      </c>
      <c r="F20" s="50">
        <v>34330</v>
      </c>
      <c r="G20" s="50">
        <v>3000</v>
      </c>
      <c r="H20" s="50"/>
      <c r="I20" s="50"/>
      <c r="J20" s="50"/>
      <c r="K20" s="50"/>
      <c r="L20" s="50"/>
      <c r="M20" s="50"/>
      <c r="N20" s="50">
        <v>24000</v>
      </c>
      <c r="O20" s="50"/>
      <c r="P20" s="50">
        <v>4500</v>
      </c>
      <c r="Q20" s="50">
        <v>140000</v>
      </c>
      <c r="R20" s="50">
        <v>15000</v>
      </c>
      <c r="S20" s="50">
        <v>18000</v>
      </c>
      <c r="T20" s="50">
        <v>5000</v>
      </c>
      <c r="U20" s="50">
        <v>10000</v>
      </c>
      <c r="V20" s="50"/>
      <c r="W20" s="50">
        <v>500</v>
      </c>
      <c r="X20" s="50"/>
      <c r="Y20" s="50">
        <v>3000</v>
      </c>
      <c r="Z20" s="50">
        <f>79920+33642</f>
        <v>113562</v>
      </c>
      <c r="AA20" s="50"/>
      <c r="AB20" s="50">
        <v>5000</v>
      </c>
      <c r="AC20" s="50">
        <v>1500</v>
      </c>
      <c r="AD20" s="50">
        <v>4500</v>
      </c>
      <c r="AE20" s="50"/>
      <c r="AF20" s="193">
        <f t="shared" si="2"/>
        <v>2144222</v>
      </c>
      <c r="AH20" s="45"/>
    </row>
    <row r="21" spans="1:34" s="47" customFormat="1" ht="18" customHeight="1">
      <c r="A21" s="114" t="s">
        <v>157</v>
      </c>
      <c r="B21" s="50">
        <v>952720</v>
      </c>
      <c r="C21" s="50">
        <v>79100</v>
      </c>
      <c r="D21" s="50"/>
      <c r="E21" s="50">
        <v>174980</v>
      </c>
      <c r="F21" s="50">
        <v>23830</v>
      </c>
      <c r="G21" s="50">
        <v>5000</v>
      </c>
      <c r="H21" s="50"/>
      <c r="I21" s="50"/>
      <c r="J21" s="50"/>
      <c r="K21" s="50"/>
      <c r="L21" s="50"/>
      <c r="M21" s="50"/>
      <c r="N21" s="50">
        <v>15000</v>
      </c>
      <c r="O21" s="50"/>
      <c r="P21" s="50">
        <v>5000</v>
      </c>
      <c r="Q21" s="50">
        <v>83000</v>
      </c>
      <c r="R21" s="50">
        <v>2000</v>
      </c>
      <c r="S21" s="50">
        <v>20000</v>
      </c>
      <c r="T21" s="50">
        <v>3000</v>
      </c>
      <c r="U21" s="50"/>
      <c r="V21" s="50">
        <v>3500</v>
      </c>
      <c r="W21" s="50"/>
      <c r="X21" s="50"/>
      <c r="Y21" s="50"/>
      <c r="Z21" s="50">
        <f>59940+31239</f>
        <v>91179</v>
      </c>
      <c r="AA21" s="50"/>
      <c r="AB21" s="50">
        <v>3000</v>
      </c>
      <c r="AC21" s="50">
        <v>3200</v>
      </c>
      <c r="AD21" s="50">
        <v>4000</v>
      </c>
      <c r="AE21" s="50"/>
      <c r="AF21" s="193">
        <f t="shared" si="2"/>
        <v>1468509</v>
      </c>
      <c r="AH21" s="45"/>
    </row>
    <row r="22" spans="1:32" s="47" customFormat="1" ht="18" customHeight="1">
      <c r="A22" s="114" t="s">
        <v>358</v>
      </c>
      <c r="B22" s="50">
        <v>741310</v>
      </c>
      <c r="C22" s="50">
        <v>58260</v>
      </c>
      <c r="D22" s="50"/>
      <c r="E22" s="50">
        <v>147690</v>
      </c>
      <c r="F22" s="50">
        <v>19590</v>
      </c>
      <c r="G22" s="50">
        <v>2500</v>
      </c>
      <c r="H22" s="50"/>
      <c r="I22" s="50"/>
      <c r="J22" s="50"/>
      <c r="K22" s="50"/>
      <c r="L22" s="50"/>
      <c r="M22" s="50"/>
      <c r="N22" s="50">
        <v>15500</v>
      </c>
      <c r="O22" s="50"/>
      <c r="P22" s="50">
        <v>4300</v>
      </c>
      <c r="Q22" s="50">
        <v>60000</v>
      </c>
      <c r="R22" s="50">
        <v>1500</v>
      </c>
      <c r="S22" s="50">
        <v>10880</v>
      </c>
      <c r="T22" s="50">
        <v>1500</v>
      </c>
      <c r="U22" s="50"/>
      <c r="V22" s="50"/>
      <c r="W22" s="50">
        <v>1000</v>
      </c>
      <c r="X22" s="50"/>
      <c r="Y22" s="50"/>
      <c r="Z22" s="50">
        <f>46520+14418</f>
        <v>60938</v>
      </c>
      <c r="AA22" s="50"/>
      <c r="AB22" s="50">
        <v>2000</v>
      </c>
      <c r="AC22" s="50">
        <v>1000</v>
      </c>
      <c r="AD22" s="50">
        <v>1000</v>
      </c>
      <c r="AE22" s="50"/>
      <c r="AF22" s="193">
        <f t="shared" si="2"/>
        <v>1128968</v>
      </c>
    </row>
    <row r="23" spans="1:32" ht="18" customHeight="1">
      <c r="A23" s="114" t="s">
        <v>158</v>
      </c>
      <c r="B23" s="50">
        <v>1242980</v>
      </c>
      <c r="C23" s="50">
        <v>97190</v>
      </c>
      <c r="D23" s="50">
        <v>3000</v>
      </c>
      <c r="E23" s="50">
        <v>260730</v>
      </c>
      <c r="F23" s="50">
        <v>34150</v>
      </c>
      <c r="G23" s="50">
        <v>5950</v>
      </c>
      <c r="H23" s="50"/>
      <c r="I23" s="50"/>
      <c r="J23" s="50"/>
      <c r="K23" s="50"/>
      <c r="L23" s="50"/>
      <c r="M23" s="50"/>
      <c r="N23" s="50">
        <v>20150</v>
      </c>
      <c r="O23" s="50"/>
      <c r="P23" s="50">
        <v>2100</v>
      </c>
      <c r="Q23" s="50">
        <v>68670</v>
      </c>
      <c r="R23" s="50">
        <v>1050</v>
      </c>
      <c r="S23" s="50">
        <v>15910</v>
      </c>
      <c r="T23" s="50">
        <v>3800</v>
      </c>
      <c r="U23" s="50"/>
      <c r="V23" s="50">
        <v>10000</v>
      </c>
      <c r="W23" s="50">
        <v>500</v>
      </c>
      <c r="X23" s="50"/>
      <c r="Y23" s="50">
        <v>4200</v>
      </c>
      <c r="Z23" s="50">
        <f>77500+12015</f>
        <v>89515</v>
      </c>
      <c r="AA23" s="50"/>
      <c r="AB23" s="50">
        <v>2000</v>
      </c>
      <c r="AC23" s="50">
        <v>3000</v>
      </c>
      <c r="AD23" s="50">
        <v>2000</v>
      </c>
      <c r="AE23" s="50"/>
      <c r="AF23" s="193">
        <f t="shared" si="2"/>
        <v>1866895</v>
      </c>
    </row>
    <row r="24" spans="1:32" ht="18" customHeight="1">
      <c r="A24" s="114" t="s">
        <v>359</v>
      </c>
      <c r="B24" s="50">
        <v>534250</v>
      </c>
      <c r="C24" s="50">
        <v>45760</v>
      </c>
      <c r="D24" s="50">
        <v>900</v>
      </c>
      <c r="E24" s="50">
        <v>102000</v>
      </c>
      <c r="F24" s="50">
        <v>14200</v>
      </c>
      <c r="G24" s="50">
        <v>1000</v>
      </c>
      <c r="H24" s="50"/>
      <c r="I24" s="50"/>
      <c r="J24" s="50"/>
      <c r="K24" s="50"/>
      <c r="L24" s="50"/>
      <c r="M24" s="50"/>
      <c r="N24" s="50">
        <v>10200</v>
      </c>
      <c r="O24" s="50"/>
      <c r="P24" s="50">
        <v>1000</v>
      </c>
      <c r="Q24" s="50">
        <v>50000</v>
      </c>
      <c r="R24" s="50">
        <v>500</v>
      </c>
      <c r="S24" s="50">
        <v>7060</v>
      </c>
      <c r="T24" s="50">
        <v>530</v>
      </c>
      <c r="U24" s="50"/>
      <c r="V24" s="50">
        <v>6000</v>
      </c>
      <c r="W24" s="50">
        <v>500</v>
      </c>
      <c r="X24" s="50"/>
      <c r="Y24" s="50">
        <v>1440</v>
      </c>
      <c r="Z24" s="50">
        <f>31710+20826</f>
        <v>52536</v>
      </c>
      <c r="AA24" s="50"/>
      <c r="AB24" s="50">
        <v>500</v>
      </c>
      <c r="AC24" s="50">
        <v>1000</v>
      </c>
      <c r="AD24" s="50">
        <v>500</v>
      </c>
      <c r="AE24" s="50"/>
      <c r="AF24" s="193">
        <f t="shared" si="2"/>
        <v>829876</v>
      </c>
    </row>
    <row r="25" spans="1:32" ht="18" customHeight="1">
      <c r="A25" s="114" t="s">
        <v>159</v>
      </c>
      <c r="B25" s="50">
        <v>1085580</v>
      </c>
      <c r="C25" s="50">
        <v>91240</v>
      </c>
      <c r="D25" s="50">
        <v>2000</v>
      </c>
      <c r="E25" s="50">
        <v>199460</v>
      </c>
      <c r="F25" s="50">
        <v>26590</v>
      </c>
      <c r="G25" s="50">
        <v>5000</v>
      </c>
      <c r="H25" s="50"/>
      <c r="I25" s="50"/>
      <c r="J25" s="50"/>
      <c r="K25" s="50"/>
      <c r="L25" s="50"/>
      <c r="M25" s="50"/>
      <c r="N25" s="50">
        <v>20000</v>
      </c>
      <c r="O25" s="50"/>
      <c r="P25" s="50">
        <v>5000</v>
      </c>
      <c r="Q25" s="50">
        <v>80000</v>
      </c>
      <c r="R25" s="50">
        <v>1200</v>
      </c>
      <c r="S25" s="50">
        <v>13000</v>
      </c>
      <c r="T25" s="50">
        <v>2200</v>
      </c>
      <c r="U25" s="50">
        <v>500</v>
      </c>
      <c r="V25" s="50">
        <v>9000</v>
      </c>
      <c r="W25" s="50"/>
      <c r="X25" s="50"/>
      <c r="Y25" s="50">
        <v>2500</v>
      </c>
      <c r="Z25" s="50">
        <f>68410+10413</f>
        <v>78823</v>
      </c>
      <c r="AA25" s="50"/>
      <c r="AB25" s="50">
        <v>5000</v>
      </c>
      <c r="AC25" s="50">
        <v>4000</v>
      </c>
      <c r="AD25" s="50">
        <v>6000</v>
      </c>
      <c r="AE25" s="50"/>
      <c r="AF25" s="193">
        <f t="shared" si="2"/>
        <v>1637093</v>
      </c>
    </row>
    <row r="26" spans="1:32" ht="18" customHeight="1">
      <c r="A26" s="114" t="s">
        <v>160</v>
      </c>
      <c r="B26" s="50">
        <v>1905840</v>
      </c>
      <c r="C26" s="50">
        <v>140000</v>
      </c>
      <c r="D26" s="50">
        <v>2000</v>
      </c>
      <c r="E26" s="50">
        <v>384320</v>
      </c>
      <c r="F26" s="50">
        <v>49350</v>
      </c>
      <c r="G26" s="50">
        <v>10000</v>
      </c>
      <c r="H26" s="50"/>
      <c r="I26" s="50"/>
      <c r="J26" s="50"/>
      <c r="K26" s="50"/>
      <c r="L26" s="50"/>
      <c r="M26" s="50"/>
      <c r="N26" s="50">
        <v>40000</v>
      </c>
      <c r="O26" s="50"/>
      <c r="P26" s="50">
        <v>20000</v>
      </c>
      <c r="Q26" s="50">
        <v>180000</v>
      </c>
      <c r="R26" s="50">
        <v>2500</v>
      </c>
      <c r="S26" s="50">
        <v>30000</v>
      </c>
      <c r="T26" s="50">
        <v>8000</v>
      </c>
      <c r="U26" s="50"/>
      <c r="V26" s="50"/>
      <c r="W26" s="50">
        <v>3000</v>
      </c>
      <c r="X26" s="50"/>
      <c r="Y26" s="50">
        <v>8000</v>
      </c>
      <c r="Z26" s="50">
        <f>125330+28035</f>
        <v>153365</v>
      </c>
      <c r="AA26" s="50"/>
      <c r="AB26" s="50">
        <v>10000</v>
      </c>
      <c r="AC26" s="50">
        <v>5000</v>
      </c>
      <c r="AD26" s="50">
        <v>5000</v>
      </c>
      <c r="AE26" s="50"/>
      <c r="AF26" s="193">
        <f t="shared" si="2"/>
        <v>2956375</v>
      </c>
    </row>
    <row r="27" spans="1:32" ht="18" customHeight="1">
      <c r="A27" s="114" t="s">
        <v>360</v>
      </c>
      <c r="B27" s="50">
        <v>1874600</v>
      </c>
      <c r="C27" s="50">
        <v>163590</v>
      </c>
      <c r="D27" s="50">
        <v>4000</v>
      </c>
      <c r="E27" s="50">
        <v>344120</v>
      </c>
      <c r="F27" s="50">
        <v>47150</v>
      </c>
      <c r="G27" s="50">
        <v>14500</v>
      </c>
      <c r="H27" s="50"/>
      <c r="I27" s="50"/>
      <c r="J27" s="50"/>
      <c r="K27" s="50"/>
      <c r="L27" s="50"/>
      <c r="M27" s="50"/>
      <c r="N27" s="50">
        <v>20540</v>
      </c>
      <c r="O27" s="50"/>
      <c r="P27" s="50">
        <v>9500</v>
      </c>
      <c r="Q27" s="50">
        <v>185500</v>
      </c>
      <c r="R27" s="50">
        <v>2000</v>
      </c>
      <c r="S27" s="50">
        <v>10000</v>
      </c>
      <c r="T27" s="50">
        <v>2500</v>
      </c>
      <c r="U27" s="50"/>
      <c r="V27" s="50">
        <v>4000</v>
      </c>
      <c r="W27" s="50">
        <v>500</v>
      </c>
      <c r="X27" s="50"/>
      <c r="Y27" s="50">
        <v>2200</v>
      </c>
      <c r="Z27" s="50">
        <f>102760+20025</f>
        <v>122785</v>
      </c>
      <c r="AA27" s="50"/>
      <c r="AB27" s="50">
        <v>1000</v>
      </c>
      <c r="AC27" s="50">
        <v>2000</v>
      </c>
      <c r="AD27" s="50">
        <v>3000</v>
      </c>
      <c r="AE27" s="50"/>
      <c r="AF27" s="193">
        <f t="shared" si="2"/>
        <v>2813485</v>
      </c>
    </row>
    <row r="28" spans="1:32" ht="18" customHeight="1">
      <c r="A28" s="114" t="s">
        <v>161</v>
      </c>
      <c r="B28" s="50">
        <v>1554990</v>
      </c>
      <c r="C28" s="50">
        <v>123820</v>
      </c>
      <c r="D28" s="50">
        <v>2000</v>
      </c>
      <c r="E28" s="50">
        <v>302670</v>
      </c>
      <c r="F28" s="50">
        <v>38000</v>
      </c>
      <c r="G28" s="50">
        <v>6300</v>
      </c>
      <c r="H28" s="50"/>
      <c r="I28" s="50"/>
      <c r="J28" s="50"/>
      <c r="K28" s="50"/>
      <c r="L28" s="50"/>
      <c r="M28" s="50"/>
      <c r="N28" s="50">
        <v>23610</v>
      </c>
      <c r="O28" s="50"/>
      <c r="P28" s="50">
        <v>3900</v>
      </c>
      <c r="Q28" s="50">
        <v>110000</v>
      </c>
      <c r="R28" s="50">
        <v>1500</v>
      </c>
      <c r="S28" s="50">
        <v>12000</v>
      </c>
      <c r="T28" s="50">
        <v>1540</v>
      </c>
      <c r="U28" s="50">
        <v>400</v>
      </c>
      <c r="V28" s="50">
        <v>4600</v>
      </c>
      <c r="W28" s="50">
        <v>800</v>
      </c>
      <c r="X28" s="50"/>
      <c r="Y28" s="50">
        <v>2200</v>
      </c>
      <c r="Z28" s="50">
        <f>100810+25632</f>
        <v>126442</v>
      </c>
      <c r="AA28" s="50"/>
      <c r="AB28" s="50">
        <v>2000</v>
      </c>
      <c r="AC28" s="50">
        <v>3000</v>
      </c>
      <c r="AD28" s="50">
        <v>5000</v>
      </c>
      <c r="AE28" s="50"/>
      <c r="AF28" s="193">
        <f t="shared" si="2"/>
        <v>2324772</v>
      </c>
    </row>
    <row r="29" spans="1:32" ht="18" customHeight="1">
      <c r="A29" s="114" t="s">
        <v>162</v>
      </c>
      <c r="B29" s="50">
        <v>1500990</v>
      </c>
      <c r="C29" s="50">
        <v>125950</v>
      </c>
      <c r="D29" s="50">
        <v>3000</v>
      </c>
      <c r="E29" s="50">
        <v>300950</v>
      </c>
      <c r="F29" s="50">
        <v>38020</v>
      </c>
      <c r="G29" s="50">
        <v>10600</v>
      </c>
      <c r="H29" s="50"/>
      <c r="I29" s="50"/>
      <c r="J29" s="50"/>
      <c r="K29" s="50"/>
      <c r="L29" s="50"/>
      <c r="M29" s="50"/>
      <c r="N29" s="50">
        <v>35000</v>
      </c>
      <c r="O29" s="50"/>
      <c r="P29" s="50">
        <v>4500</v>
      </c>
      <c r="Q29" s="50">
        <v>99500</v>
      </c>
      <c r="R29" s="50">
        <v>3000</v>
      </c>
      <c r="S29" s="50">
        <v>15000</v>
      </c>
      <c r="T29" s="50"/>
      <c r="U29" s="50"/>
      <c r="V29" s="50">
        <v>11000</v>
      </c>
      <c r="W29" s="50">
        <v>800</v>
      </c>
      <c r="X29" s="50"/>
      <c r="Y29" s="50">
        <v>2300</v>
      </c>
      <c r="Z29" s="50">
        <f>91640+20826</f>
        <v>112466</v>
      </c>
      <c r="AA29" s="50"/>
      <c r="AB29" s="50">
        <v>1500</v>
      </c>
      <c r="AC29" s="50">
        <v>3000</v>
      </c>
      <c r="AD29" s="50">
        <v>6000</v>
      </c>
      <c r="AE29" s="50"/>
      <c r="AF29" s="193">
        <f t="shared" si="2"/>
        <v>2273576</v>
      </c>
    </row>
    <row r="30" spans="1:32" ht="18" customHeight="1">
      <c r="A30" s="229" t="s">
        <v>163</v>
      </c>
      <c r="B30" s="50">
        <v>1198160</v>
      </c>
      <c r="C30" s="50">
        <v>97800</v>
      </c>
      <c r="D30" s="50">
        <v>1000</v>
      </c>
      <c r="E30" s="50">
        <v>249830</v>
      </c>
      <c r="F30" s="50">
        <v>29940</v>
      </c>
      <c r="G30" s="50">
        <v>4000</v>
      </c>
      <c r="H30" s="50"/>
      <c r="I30" s="50"/>
      <c r="J30" s="50"/>
      <c r="K30" s="50"/>
      <c r="L30" s="50"/>
      <c r="M30" s="50"/>
      <c r="N30" s="50">
        <v>20000</v>
      </c>
      <c r="O30" s="50"/>
      <c r="P30" s="50">
        <v>3500</v>
      </c>
      <c r="Q30" s="50">
        <v>95000</v>
      </c>
      <c r="R30" s="50">
        <v>1500</v>
      </c>
      <c r="S30" s="50">
        <v>15000</v>
      </c>
      <c r="T30" s="50">
        <v>3650</v>
      </c>
      <c r="U30" s="50"/>
      <c r="V30" s="50">
        <v>6000</v>
      </c>
      <c r="W30" s="50">
        <v>1500</v>
      </c>
      <c r="X30" s="50"/>
      <c r="Y30" s="50">
        <v>3000</v>
      </c>
      <c r="Z30" s="50">
        <f>61800+23229</f>
        <v>85029</v>
      </c>
      <c r="AA30" s="50"/>
      <c r="AB30" s="50">
        <v>3000</v>
      </c>
      <c r="AC30" s="50">
        <v>1000</v>
      </c>
      <c r="AD30" s="50">
        <v>6000</v>
      </c>
      <c r="AE30" s="50"/>
      <c r="AF30" s="193">
        <f t="shared" si="2"/>
        <v>1824909</v>
      </c>
    </row>
    <row r="31" spans="1:32" ht="18" customHeight="1">
      <c r="A31" s="229" t="s">
        <v>164</v>
      </c>
      <c r="B31" s="50">
        <v>1905740</v>
      </c>
      <c r="C31" s="50">
        <v>168690</v>
      </c>
      <c r="D31" s="50">
        <v>4500</v>
      </c>
      <c r="E31" s="50">
        <v>358090</v>
      </c>
      <c r="F31" s="50">
        <v>44630</v>
      </c>
      <c r="G31" s="50">
        <v>6500</v>
      </c>
      <c r="H31" s="50"/>
      <c r="I31" s="50"/>
      <c r="J31" s="50"/>
      <c r="K31" s="50"/>
      <c r="L31" s="50"/>
      <c r="M31" s="50"/>
      <c r="N31" s="50">
        <v>29000</v>
      </c>
      <c r="O31" s="50"/>
      <c r="P31" s="50">
        <v>8000</v>
      </c>
      <c r="Q31" s="50">
        <v>147000</v>
      </c>
      <c r="R31" s="50">
        <v>1930</v>
      </c>
      <c r="S31" s="50">
        <v>22000</v>
      </c>
      <c r="T31" s="50">
        <v>2000</v>
      </c>
      <c r="U31" s="50"/>
      <c r="V31" s="50">
        <v>13000</v>
      </c>
      <c r="W31" s="50">
        <v>2000</v>
      </c>
      <c r="X31" s="50"/>
      <c r="Y31" s="50">
        <v>2000</v>
      </c>
      <c r="Z31" s="50">
        <f>122020+16020</f>
        <v>138040</v>
      </c>
      <c r="AA31" s="50"/>
      <c r="AB31" s="50">
        <v>5000</v>
      </c>
      <c r="AC31" s="50">
        <v>3000</v>
      </c>
      <c r="AD31" s="50">
        <v>4000</v>
      </c>
      <c r="AE31" s="50"/>
      <c r="AF31" s="193">
        <f t="shared" si="2"/>
        <v>2865120</v>
      </c>
    </row>
    <row r="32" spans="1:32" ht="18" customHeight="1">
      <c r="A32" s="229" t="s">
        <v>165</v>
      </c>
      <c r="B32" s="50">
        <v>2944050</v>
      </c>
      <c r="C32" s="50">
        <v>245310</v>
      </c>
      <c r="D32" s="50">
        <v>5000</v>
      </c>
      <c r="E32" s="50">
        <v>597070</v>
      </c>
      <c r="F32" s="50">
        <v>73960</v>
      </c>
      <c r="G32" s="50">
        <v>15000</v>
      </c>
      <c r="H32" s="50"/>
      <c r="I32" s="50"/>
      <c r="J32" s="50"/>
      <c r="K32" s="50"/>
      <c r="L32" s="50"/>
      <c r="M32" s="50"/>
      <c r="N32" s="50">
        <v>30000</v>
      </c>
      <c r="O32" s="50"/>
      <c r="P32" s="50">
        <v>10000</v>
      </c>
      <c r="Q32" s="50">
        <v>280000</v>
      </c>
      <c r="R32" s="50">
        <v>5000</v>
      </c>
      <c r="S32" s="50">
        <v>20000</v>
      </c>
      <c r="T32" s="50">
        <v>6000</v>
      </c>
      <c r="U32" s="50"/>
      <c r="V32" s="50">
        <v>15000</v>
      </c>
      <c r="W32" s="50">
        <v>1500</v>
      </c>
      <c r="X32" s="50"/>
      <c r="Y32" s="50">
        <v>10000</v>
      </c>
      <c r="Z32" s="50">
        <f>194150+22428</f>
        <v>216578</v>
      </c>
      <c r="AA32" s="50"/>
      <c r="AB32" s="50">
        <v>10000</v>
      </c>
      <c r="AC32" s="50">
        <v>5000</v>
      </c>
      <c r="AD32" s="50">
        <v>10000</v>
      </c>
      <c r="AE32" s="50"/>
      <c r="AF32" s="193">
        <f t="shared" si="2"/>
        <v>4499468</v>
      </c>
    </row>
    <row r="33" spans="1:32" ht="18" customHeight="1">
      <c r="A33" s="229" t="s">
        <v>166</v>
      </c>
      <c r="B33" s="50">
        <v>1510040</v>
      </c>
      <c r="C33" s="50">
        <v>137400</v>
      </c>
      <c r="D33" s="50"/>
      <c r="E33" s="50">
        <v>304370</v>
      </c>
      <c r="F33" s="50">
        <v>39040</v>
      </c>
      <c r="G33" s="50">
        <v>13000</v>
      </c>
      <c r="H33" s="50"/>
      <c r="I33" s="50"/>
      <c r="J33" s="50"/>
      <c r="K33" s="50"/>
      <c r="L33" s="50"/>
      <c r="M33" s="50">
        <v>6310</v>
      </c>
      <c r="N33" s="50">
        <v>17000</v>
      </c>
      <c r="O33" s="50"/>
      <c r="P33" s="50">
        <v>2500</v>
      </c>
      <c r="Q33" s="50">
        <v>97000</v>
      </c>
      <c r="R33" s="50">
        <v>1300</v>
      </c>
      <c r="S33" s="50">
        <v>9000</v>
      </c>
      <c r="T33" s="50">
        <v>2400</v>
      </c>
      <c r="U33" s="50"/>
      <c r="V33" s="50">
        <v>1000</v>
      </c>
      <c r="W33" s="50">
        <v>2100</v>
      </c>
      <c r="X33" s="50"/>
      <c r="Y33" s="50">
        <v>2160</v>
      </c>
      <c r="Z33" s="50">
        <f>95440+36846</f>
        <v>132286</v>
      </c>
      <c r="AA33" s="50"/>
      <c r="AB33" s="50">
        <v>4000</v>
      </c>
      <c r="AC33" s="50">
        <v>3000</v>
      </c>
      <c r="AD33" s="50">
        <v>2000</v>
      </c>
      <c r="AE33" s="50"/>
      <c r="AF33" s="193">
        <f t="shared" si="2"/>
        <v>2285906</v>
      </c>
    </row>
    <row r="34" spans="1:32" ht="18" customHeight="1">
      <c r="A34" s="229" t="s">
        <v>167</v>
      </c>
      <c r="B34" s="50">
        <v>2503940</v>
      </c>
      <c r="C34" s="50">
        <v>202950</v>
      </c>
      <c r="D34" s="50"/>
      <c r="E34" s="50">
        <v>466310</v>
      </c>
      <c r="F34" s="50">
        <v>63500</v>
      </c>
      <c r="G34" s="50">
        <v>12000</v>
      </c>
      <c r="H34" s="50"/>
      <c r="I34" s="50"/>
      <c r="J34" s="50"/>
      <c r="K34" s="50"/>
      <c r="L34" s="50"/>
      <c r="M34" s="50"/>
      <c r="N34" s="50">
        <v>55000</v>
      </c>
      <c r="O34" s="50"/>
      <c r="P34" s="50">
        <v>8000</v>
      </c>
      <c r="Q34" s="50">
        <v>290000</v>
      </c>
      <c r="R34" s="50">
        <v>2000</v>
      </c>
      <c r="S34" s="50">
        <v>12000</v>
      </c>
      <c r="T34" s="50">
        <v>1500</v>
      </c>
      <c r="U34" s="50">
        <v>2000</v>
      </c>
      <c r="V34" s="50">
        <v>10000</v>
      </c>
      <c r="W34" s="50">
        <v>1500</v>
      </c>
      <c r="X34" s="50"/>
      <c r="Y34" s="50">
        <v>3730</v>
      </c>
      <c r="Z34" s="50">
        <f>131150+39249</f>
        <v>170399</v>
      </c>
      <c r="AA34" s="50"/>
      <c r="AB34" s="50">
        <v>5000</v>
      </c>
      <c r="AC34" s="50">
        <v>6000</v>
      </c>
      <c r="AD34" s="50">
        <v>6000</v>
      </c>
      <c r="AE34" s="50"/>
      <c r="AF34" s="193">
        <f t="shared" si="2"/>
        <v>3821829</v>
      </c>
    </row>
    <row r="35" spans="1:32" ht="18" customHeight="1">
      <c r="A35" s="229" t="s">
        <v>168</v>
      </c>
      <c r="B35" s="50">
        <v>1562670</v>
      </c>
      <c r="C35" s="50">
        <v>126410</v>
      </c>
      <c r="D35" s="50">
        <v>1500</v>
      </c>
      <c r="E35" s="50">
        <v>321370</v>
      </c>
      <c r="F35" s="50">
        <v>40880</v>
      </c>
      <c r="G35" s="50">
        <v>6000</v>
      </c>
      <c r="H35" s="50"/>
      <c r="I35" s="50"/>
      <c r="J35" s="50"/>
      <c r="K35" s="50"/>
      <c r="L35" s="50"/>
      <c r="M35" s="50">
        <v>10000</v>
      </c>
      <c r="N35" s="50">
        <v>27580</v>
      </c>
      <c r="O35" s="50"/>
      <c r="P35" s="50">
        <v>8000</v>
      </c>
      <c r="Q35" s="50">
        <v>96000</v>
      </c>
      <c r="R35" s="50">
        <v>1500</v>
      </c>
      <c r="S35" s="50">
        <v>10000</v>
      </c>
      <c r="T35" s="50">
        <v>4500</v>
      </c>
      <c r="U35" s="50">
        <v>2000</v>
      </c>
      <c r="V35" s="50">
        <v>5500</v>
      </c>
      <c r="W35" s="50">
        <v>600</v>
      </c>
      <c r="X35" s="50"/>
      <c r="Y35" s="50">
        <v>3500</v>
      </c>
      <c r="Z35" s="50">
        <f>97700+16020</f>
        <v>113720</v>
      </c>
      <c r="AA35" s="50"/>
      <c r="AB35" s="50">
        <v>5000</v>
      </c>
      <c r="AC35" s="50">
        <v>2000</v>
      </c>
      <c r="AD35" s="50">
        <v>3000</v>
      </c>
      <c r="AE35" s="50"/>
      <c r="AF35" s="193">
        <f t="shared" si="2"/>
        <v>2351730</v>
      </c>
    </row>
    <row r="36" spans="1:32" ht="18" customHeight="1">
      <c r="A36" s="229" t="s">
        <v>169</v>
      </c>
      <c r="B36" s="50">
        <v>2334340</v>
      </c>
      <c r="C36" s="50">
        <v>194330</v>
      </c>
      <c r="D36" s="50"/>
      <c r="E36" s="50">
        <v>452460</v>
      </c>
      <c r="F36" s="50">
        <v>57530</v>
      </c>
      <c r="G36" s="50">
        <v>18000</v>
      </c>
      <c r="H36" s="50"/>
      <c r="I36" s="50"/>
      <c r="J36" s="50"/>
      <c r="K36" s="50"/>
      <c r="L36" s="50"/>
      <c r="M36" s="50"/>
      <c r="N36" s="50">
        <v>20000</v>
      </c>
      <c r="O36" s="50"/>
      <c r="P36" s="50">
        <v>10000</v>
      </c>
      <c r="Q36" s="50">
        <v>145000</v>
      </c>
      <c r="R36" s="50">
        <v>3500</v>
      </c>
      <c r="S36" s="50">
        <v>15000</v>
      </c>
      <c r="T36" s="50">
        <v>2500</v>
      </c>
      <c r="U36" s="50"/>
      <c r="V36" s="50">
        <v>15000</v>
      </c>
      <c r="W36" s="50">
        <v>4000</v>
      </c>
      <c r="X36" s="50"/>
      <c r="Y36" s="50">
        <v>3500</v>
      </c>
      <c r="Z36" s="50">
        <f>137190+19224</f>
        <v>156414</v>
      </c>
      <c r="AA36" s="50"/>
      <c r="AB36" s="50">
        <v>5000</v>
      </c>
      <c r="AC36" s="50">
        <v>10000</v>
      </c>
      <c r="AD36" s="50">
        <v>15000</v>
      </c>
      <c r="AE36" s="50"/>
      <c r="AF36" s="193">
        <f t="shared" si="2"/>
        <v>3461574</v>
      </c>
    </row>
    <row r="37" spans="1:32" ht="18" customHeight="1">
      <c r="A37" s="229" t="s">
        <v>170</v>
      </c>
      <c r="B37" s="50">
        <v>1889030</v>
      </c>
      <c r="C37" s="50">
        <v>147510</v>
      </c>
      <c r="D37" s="50">
        <v>3500</v>
      </c>
      <c r="E37" s="50">
        <v>361410</v>
      </c>
      <c r="F37" s="50">
        <v>46500</v>
      </c>
      <c r="G37" s="50">
        <v>6000</v>
      </c>
      <c r="H37" s="50"/>
      <c r="I37" s="50"/>
      <c r="J37" s="50"/>
      <c r="K37" s="50"/>
      <c r="L37" s="50"/>
      <c r="M37" s="50"/>
      <c r="N37" s="50">
        <v>49000</v>
      </c>
      <c r="O37" s="50"/>
      <c r="P37" s="50">
        <v>8000</v>
      </c>
      <c r="Q37" s="50">
        <v>135000</v>
      </c>
      <c r="R37" s="50">
        <v>2000</v>
      </c>
      <c r="S37" s="50">
        <v>32000</v>
      </c>
      <c r="T37" s="50">
        <v>1000</v>
      </c>
      <c r="U37" s="50"/>
      <c r="V37" s="50">
        <v>9600</v>
      </c>
      <c r="W37" s="50">
        <v>1700</v>
      </c>
      <c r="X37" s="50"/>
      <c r="Y37" s="50">
        <v>700</v>
      </c>
      <c r="Z37" s="50">
        <f>118030+27234</f>
        <v>145264</v>
      </c>
      <c r="AA37" s="50"/>
      <c r="AB37" s="50">
        <v>5000</v>
      </c>
      <c r="AC37" s="50">
        <v>1400</v>
      </c>
      <c r="AD37" s="50">
        <v>6000</v>
      </c>
      <c r="AE37" s="50">
        <v>10000</v>
      </c>
      <c r="AF37" s="193">
        <f t="shared" si="2"/>
        <v>2860614</v>
      </c>
    </row>
    <row r="38" spans="1:32" ht="18" customHeight="1">
      <c r="A38" s="229" t="s">
        <v>171</v>
      </c>
      <c r="B38" s="50">
        <v>1471900</v>
      </c>
      <c r="C38" s="50">
        <v>119000</v>
      </c>
      <c r="D38" s="50">
        <v>1000</v>
      </c>
      <c r="E38" s="50">
        <v>303790</v>
      </c>
      <c r="F38" s="50">
        <v>38420</v>
      </c>
      <c r="G38" s="50">
        <v>3000</v>
      </c>
      <c r="H38" s="50"/>
      <c r="I38" s="50"/>
      <c r="J38" s="50"/>
      <c r="K38" s="50"/>
      <c r="L38" s="50"/>
      <c r="M38" s="50"/>
      <c r="N38" s="50">
        <v>30000</v>
      </c>
      <c r="O38" s="50"/>
      <c r="P38" s="50">
        <v>10000</v>
      </c>
      <c r="Q38" s="50">
        <v>145000</v>
      </c>
      <c r="R38" s="50">
        <v>2500</v>
      </c>
      <c r="S38" s="50">
        <v>18000</v>
      </c>
      <c r="T38" s="50">
        <v>1500</v>
      </c>
      <c r="U38" s="50">
        <v>1800</v>
      </c>
      <c r="V38" s="50">
        <v>6000</v>
      </c>
      <c r="W38" s="50">
        <v>1200</v>
      </c>
      <c r="X38" s="50"/>
      <c r="Y38" s="50">
        <v>1500</v>
      </c>
      <c r="Z38" s="50">
        <f>93540+26433</f>
        <v>119973</v>
      </c>
      <c r="AA38" s="50"/>
      <c r="AB38" s="50">
        <v>5000</v>
      </c>
      <c r="AC38" s="50">
        <v>1000</v>
      </c>
      <c r="AD38" s="50">
        <v>3000</v>
      </c>
      <c r="AE38" s="50"/>
      <c r="AF38" s="193">
        <f t="shared" si="2"/>
        <v>2283583</v>
      </c>
    </row>
    <row r="39" spans="1:32" ht="18" customHeight="1">
      <c r="A39" s="229" t="s">
        <v>172</v>
      </c>
      <c r="B39" s="50">
        <v>820610</v>
      </c>
      <c r="C39" s="50">
        <v>53920</v>
      </c>
      <c r="D39" s="50">
        <v>2000</v>
      </c>
      <c r="E39" s="50">
        <v>151970</v>
      </c>
      <c r="F39" s="50">
        <v>21620</v>
      </c>
      <c r="G39" s="50">
        <v>3300</v>
      </c>
      <c r="H39" s="50"/>
      <c r="I39" s="50"/>
      <c r="J39" s="50"/>
      <c r="K39" s="50"/>
      <c r="L39" s="50"/>
      <c r="M39" s="50"/>
      <c r="N39" s="50">
        <v>15000</v>
      </c>
      <c r="O39" s="50"/>
      <c r="P39" s="50">
        <v>4000</v>
      </c>
      <c r="Q39" s="50">
        <v>67000</v>
      </c>
      <c r="R39" s="50">
        <v>1000</v>
      </c>
      <c r="S39" s="50">
        <v>16000</v>
      </c>
      <c r="T39" s="50">
        <v>1920</v>
      </c>
      <c r="U39" s="50">
        <v>1200</v>
      </c>
      <c r="V39" s="50">
        <v>6000</v>
      </c>
      <c r="W39" s="50">
        <v>600</v>
      </c>
      <c r="X39" s="50"/>
      <c r="Y39" s="50">
        <v>3000</v>
      </c>
      <c r="Z39" s="50">
        <f>52890+4806</f>
        <v>57696</v>
      </c>
      <c r="AA39" s="50"/>
      <c r="AB39" s="50">
        <v>3000</v>
      </c>
      <c r="AC39" s="50">
        <v>1000</v>
      </c>
      <c r="AD39" s="50">
        <v>3000</v>
      </c>
      <c r="AE39" s="50"/>
      <c r="AF39" s="193">
        <f t="shared" si="2"/>
        <v>1233836</v>
      </c>
    </row>
    <row r="40" spans="1:32" ht="18" customHeight="1">
      <c r="A40" s="229" t="s">
        <v>173</v>
      </c>
      <c r="B40" s="50">
        <v>1671650</v>
      </c>
      <c r="C40" s="50">
        <v>150580</v>
      </c>
      <c r="D40" s="50"/>
      <c r="E40" s="50">
        <v>296490</v>
      </c>
      <c r="F40" s="50">
        <v>40380</v>
      </c>
      <c r="G40" s="50">
        <v>9500</v>
      </c>
      <c r="H40" s="50"/>
      <c r="I40" s="50"/>
      <c r="J40" s="50"/>
      <c r="K40" s="50"/>
      <c r="L40" s="50"/>
      <c r="M40" s="50"/>
      <c r="N40" s="50">
        <v>40000</v>
      </c>
      <c r="O40" s="50"/>
      <c r="P40" s="50">
        <v>5500</v>
      </c>
      <c r="Q40" s="50">
        <v>140000</v>
      </c>
      <c r="R40" s="50">
        <v>2000</v>
      </c>
      <c r="S40" s="50">
        <v>13000</v>
      </c>
      <c r="T40" s="50">
        <v>800</v>
      </c>
      <c r="U40" s="50"/>
      <c r="V40" s="50">
        <v>7000</v>
      </c>
      <c r="W40" s="50">
        <v>2200</v>
      </c>
      <c r="X40" s="50"/>
      <c r="Y40" s="50">
        <v>2000</v>
      </c>
      <c r="Z40" s="50">
        <f>95330+29637</f>
        <v>124967</v>
      </c>
      <c r="AA40" s="50"/>
      <c r="AB40" s="50">
        <v>10000</v>
      </c>
      <c r="AC40" s="50">
        <v>2000</v>
      </c>
      <c r="AD40" s="50">
        <v>2000</v>
      </c>
      <c r="AE40" s="50"/>
      <c r="AF40" s="193">
        <f t="shared" si="2"/>
        <v>2520067</v>
      </c>
    </row>
    <row r="41" spans="1:32" ht="18" customHeight="1">
      <c r="A41" s="229" t="s">
        <v>174</v>
      </c>
      <c r="B41" s="50">
        <v>1127560</v>
      </c>
      <c r="C41" s="50">
        <v>96840</v>
      </c>
      <c r="D41" s="50"/>
      <c r="E41" s="50">
        <v>214090</v>
      </c>
      <c r="F41" s="50">
        <v>29160</v>
      </c>
      <c r="G41" s="50">
        <v>4500</v>
      </c>
      <c r="H41" s="50"/>
      <c r="I41" s="50"/>
      <c r="J41" s="50"/>
      <c r="K41" s="50"/>
      <c r="L41" s="50"/>
      <c r="M41" s="50"/>
      <c r="N41" s="50">
        <v>18000</v>
      </c>
      <c r="O41" s="50"/>
      <c r="P41" s="50">
        <v>8370</v>
      </c>
      <c r="Q41" s="50">
        <v>97000</v>
      </c>
      <c r="R41" s="50">
        <v>1200</v>
      </c>
      <c r="S41" s="50">
        <v>10500</v>
      </c>
      <c r="T41" s="50">
        <v>4200</v>
      </c>
      <c r="U41" s="50">
        <v>3000</v>
      </c>
      <c r="V41" s="50">
        <v>6000</v>
      </c>
      <c r="W41" s="50">
        <v>1400</v>
      </c>
      <c r="X41" s="50"/>
      <c r="Y41" s="50">
        <v>2200</v>
      </c>
      <c r="Z41" s="50">
        <f>62590+32040</f>
        <v>94630</v>
      </c>
      <c r="AA41" s="50"/>
      <c r="AB41" s="50">
        <v>5000</v>
      </c>
      <c r="AC41" s="50">
        <v>5000</v>
      </c>
      <c r="AD41" s="50">
        <v>7000</v>
      </c>
      <c r="AE41" s="50"/>
      <c r="AF41" s="193">
        <f t="shared" si="2"/>
        <v>1735650</v>
      </c>
    </row>
    <row r="42" spans="1:32" ht="18" customHeight="1">
      <c r="A42" s="229" t="s">
        <v>175</v>
      </c>
      <c r="B42" s="50">
        <v>2882260</v>
      </c>
      <c r="C42" s="50">
        <v>218850</v>
      </c>
      <c r="D42" s="50"/>
      <c r="E42" s="50">
        <v>530930</v>
      </c>
      <c r="F42" s="50">
        <v>72310</v>
      </c>
      <c r="G42" s="50">
        <v>7200</v>
      </c>
      <c r="H42" s="50"/>
      <c r="I42" s="50"/>
      <c r="J42" s="50"/>
      <c r="K42" s="50"/>
      <c r="L42" s="50"/>
      <c r="M42" s="50"/>
      <c r="N42" s="50">
        <v>43000</v>
      </c>
      <c r="O42" s="50"/>
      <c r="P42" s="50">
        <v>8000</v>
      </c>
      <c r="Q42" s="50">
        <v>395560</v>
      </c>
      <c r="R42" s="50">
        <v>2500</v>
      </c>
      <c r="S42" s="50">
        <v>32000</v>
      </c>
      <c r="T42" s="50">
        <v>2500</v>
      </c>
      <c r="U42" s="50"/>
      <c r="V42" s="50">
        <v>4000</v>
      </c>
      <c r="W42" s="50">
        <v>4000</v>
      </c>
      <c r="X42" s="50"/>
      <c r="Y42" s="50">
        <v>1600</v>
      </c>
      <c r="Z42" s="50">
        <f>164160+24831</f>
        <v>188991</v>
      </c>
      <c r="AA42" s="50"/>
      <c r="AB42" s="50">
        <v>10000</v>
      </c>
      <c r="AC42" s="50">
        <v>3000</v>
      </c>
      <c r="AD42" s="50">
        <v>3000</v>
      </c>
      <c r="AE42" s="50"/>
      <c r="AF42" s="193">
        <f t="shared" si="2"/>
        <v>4409701</v>
      </c>
    </row>
    <row r="43" spans="1:32" ht="18" customHeight="1">
      <c r="A43" s="229" t="s">
        <v>361</v>
      </c>
      <c r="B43" s="50">
        <v>1313680</v>
      </c>
      <c r="C43" s="50">
        <v>115120</v>
      </c>
      <c r="D43" s="50">
        <v>1500</v>
      </c>
      <c r="E43" s="50">
        <v>253550</v>
      </c>
      <c r="F43" s="50">
        <v>35890</v>
      </c>
      <c r="G43" s="50">
        <v>5000</v>
      </c>
      <c r="H43" s="50"/>
      <c r="I43" s="50"/>
      <c r="J43" s="50"/>
      <c r="K43" s="50"/>
      <c r="L43" s="50"/>
      <c r="M43" s="50"/>
      <c r="N43" s="50">
        <v>20050</v>
      </c>
      <c r="O43" s="50"/>
      <c r="P43" s="50">
        <v>8000</v>
      </c>
      <c r="Q43" s="50">
        <v>115000</v>
      </c>
      <c r="R43" s="50">
        <v>5000</v>
      </c>
      <c r="S43" s="50">
        <v>12500</v>
      </c>
      <c r="T43" s="50">
        <v>1800</v>
      </c>
      <c r="U43" s="50"/>
      <c r="V43" s="50">
        <v>5500</v>
      </c>
      <c r="W43" s="50">
        <v>2000</v>
      </c>
      <c r="X43" s="50"/>
      <c r="Y43" s="50">
        <v>3000</v>
      </c>
      <c r="Z43" s="50">
        <f>82470+6408</f>
        <v>88878</v>
      </c>
      <c r="AA43" s="50"/>
      <c r="AB43" s="50">
        <v>5000</v>
      </c>
      <c r="AC43" s="50">
        <v>1000</v>
      </c>
      <c r="AD43" s="50">
        <v>1500</v>
      </c>
      <c r="AE43" s="50"/>
      <c r="AF43" s="193">
        <f t="shared" si="2"/>
        <v>1993968</v>
      </c>
    </row>
    <row r="44" spans="1:32" ht="18" customHeight="1">
      <c r="A44" s="229" t="s">
        <v>330</v>
      </c>
      <c r="B44" s="50">
        <v>1400260</v>
      </c>
      <c r="C44" s="50">
        <v>121640</v>
      </c>
      <c r="D44" s="50">
        <v>2600</v>
      </c>
      <c r="E44" s="50">
        <v>246770</v>
      </c>
      <c r="F44" s="50">
        <v>33610</v>
      </c>
      <c r="G44" s="50">
        <v>5000</v>
      </c>
      <c r="H44" s="50"/>
      <c r="I44" s="50"/>
      <c r="J44" s="50"/>
      <c r="K44" s="50"/>
      <c r="L44" s="50"/>
      <c r="M44" s="50"/>
      <c r="N44" s="50">
        <v>40200</v>
      </c>
      <c r="O44" s="50"/>
      <c r="P44" s="50">
        <v>8000</v>
      </c>
      <c r="Q44" s="50">
        <v>145000</v>
      </c>
      <c r="R44" s="50">
        <v>1260</v>
      </c>
      <c r="S44" s="50">
        <v>13000</v>
      </c>
      <c r="T44" s="50">
        <v>2210</v>
      </c>
      <c r="U44" s="50"/>
      <c r="V44" s="50">
        <v>5000</v>
      </c>
      <c r="W44" s="50">
        <v>3840</v>
      </c>
      <c r="X44" s="50"/>
      <c r="Y44" s="50">
        <v>2400</v>
      </c>
      <c r="Z44" s="50">
        <f>82070+8010</f>
        <v>90080</v>
      </c>
      <c r="AA44" s="50"/>
      <c r="AB44" s="50">
        <v>4000</v>
      </c>
      <c r="AC44" s="50">
        <v>2000</v>
      </c>
      <c r="AD44" s="50">
        <v>4000</v>
      </c>
      <c r="AE44" s="50"/>
      <c r="AF44" s="193">
        <f t="shared" si="2"/>
        <v>2130870</v>
      </c>
    </row>
    <row r="45" spans="1:32" ht="18" customHeight="1">
      <c r="A45" s="229" t="s">
        <v>178</v>
      </c>
      <c r="B45" s="50">
        <v>1159880</v>
      </c>
      <c r="C45" s="50">
        <v>82000</v>
      </c>
      <c r="D45" s="50">
        <v>4500</v>
      </c>
      <c r="E45" s="50">
        <v>234990</v>
      </c>
      <c r="F45" s="50">
        <v>28530</v>
      </c>
      <c r="G45" s="50">
        <v>5000</v>
      </c>
      <c r="H45" s="50"/>
      <c r="I45" s="50"/>
      <c r="J45" s="50"/>
      <c r="K45" s="50"/>
      <c r="L45" s="50"/>
      <c r="M45" s="50"/>
      <c r="N45" s="50">
        <v>30000</v>
      </c>
      <c r="O45" s="50"/>
      <c r="P45" s="50">
        <v>9000</v>
      </c>
      <c r="Q45" s="50">
        <v>80000</v>
      </c>
      <c r="R45" s="50">
        <v>1000</v>
      </c>
      <c r="S45" s="50">
        <v>15000</v>
      </c>
      <c r="T45" s="50">
        <v>2500</v>
      </c>
      <c r="U45" s="50"/>
      <c r="V45" s="50">
        <v>8500</v>
      </c>
      <c r="W45" s="50">
        <v>2000</v>
      </c>
      <c r="X45" s="50"/>
      <c r="Y45" s="50">
        <v>3500</v>
      </c>
      <c r="Z45" s="50">
        <f>76550+25632</f>
        <v>102182</v>
      </c>
      <c r="AA45" s="50"/>
      <c r="AB45" s="50">
        <v>6000</v>
      </c>
      <c r="AC45" s="50">
        <v>5000</v>
      </c>
      <c r="AD45" s="50">
        <v>7500</v>
      </c>
      <c r="AE45" s="50"/>
      <c r="AF45" s="193">
        <f t="shared" si="2"/>
        <v>1787082</v>
      </c>
    </row>
    <row r="46" spans="1:32" ht="18" customHeight="1">
      <c r="A46" s="229" t="s">
        <v>176</v>
      </c>
      <c r="B46" s="50">
        <v>776670</v>
      </c>
      <c r="C46" s="50">
        <v>60290</v>
      </c>
      <c r="D46" s="50">
        <v>2000</v>
      </c>
      <c r="E46" s="50">
        <v>138100</v>
      </c>
      <c r="F46" s="50">
        <v>19930</v>
      </c>
      <c r="G46" s="50">
        <v>3000</v>
      </c>
      <c r="H46" s="50"/>
      <c r="I46" s="50"/>
      <c r="J46" s="50"/>
      <c r="K46" s="50"/>
      <c r="L46" s="50"/>
      <c r="M46" s="50"/>
      <c r="N46" s="50">
        <v>19800</v>
      </c>
      <c r="O46" s="50"/>
      <c r="P46" s="50">
        <v>3000</v>
      </c>
      <c r="Q46" s="50">
        <v>75000</v>
      </c>
      <c r="R46" s="50">
        <v>900</v>
      </c>
      <c r="S46" s="50">
        <v>70000</v>
      </c>
      <c r="T46" s="50">
        <v>1430</v>
      </c>
      <c r="U46" s="50">
        <v>1000</v>
      </c>
      <c r="V46" s="50">
        <v>5000</v>
      </c>
      <c r="W46" s="50">
        <v>1100</v>
      </c>
      <c r="X46" s="50"/>
      <c r="Y46" s="50">
        <v>2090</v>
      </c>
      <c r="Z46" s="50">
        <f>41730+16020</f>
        <v>57750</v>
      </c>
      <c r="AA46" s="50"/>
      <c r="AB46" s="50">
        <v>4000</v>
      </c>
      <c r="AC46" s="50">
        <v>2000</v>
      </c>
      <c r="AD46" s="50">
        <v>3000</v>
      </c>
      <c r="AE46" s="50"/>
      <c r="AF46" s="193">
        <f t="shared" si="2"/>
        <v>1246060</v>
      </c>
    </row>
    <row r="47" spans="1:32" ht="18" customHeight="1">
      <c r="A47" s="229" t="s">
        <v>177</v>
      </c>
      <c r="B47" s="50">
        <v>750000</v>
      </c>
      <c r="C47" s="50">
        <v>64000</v>
      </c>
      <c r="D47" s="50"/>
      <c r="E47" s="50">
        <v>137000</v>
      </c>
      <c r="F47" s="50">
        <v>19000</v>
      </c>
      <c r="G47" s="50">
        <v>5000</v>
      </c>
      <c r="H47" s="50"/>
      <c r="I47" s="50"/>
      <c r="J47" s="50"/>
      <c r="K47" s="50"/>
      <c r="L47" s="50"/>
      <c r="M47" s="50"/>
      <c r="N47" s="50">
        <v>6200</v>
      </c>
      <c r="O47" s="50"/>
      <c r="P47" s="50">
        <v>8000</v>
      </c>
      <c r="Q47" s="50">
        <v>55000</v>
      </c>
      <c r="R47" s="50">
        <v>1000</v>
      </c>
      <c r="S47" s="50">
        <v>7400</v>
      </c>
      <c r="T47" s="50">
        <v>3000</v>
      </c>
      <c r="U47" s="50">
        <v>1900</v>
      </c>
      <c r="V47" s="50">
        <v>3700</v>
      </c>
      <c r="W47" s="50">
        <v>800</v>
      </c>
      <c r="X47" s="50"/>
      <c r="Y47" s="50"/>
      <c r="Z47" s="50">
        <f>42500+7209</f>
        <v>49709</v>
      </c>
      <c r="AA47" s="50"/>
      <c r="AB47" s="50">
        <v>5000</v>
      </c>
      <c r="AC47" s="50">
        <v>2000</v>
      </c>
      <c r="AD47" s="50">
        <v>1800</v>
      </c>
      <c r="AE47" s="50"/>
      <c r="AF47" s="193">
        <f t="shared" si="2"/>
        <v>1120509</v>
      </c>
    </row>
    <row r="48" spans="1:32" ht="18" customHeight="1">
      <c r="A48" s="114" t="s">
        <v>285</v>
      </c>
      <c r="B48" s="50">
        <v>510000</v>
      </c>
      <c r="C48" s="50">
        <v>37800</v>
      </c>
      <c r="D48" s="50"/>
      <c r="E48" s="50">
        <v>85200</v>
      </c>
      <c r="F48" s="50">
        <v>12200</v>
      </c>
      <c r="G48" s="50">
        <v>2600</v>
      </c>
      <c r="H48" s="50"/>
      <c r="I48" s="50"/>
      <c r="J48" s="50"/>
      <c r="K48" s="50"/>
      <c r="L48" s="50"/>
      <c r="M48" s="50"/>
      <c r="N48" s="50">
        <v>5000</v>
      </c>
      <c r="O48" s="50"/>
      <c r="P48" s="50">
        <v>4500</v>
      </c>
      <c r="Q48" s="50">
        <v>26000</v>
      </c>
      <c r="R48" s="50">
        <v>300</v>
      </c>
      <c r="S48" s="50">
        <v>3000</v>
      </c>
      <c r="T48" s="50">
        <v>2200</v>
      </c>
      <c r="U48" s="50">
        <v>1800</v>
      </c>
      <c r="V48" s="50">
        <v>2000</v>
      </c>
      <c r="W48" s="50">
        <v>300</v>
      </c>
      <c r="X48" s="50"/>
      <c r="Y48" s="50">
        <v>2650</v>
      </c>
      <c r="Z48" s="50">
        <f>34870+2403</f>
        <v>37273</v>
      </c>
      <c r="AA48" s="50"/>
      <c r="AB48" s="50">
        <v>3000</v>
      </c>
      <c r="AC48" s="50">
        <v>4000</v>
      </c>
      <c r="AD48" s="50">
        <v>4000</v>
      </c>
      <c r="AE48" s="50"/>
      <c r="AF48" s="193">
        <f t="shared" si="2"/>
        <v>743823</v>
      </c>
    </row>
    <row r="49" spans="1:32" ht="18" customHeight="1">
      <c r="A49" s="114" t="s">
        <v>279</v>
      </c>
      <c r="B49" s="50">
        <v>1542710</v>
      </c>
      <c r="C49" s="50">
        <v>127720</v>
      </c>
      <c r="D49" s="50"/>
      <c r="E49" s="50">
        <v>280000</v>
      </c>
      <c r="F49" s="50">
        <v>38000</v>
      </c>
      <c r="G49" s="50">
        <v>5000</v>
      </c>
      <c r="H49" s="50"/>
      <c r="I49" s="50"/>
      <c r="J49" s="50"/>
      <c r="K49" s="50"/>
      <c r="L49" s="50"/>
      <c r="M49" s="50"/>
      <c r="N49" s="50">
        <v>21000</v>
      </c>
      <c r="O49" s="50"/>
      <c r="P49" s="50">
        <v>3000</v>
      </c>
      <c r="Q49" s="50">
        <v>105000</v>
      </c>
      <c r="R49" s="50">
        <v>1500</v>
      </c>
      <c r="S49" s="50">
        <v>6500</v>
      </c>
      <c r="T49" s="50">
        <v>5500</v>
      </c>
      <c r="U49" s="50">
        <v>1000</v>
      </c>
      <c r="V49" s="50">
        <v>8000</v>
      </c>
      <c r="W49" s="50">
        <v>1200</v>
      </c>
      <c r="X49" s="50"/>
      <c r="Y49" s="50">
        <v>1650</v>
      </c>
      <c r="Z49" s="50">
        <f>122010+4005</f>
        <v>126015</v>
      </c>
      <c r="AA49" s="50"/>
      <c r="AB49" s="50">
        <v>2000</v>
      </c>
      <c r="AC49" s="50">
        <v>1000</v>
      </c>
      <c r="AD49" s="50">
        <v>3000</v>
      </c>
      <c r="AE49" s="50"/>
      <c r="AF49" s="193">
        <f t="shared" si="2"/>
        <v>2279795</v>
      </c>
    </row>
    <row r="50" spans="1:32" ht="18" customHeight="1">
      <c r="A50" s="114" t="s">
        <v>225</v>
      </c>
      <c r="B50" s="50">
        <v>2601040</v>
      </c>
      <c r="C50" s="50">
        <v>220090</v>
      </c>
      <c r="D50" s="50"/>
      <c r="E50" s="50">
        <v>485030</v>
      </c>
      <c r="F50" s="50">
        <v>66060</v>
      </c>
      <c r="G50" s="50">
        <v>5000</v>
      </c>
      <c r="H50" s="50"/>
      <c r="I50" s="50"/>
      <c r="J50" s="50"/>
      <c r="K50" s="50"/>
      <c r="L50" s="50"/>
      <c r="M50" s="50"/>
      <c r="N50" s="50">
        <v>32000</v>
      </c>
      <c r="O50" s="50"/>
      <c r="P50" s="50">
        <v>10000</v>
      </c>
      <c r="Q50" s="50">
        <v>230000</v>
      </c>
      <c r="R50" s="50">
        <v>2900</v>
      </c>
      <c r="S50" s="50">
        <v>8000</v>
      </c>
      <c r="T50" s="50">
        <v>3000</v>
      </c>
      <c r="U50" s="50"/>
      <c r="V50" s="50">
        <v>12000</v>
      </c>
      <c r="W50" s="50">
        <v>1700</v>
      </c>
      <c r="X50" s="50"/>
      <c r="Y50" s="50">
        <v>5000</v>
      </c>
      <c r="Z50" s="50">
        <f>166070+801</f>
        <v>166871</v>
      </c>
      <c r="AA50" s="50"/>
      <c r="AB50" s="50">
        <v>2000</v>
      </c>
      <c r="AC50" s="50">
        <v>4000</v>
      </c>
      <c r="AD50" s="50">
        <v>4000</v>
      </c>
      <c r="AE50" s="50"/>
      <c r="AF50" s="193">
        <f t="shared" si="2"/>
        <v>3858691</v>
      </c>
    </row>
    <row r="51" spans="1:32" ht="18" customHeight="1">
      <c r="A51" s="114" t="s">
        <v>300</v>
      </c>
      <c r="B51" s="50">
        <v>999860</v>
      </c>
      <c r="C51" s="50">
        <v>87370</v>
      </c>
      <c r="D51" s="50">
        <v>1000</v>
      </c>
      <c r="E51" s="50">
        <v>197410</v>
      </c>
      <c r="F51" s="50">
        <v>26880</v>
      </c>
      <c r="G51" s="50">
        <v>3000</v>
      </c>
      <c r="H51" s="50"/>
      <c r="I51" s="50"/>
      <c r="J51" s="50"/>
      <c r="K51" s="50"/>
      <c r="L51" s="50"/>
      <c r="M51" s="50">
        <v>9000</v>
      </c>
      <c r="N51" s="50">
        <v>15000</v>
      </c>
      <c r="O51" s="50"/>
      <c r="P51" s="50">
        <v>5000</v>
      </c>
      <c r="Q51" s="50">
        <v>100000</v>
      </c>
      <c r="R51" s="50">
        <v>3200</v>
      </c>
      <c r="S51" s="50">
        <v>50000</v>
      </c>
      <c r="T51" s="50">
        <v>3000</v>
      </c>
      <c r="U51" s="50">
        <v>7000</v>
      </c>
      <c r="V51" s="50">
        <v>7000</v>
      </c>
      <c r="W51" s="50">
        <v>600</v>
      </c>
      <c r="X51" s="50"/>
      <c r="Y51" s="50">
        <v>7800</v>
      </c>
      <c r="Z51" s="50">
        <f>63400</f>
        <v>63400</v>
      </c>
      <c r="AA51" s="50"/>
      <c r="AB51" s="50">
        <v>3500</v>
      </c>
      <c r="AC51" s="50">
        <v>3500</v>
      </c>
      <c r="AD51" s="50">
        <v>8100</v>
      </c>
      <c r="AE51" s="50"/>
      <c r="AF51" s="193">
        <f t="shared" si="2"/>
        <v>1601620</v>
      </c>
    </row>
    <row r="52" spans="1:32" ht="18" customHeight="1" thickBot="1">
      <c r="A52" s="115" t="s">
        <v>224</v>
      </c>
      <c r="B52" s="108">
        <v>244390</v>
      </c>
      <c r="C52" s="108">
        <v>19180</v>
      </c>
      <c r="D52" s="108"/>
      <c r="E52" s="108">
        <v>42900</v>
      </c>
      <c r="F52" s="108">
        <v>6020</v>
      </c>
      <c r="G52" s="108">
        <v>1040</v>
      </c>
      <c r="H52" s="108"/>
      <c r="I52" s="108"/>
      <c r="J52" s="108"/>
      <c r="K52" s="108"/>
      <c r="L52" s="108"/>
      <c r="M52" s="108"/>
      <c r="N52" s="108">
        <v>6600</v>
      </c>
      <c r="O52" s="108"/>
      <c r="P52" s="108">
        <v>1200</v>
      </c>
      <c r="Q52" s="108">
        <v>11600</v>
      </c>
      <c r="R52" s="108">
        <v>600</v>
      </c>
      <c r="S52" s="108">
        <v>1580</v>
      </c>
      <c r="T52" s="108">
        <v>2400</v>
      </c>
      <c r="U52" s="108"/>
      <c r="V52" s="108">
        <v>7800</v>
      </c>
      <c r="W52" s="108">
        <v>500</v>
      </c>
      <c r="X52" s="108"/>
      <c r="Y52" s="108"/>
      <c r="Z52" s="108">
        <f>14100+3204</f>
        <v>17304</v>
      </c>
      <c r="AA52" s="108"/>
      <c r="AB52" s="108">
        <v>1000</v>
      </c>
      <c r="AC52" s="108">
        <v>3000</v>
      </c>
      <c r="AD52" s="108">
        <v>1000</v>
      </c>
      <c r="AE52" s="108"/>
      <c r="AF52" s="194">
        <f t="shared" si="2"/>
        <v>368114</v>
      </c>
    </row>
    <row r="53" spans="1:56" s="21" customFormat="1" ht="28.5" customHeight="1" thickBot="1">
      <c r="A53" s="116" t="s">
        <v>387</v>
      </c>
      <c r="B53" s="109">
        <f>SUM(B54:B75)</f>
        <v>322190</v>
      </c>
      <c r="C53" s="109">
        <f>SUM(C54:C75)</f>
        <v>26190</v>
      </c>
      <c r="D53" s="109"/>
      <c r="E53" s="109">
        <f>SUM(E54:E75)</f>
        <v>62130</v>
      </c>
      <c r="F53" s="109">
        <f>SUM(F54:F75)</f>
        <v>8630</v>
      </c>
      <c r="G53" s="109">
        <f>SUM(G54:G75)</f>
        <v>3230</v>
      </c>
      <c r="H53" s="109"/>
      <c r="I53" s="109"/>
      <c r="J53" s="109"/>
      <c r="K53" s="109"/>
      <c r="L53" s="109"/>
      <c r="M53" s="48"/>
      <c r="N53" s="48">
        <f>SUM(N54:N75)</f>
        <v>1290</v>
      </c>
      <c r="O53" s="48"/>
      <c r="P53" s="48"/>
      <c r="Q53" s="48"/>
      <c r="R53" s="48">
        <f>SUM(R54:R75)</f>
        <v>360</v>
      </c>
      <c r="S53" s="48">
        <f>SUM(S54:S75)</f>
        <v>200</v>
      </c>
      <c r="T53" s="48"/>
      <c r="U53" s="48"/>
      <c r="V53" s="48"/>
      <c r="W53" s="48"/>
      <c r="X53" s="48"/>
      <c r="Y53" s="48"/>
      <c r="Z53" s="48">
        <f>SUM(Z54:Z75)</f>
        <v>21020</v>
      </c>
      <c r="AA53" s="48"/>
      <c r="AB53" s="48"/>
      <c r="AC53" s="48"/>
      <c r="AD53" s="48"/>
      <c r="AE53" s="48"/>
      <c r="AF53" s="191">
        <f t="shared" si="2"/>
        <v>445240</v>
      </c>
      <c r="AG53" s="51"/>
      <c r="AH53" s="51"/>
      <c r="AI53" s="11"/>
      <c r="AJ53" s="11"/>
      <c r="AK53" s="46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</row>
    <row r="54" spans="1:37" ht="18" customHeight="1">
      <c r="A54" s="113" t="s">
        <v>152</v>
      </c>
      <c r="B54" s="65">
        <v>23060</v>
      </c>
      <c r="C54" s="65">
        <v>1760</v>
      </c>
      <c r="D54" s="65"/>
      <c r="E54" s="65">
        <v>4390</v>
      </c>
      <c r="F54" s="65">
        <v>640</v>
      </c>
      <c r="G54" s="65">
        <v>500</v>
      </c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>
        <v>1520</v>
      </c>
      <c r="AA54" s="65"/>
      <c r="AB54" s="65"/>
      <c r="AC54" s="65"/>
      <c r="AD54" s="65"/>
      <c r="AE54" s="65"/>
      <c r="AF54" s="192">
        <f t="shared" si="2"/>
        <v>31870</v>
      </c>
      <c r="AI54" s="47"/>
      <c r="AJ54" s="47"/>
      <c r="AK54" s="47"/>
    </row>
    <row r="55" spans="1:37" ht="18" customHeight="1">
      <c r="A55" s="114" t="s">
        <v>153</v>
      </c>
      <c r="B55" s="52">
        <v>9400</v>
      </c>
      <c r="C55" s="52">
        <v>900</v>
      </c>
      <c r="D55" s="52"/>
      <c r="E55" s="52">
        <v>1820</v>
      </c>
      <c r="F55" s="52">
        <v>260</v>
      </c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>
        <v>640</v>
      </c>
      <c r="AA55" s="52"/>
      <c r="AB55" s="52"/>
      <c r="AC55" s="52"/>
      <c r="AD55" s="52"/>
      <c r="AE55" s="52"/>
      <c r="AF55" s="193">
        <f t="shared" si="2"/>
        <v>13020</v>
      </c>
      <c r="AI55" s="47"/>
      <c r="AJ55" s="47"/>
      <c r="AK55" s="47"/>
    </row>
    <row r="56" spans="1:37" ht="18" customHeight="1">
      <c r="A56" s="114" t="s">
        <v>154</v>
      </c>
      <c r="B56" s="52">
        <v>18400</v>
      </c>
      <c r="C56" s="52">
        <v>1090</v>
      </c>
      <c r="D56" s="52"/>
      <c r="E56" s="52">
        <v>3870</v>
      </c>
      <c r="F56" s="52">
        <v>520</v>
      </c>
      <c r="G56" s="52">
        <v>50</v>
      </c>
      <c r="H56" s="52"/>
      <c r="I56" s="52"/>
      <c r="J56" s="52"/>
      <c r="K56" s="52"/>
      <c r="L56" s="52"/>
      <c r="M56" s="52"/>
      <c r="N56" s="52">
        <v>200</v>
      </c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>
        <v>1300</v>
      </c>
      <c r="AA56" s="52"/>
      <c r="AB56" s="52"/>
      <c r="AC56" s="52"/>
      <c r="AD56" s="52"/>
      <c r="AE56" s="52"/>
      <c r="AF56" s="193">
        <f t="shared" si="2"/>
        <v>25430</v>
      </c>
      <c r="AH56" s="45"/>
      <c r="AI56" s="45"/>
      <c r="AJ56" s="45"/>
      <c r="AK56" s="47"/>
    </row>
    <row r="57" spans="1:37" ht="18" customHeight="1">
      <c r="A57" s="114" t="s">
        <v>155</v>
      </c>
      <c r="B57" s="52">
        <v>12400</v>
      </c>
      <c r="C57" s="52">
        <v>1050</v>
      </c>
      <c r="D57" s="52"/>
      <c r="E57" s="52">
        <v>2150</v>
      </c>
      <c r="F57" s="52">
        <v>400</v>
      </c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>
        <v>780</v>
      </c>
      <c r="AA57" s="52"/>
      <c r="AB57" s="52"/>
      <c r="AC57" s="52"/>
      <c r="AD57" s="52"/>
      <c r="AE57" s="52"/>
      <c r="AF57" s="193">
        <f t="shared" si="2"/>
        <v>16780</v>
      </c>
      <c r="AH57" s="45"/>
      <c r="AI57" s="47"/>
      <c r="AJ57" s="47"/>
      <c r="AK57" s="47"/>
    </row>
    <row r="58" spans="1:37" ht="18" customHeight="1">
      <c r="A58" s="114" t="s">
        <v>156</v>
      </c>
      <c r="B58" s="52">
        <v>11750</v>
      </c>
      <c r="C58" s="52">
        <v>960</v>
      </c>
      <c r="D58" s="52"/>
      <c r="E58" s="52">
        <v>2110</v>
      </c>
      <c r="F58" s="52">
        <v>290</v>
      </c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>
        <v>640</v>
      </c>
      <c r="AA58" s="52"/>
      <c r="AB58" s="52"/>
      <c r="AC58" s="52"/>
      <c r="AD58" s="52"/>
      <c r="AE58" s="52"/>
      <c r="AF58" s="193">
        <f t="shared" si="2"/>
        <v>15750</v>
      </c>
      <c r="AH58" s="45"/>
      <c r="AI58" s="47"/>
      <c r="AJ58" s="47"/>
      <c r="AK58" s="47"/>
    </row>
    <row r="59" spans="1:37" ht="18" customHeight="1">
      <c r="A59" s="114" t="s">
        <v>158</v>
      </c>
      <c r="B59" s="52">
        <v>10900</v>
      </c>
      <c r="C59" s="52">
        <v>850</v>
      </c>
      <c r="D59" s="52"/>
      <c r="E59" s="52">
        <v>1960</v>
      </c>
      <c r="F59" s="52">
        <v>270</v>
      </c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>
        <v>810</v>
      </c>
      <c r="AA59" s="52"/>
      <c r="AB59" s="52"/>
      <c r="AC59" s="52"/>
      <c r="AD59" s="52"/>
      <c r="AE59" s="52"/>
      <c r="AF59" s="193">
        <f t="shared" si="2"/>
        <v>14790</v>
      </c>
      <c r="AH59" s="45"/>
      <c r="AI59" s="45"/>
      <c r="AJ59" s="45"/>
      <c r="AK59" s="47"/>
    </row>
    <row r="60" spans="1:32" ht="18" customHeight="1">
      <c r="A60" s="114" t="s">
        <v>161</v>
      </c>
      <c r="B60" s="52">
        <v>12100</v>
      </c>
      <c r="C60" s="52">
        <v>1070</v>
      </c>
      <c r="D60" s="52"/>
      <c r="E60" s="52">
        <v>2150</v>
      </c>
      <c r="F60" s="52">
        <v>310</v>
      </c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>
        <v>780</v>
      </c>
      <c r="AA60" s="52"/>
      <c r="AB60" s="52"/>
      <c r="AC60" s="52"/>
      <c r="AD60" s="52"/>
      <c r="AE60" s="52"/>
      <c r="AF60" s="193">
        <f t="shared" si="2"/>
        <v>16410</v>
      </c>
    </row>
    <row r="61" spans="1:32" ht="18" customHeight="1">
      <c r="A61" s="114" t="s">
        <v>162</v>
      </c>
      <c r="B61" s="52">
        <v>20300</v>
      </c>
      <c r="C61" s="52">
        <v>1510</v>
      </c>
      <c r="D61" s="52"/>
      <c r="E61" s="52">
        <v>4000</v>
      </c>
      <c r="F61" s="52">
        <v>500</v>
      </c>
      <c r="G61" s="52">
        <v>500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>
        <v>200</v>
      </c>
      <c r="S61" s="52"/>
      <c r="T61" s="52"/>
      <c r="U61" s="52"/>
      <c r="V61" s="52"/>
      <c r="W61" s="52"/>
      <c r="X61" s="52"/>
      <c r="Y61" s="52"/>
      <c r="Z61" s="52">
        <v>1220</v>
      </c>
      <c r="AA61" s="52"/>
      <c r="AB61" s="52"/>
      <c r="AC61" s="52"/>
      <c r="AD61" s="52"/>
      <c r="AE61" s="52"/>
      <c r="AF61" s="193">
        <f t="shared" si="2"/>
        <v>28230</v>
      </c>
    </row>
    <row r="62" spans="1:32" ht="18" customHeight="1">
      <c r="A62" s="114" t="s">
        <v>164</v>
      </c>
      <c r="B62" s="52">
        <v>11340</v>
      </c>
      <c r="C62" s="52">
        <v>1000</v>
      </c>
      <c r="D62" s="52"/>
      <c r="E62" s="52">
        <v>2220</v>
      </c>
      <c r="F62" s="52">
        <v>300</v>
      </c>
      <c r="G62" s="52">
        <v>200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>
        <v>100</v>
      </c>
      <c r="S62" s="52">
        <v>200</v>
      </c>
      <c r="T62" s="52"/>
      <c r="U62" s="52"/>
      <c r="V62" s="52"/>
      <c r="W62" s="52"/>
      <c r="X62" s="52"/>
      <c r="Y62" s="52"/>
      <c r="Z62" s="52">
        <v>760</v>
      </c>
      <c r="AA62" s="52"/>
      <c r="AB62" s="52"/>
      <c r="AC62" s="52"/>
      <c r="AD62" s="52"/>
      <c r="AE62" s="52"/>
      <c r="AF62" s="193">
        <f t="shared" si="2"/>
        <v>16120</v>
      </c>
    </row>
    <row r="63" spans="1:32" ht="18" customHeight="1">
      <c r="A63" s="114" t="s">
        <v>165</v>
      </c>
      <c r="B63" s="52">
        <v>14250</v>
      </c>
      <c r="C63" s="52">
        <v>1210</v>
      </c>
      <c r="D63" s="52"/>
      <c r="E63" s="52">
        <v>2750</v>
      </c>
      <c r="F63" s="52">
        <v>400</v>
      </c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>
        <v>770</v>
      </c>
      <c r="AA63" s="52"/>
      <c r="AB63" s="52"/>
      <c r="AC63" s="52"/>
      <c r="AD63" s="52"/>
      <c r="AE63" s="52"/>
      <c r="AF63" s="193">
        <f t="shared" si="2"/>
        <v>19380</v>
      </c>
    </row>
    <row r="64" spans="1:32" ht="18" customHeight="1">
      <c r="A64" s="114" t="s">
        <v>168</v>
      </c>
      <c r="B64" s="52">
        <v>11140</v>
      </c>
      <c r="C64" s="52">
        <v>970</v>
      </c>
      <c r="D64" s="52"/>
      <c r="E64" s="52">
        <v>2300</v>
      </c>
      <c r="F64" s="52">
        <v>300</v>
      </c>
      <c r="G64" s="52">
        <v>500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>
        <v>60</v>
      </c>
      <c r="S64" s="52"/>
      <c r="T64" s="52"/>
      <c r="U64" s="52"/>
      <c r="V64" s="52"/>
      <c r="W64" s="52"/>
      <c r="X64" s="52"/>
      <c r="Y64" s="52"/>
      <c r="Z64" s="52">
        <v>780</v>
      </c>
      <c r="AA64" s="52"/>
      <c r="AB64" s="52"/>
      <c r="AC64" s="52"/>
      <c r="AD64" s="52"/>
      <c r="AE64" s="52"/>
      <c r="AF64" s="193">
        <f t="shared" si="2"/>
        <v>16050</v>
      </c>
    </row>
    <row r="65" spans="1:32" ht="18" customHeight="1">
      <c r="A65" s="114" t="s">
        <v>169</v>
      </c>
      <c r="B65" s="52">
        <v>23000</v>
      </c>
      <c r="C65" s="52">
        <v>2170</v>
      </c>
      <c r="D65" s="52"/>
      <c r="E65" s="52">
        <v>4720</v>
      </c>
      <c r="F65" s="52">
        <v>640</v>
      </c>
      <c r="G65" s="52">
        <v>500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>
        <v>1230</v>
      </c>
      <c r="AA65" s="52"/>
      <c r="AB65" s="52"/>
      <c r="AC65" s="52"/>
      <c r="AD65" s="52"/>
      <c r="AE65" s="52"/>
      <c r="AF65" s="193">
        <f t="shared" si="2"/>
        <v>32260</v>
      </c>
    </row>
    <row r="66" spans="1:32" ht="18" customHeight="1">
      <c r="A66" s="114" t="s">
        <v>170</v>
      </c>
      <c r="B66" s="52">
        <v>9540</v>
      </c>
      <c r="C66" s="52">
        <v>760</v>
      </c>
      <c r="D66" s="52"/>
      <c r="E66" s="52">
        <v>1800</v>
      </c>
      <c r="F66" s="52">
        <v>260</v>
      </c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>
        <v>780</v>
      </c>
      <c r="AA66" s="52"/>
      <c r="AB66" s="52"/>
      <c r="AC66" s="52"/>
      <c r="AD66" s="52"/>
      <c r="AE66" s="52"/>
      <c r="AF66" s="193">
        <f t="shared" si="2"/>
        <v>13140</v>
      </c>
    </row>
    <row r="67" spans="1:32" ht="18" customHeight="1">
      <c r="A67" s="114" t="s">
        <v>172</v>
      </c>
      <c r="B67" s="52">
        <v>9090</v>
      </c>
      <c r="C67" s="52"/>
      <c r="D67" s="52"/>
      <c r="E67" s="52">
        <v>1500</v>
      </c>
      <c r="F67" s="52">
        <v>200</v>
      </c>
      <c r="G67" s="52">
        <v>500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>
        <v>670</v>
      </c>
      <c r="AA67" s="52"/>
      <c r="AB67" s="52"/>
      <c r="AC67" s="52"/>
      <c r="AD67" s="52"/>
      <c r="AE67" s="52"/>
      <c r="AF67" s="193">
        <f t="shared" si="2"/>
        <v>11960</v>
      </c>
    </row>
    <row r="68" spans="1:32" ht="18" customHeight="1">
      <c r="A68" s="114" t="s">
        <v>173</v>
      </c>
      <c r="B68" s="52">
        <v>14040</v>
      </c>
      <c r="C68" s="52">
        <v>1190</v>
      </c>
      <c r="D68" s="52"/>
      <c r="E68" s="52">
        <v>2730</v>
      </c>
      <c r="F68" s="52">
        <v>360</v>
      </c>
      <c r="G68" s="52">
        <v>100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>
        <v>800</v>
      </c>
      <c r="AA68" s="52"/>
      <c r="AB68" s="52"/>
      <c r="AC68" s="52"/>
      <c r="AD68" s="52"/>
      <c r="AE68" s="52"/>
      <c r="AF68" s="193">
        <f t="shared" si="2"/>
        <v>19220</v>
      </c>
    </row>
    <row r="69" spans="1:32" ht="18" customHeight="1">
      <c r="A69" s="114" t="s">
        <v>175</v>
      </c>
      <c r="B69" s="52">
        <v>11880</v>
      </c>
      <c r="C69" s="52">
        <v>920</v>
      </c>
      <c r="D69" s="52"/>
      <c r="E69" s="52">
        <v>2260</v>
      </c>
      <c r="F69" s="52">
        <v>310</v>
      </c>
      <c r="G69" s="52">
        <v>200</v>
      </c>
      <c r="H69" s="52"/>
      <c r="I69" s="52"/>
      <c r="J69" s="52"/>
      <c r="K69" s="52"/>
      <c r="L69" s="52"/>
      <c r="M69" s="52"/>
      <c r="N69" s="52">
        <v>840</v>
      </c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>
        <v>820</v>
      </c>
      <c r="AA69" s="52"/>
      <c r="AB69" s="52"/>
      <c r="AC69" s="52"/>
      <c r="AD69" s="52"/>
      <c r="AE69" s="52"/>
      <c r="AF69" s="193">
        <f t="shared" si="2"/>
        <v>17230</v>
      </c>
    </row>
    <row r="70" spans="1:32" ht="18" customHeight="1">
      <c r="A70" s="114" t="s">
        <v>92</v>
      </c>
      <c r="B70" s="52">
        <v>14330</v>
      </c>
      <c r="C70" s="52">
        <v>1190</v>
      </c>
      <c r="D70" s="52"/>
      <c r="E70" s="52">
        <v>2710</v>
      </c>
      <c r="F70" s="52">
        <v>380</v>
      </c>
      <c r="G70" s="52"/>
      <c r="H70" s="52"/>
      <c r="I70" s="52"/>
      <c r="J70" s="52"/>
      <c r="K70" s="52"/>
      <c r="L70" s="52"/>
      <c r="M70" s="52"/>
      <c r="N70" s="52">
        <v>200</v>
      </c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>
        <v>800</v>
      </c>
      <c r="AA70" s="52"/>
      <c r="AB70" s="52"/>
      <c r="AC70" s="52"/>
      <c r="AD70" s="52"/>
      <c r="AE70" s="52"/>
      <c r="AF70" s="193">
        <f t="shared" si="2"/>
        <v>19610</v>
      </c>
    </row>
    <row r="71" spans="1:32" ht="18" customHeight="1">
      <c r="A71" s="114" t="s">
        <v>100</v>
      </c>
      <c r="B71" s="52">
        <v>13830</v>
      </c>
      <c r="C71" s="52">
        <v>1180</v>
      </c>
      <c r="D71" s="52"/>
      <c r="E71" s="52">
        <v>2590</v>
      </c>
      <c r="F71" s="52">
        <v>370</v>
      </c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>
        <v>780</v>
      </c>
      <c r="AA71" s="52"/>
      <c r="AB71" s="52"/>
      <c r="AC71" s="52"/>
      <c r="AD71" s="52"/>
      <c r="AE71" s="52"/>
      <c r="AF71" s="193">
        <f t="shared" si="2"/>
        <v>18750</v>
      </c>
    </row>
    <row r="72" spans="1:32" ht="18" customHeight="1">
      <c r="A72" s="114" t="s">
        <v>351</v>
      </c>
      <c r="B72" s="52">
        <v>11500</v>
      </c>
      <c r="C72" s="52">
        <v>920</v>
      </c>
      <c r="D72" s="52"/>
      <c r="E72" s="52">
        <v>2200</v>
      </c>
      <c r="F72" s="52">
        <v>280</v>
      </c>
      <c r="G72" s="52">
        <v>100</v>
      </c>
      <c r="H72" s="52"/>
      <c r="I72" s="52"/>
      <c r="J72" s="52"/>
      <c r="K72" s="52"/>
      <c r="L72" s="52"/>
      <c r="M72" s="52"/>
      <c r="N72" s="52">
        <v>50</v>
      </c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>
        <v>780</v>
      </c>
      <c r="AA72" s="52"/>
      <c r="AB72" s="52"/>
      <c r="AC72" s="52"/>
      <c r="AD72" s="52"/>
      <c r="AE72" s="52"/>
      <c r="AF72" s="193">
        <f t="shared" si="2"/>
        <v>15830</v>
      </c>
    </row>
    <row r="73" spans="1:32" ht="18" customHeight="1">
      <c r="A73" s="114" t="s">
        <v>99</v>
      </c>
      <c r="B73" s="52">
        <v>24840</v>
      </c>
      <c r="C73" s="52">
        <v>2450</v>
      </c>
      <c r="D73" s="52"/>
      <c r="E73" s="52">
        <v>5020</v>
      </c>
      <c r="F73" s="52">
        <v>700</v>
      </c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>
        <v>2030</v>
      </c>
      <c r="AA73" s="52"/>
      <c r="AB73" s="52"/>
      <c r="AC73" s="52"/>
      <c r="AD73" s="52"/>
      <c r="AE73" s="52"/>
      <c r="AF73" s="193">
        <f t="shared" si="2"/>
        <v>35040</v>
      </c>
    </row>
    <row r="74" spans="1:32" ht="18" customHeight="1">
      <c r="A74" s="114" t="s">
        <v>230</v>
      </c>
      <c r="B74" s="52">
        <v>22000</v>
      </c>
      <c r="C74" s="52">
        <v>2040</v>
      </c>
      <c r="D74" s="52"/>
      <c r="E74" s="52">
        <v>4680</v>
      </c>
      <c r="F74" s="52">
        <v>600</v>
      </c>
      <c r="G74" s="52">
        <v>80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>
        <v>1530</v>
      </c>
      <c r="AA74" s="52"/>
      <c r="AB74" s="52"/>
      <c r="AC74" s="52"/>
      <c r="AD74" s="52"/>
      <c r="AE74" s="52"/>
      <c r="AF74" s="193">
        <f t="shared" si="2"/>
        <v>30930</v>
      </c>
    </row>
    <row r="75" spans="1:32" ht="18" customHeight="1" thickBot="1">
      <c r="A75" s="115" t="s">
        <v>229</v>
      </c>
      <c r="B75" s="136">
        <v>13100</v>
      </c>
      <c r="C75" s="136">
        <v>1000</v>
      </c>
      <c r="D75" s="136"/>
      <c r="E75" s="136">
        <v>2200</v>
      </c>
      <c r="F75" s="136">
        <v>340</v>
      </c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>
        <v>800</v>
      </c>
      <c r="AA75" s="136"/>
      <c r="AB75" s="136"/>
      <c r="AC75" s="136"/>
      <c r="AD75" s="136"/>
      <c r="AE75" s="136"/>
      <c r="AF75" s="194">
        <f t="shared" si="2"/>
        <v>17440</v>
      </c>
    </row>
    <row r="76" spans="1:32" ht="18" customHeight="1" thickBot="1">
      <c r="A76" s="112" t="s">
        <v>270</v>
      </c>
      <c r="B76" s="55">
        <f aca="true" t="shared" si="6" ref="B76:G76">SUM(B77:B80)</f>
        <v>4790930</v>
      </c>
      <c r="C76" s="55">
        <f t="shared" si="6"/>
        <v>403070</v>
      </c>
      <c r="D76" s="55">
        <f t="shared" si="6"/>
        <v>6000</v>
      </c>
      <c r="E76" s="55">
        <f t="shared" si="6"/>
        <v>858230</v>
      </c>
      <c r="F76" s="55">
        <f t="shared" si="6"/>
        <v>121770</v>
      </c>
      <c r="G76" s="55">
        <f t="shared" si="6"/>
        <v>9300</v>
      </c>
      <c r="H76" s="55"/>
      <c r="I76" s="55"/>
      <c r="J76" s="55"/>
      <c r="K76" s="55"/>
      <c r="L76" s="55"/>
      <c r="M76" s="195"/>
      <c r="N76" s="195">
        <f>SUM(N77:N80)</f>
        <v>46000</v>
      </c>
      <c r="O76" s="195"/>
      <c r="P76" s="195">
        <f aca="true" t="shared" si="7" ref="P76:W76">SUM(P77:P80)</f>
        <v>6000</v>
      </c>
      <c r="Q76" s="195">
        <f t="shared" si="7"/>
        <v>115380</v>
      </c>
      <c r="R76" s="195">
        <f t="shared" si="7"/>
        <v>3500</v>
      </c>
      <c r="S76" s="195">
        <f t="shared" si="7"/>
        <v>28000</v>
      </c>
      <c r="T76" s="195">
        <f t="shared" si="7"/>
        <v>3060</v>
      </c>
      <c r="U76" s="195">
        <f t="shared" si="7"/>
        <v>1500</v>
      </c>
      <c r="V76" s="195">
        <f t="shared" si="7"/>
        <v>8600</v>
      </c>
      <c r="W76" s="195">
        <f t="shared" si="7"/>
        <v>4160</v>
      </c>
      <c r="X76" s="195"/>
      <c r="Y76" s="195">
        <f>SUM(Y77:Y80)</f>
        <v>5200</v>
      </c>
      <c r="Z76" s="195">
        <f>SUM(Z77:Z80)</f>
        <v>334778</v>
      </c>
      <c r="AA76" s="195"/>
      <c r="AB76" s="195"/>
      <c r="AC76" s="195">
        <f>SUM(AC77:AC80)</f>
        <v>4900</v>
      </c>
      <c r="AD76" s="195">
        <f>SUM(AD77:AD80)</f>
        <v>7100</v>
      </c>
      <c r="AE76" s="195"/>
      <c r="AF76" s="191">
        <f t="shared" si="2"/>
        <v>6757478</v>
      </c>
    </row>
    <row r="77" spans="1:32" ht="18" customHeight="1">
      <c r="A77" s="117" t="s">
        <v>334</v>
      </c>
      <c r="B77" s="53">
        <v>1060220</v>
      </c>
      <c r="C77" s="53">
        <v>87400</v>
      </c>
      <c r="D77" s="53">
        <v>5000</v>
      </c>
      <c r="E77" s="53">
        <v>182000</v>
      </c>
      <c r="F77" s="53">
        <v>25700</v>
      </c>
      <c r="G77" s="53">
        <v>4000</v>
      </c>
      <c r="H77" s="53"/>
      <c r="I77" s="53"/>
      <c r="J77" s="53"/>
      <c r="K77" s="53"/>
      <c r="L77" s="53"/>
      <c r="M77" s="59"/>
      <c r="N77" s="59">
        <v>5000</v>
      </c>
      <c r="O77" s="59"/>
      <c r="P77" s="59">
        <v>2000</v>
      </c>
      <c r="Q77" s="59">
        <v>38770</v>
      </c>
      <c r="R77" s="59">
        <v>500</v>
      </c>
      <c r="S77" s="59">
        <v>5000</v>
      </c>
      <c r="T77" s="59">
        <v>2250</v>
      </c>
      <c r="U77" s="59">
        <v>1000</v>
      </c>
      <c r="V77" s="59">
        <v>1500</v>
      </c>
      <c r="W77" s="59">
        <v>250</v>
      </c>
      <c r="X77" s="59"/>
      <c r="Y77" s="59"/>
      <c r="Z77" s="59">
        <f>70360+20826</f>
        <v>91186</v>
      </c>
      <c r="AA77" s="59"/>
      <c r="AB77" s="59"/>
      <c r="AC77" s="59">
        <v>1600</v>
      </c>
      <c r="AD77" s="59">
        <v>1800</v>
      </c>
      <c r="AE77" s="59"/>
      <c r="AF77" s="192">
        <f aca="true" t="shared" si="8" ref="AF77:AF141">SUM(B77:AE77)</f>
        <v>1515176</v>
      </c>
    </row>
    <row r="78" spans="1:32" ht="18" customHeight="1">
      <c r="A78" s="230" t="s">
        <v>72</v>
      </c>
      <c r="B78" s="54">
        <v>1700810</v>
      </c>
      <c r="C78" s="54">
        <v>143130</v>
      </c>
      <c r="D78" s="54"/>
      <c r="E78" s="54">
        <v>312130</v>
      </c>
      <c r="F78" s="54">
        <v>44480</v>
      </c>
      <c r="G78" s="54">
        <v>3500</v>
      </c>
      <c r="H78" s="54"/>
      <c r="I78" s="54"/>
      <c r="J78" s="54"/>
      <c r="K78" s="54"/>
      <c r="L78" s="54"/>
      <c r="M78" s="50"/>
      <c r="N78" s="50">
        <v>27000</v>
      </c>
      <c r="O78" s="50"/>
      <c r="P78" s="50">
        <v>1200</v>
      </c>
      <c r="Q78" s="50">
        <v>26070</v>
      </c>
      <c r="R78" s="50">
        <v>1100</v>
      </c>
      <c r="S78" s="50">
        <v>16000</v>
      </c>
      <c r="T78" s="50"/>
      <c r="U78" s="50"/>
      <c r="V78" s="50">
        <v>3000</v>
      </c>
      <c r="W78" s="50">
        <v>2000</v>
      </c>
      <c r="X78" s="50"/>
      <c r="Y78" s="50"/>
      <c r="Z78" s="50">
        <f>100620+10413</f>
        <v>111033</v>
      </c>
      <c r="AA78" s="50"/>
      <c r="AB78" s="50"/>
      <c r="AC78" s="50">
        <v>2000</v>
      </c>
      <c r="AD78" s="50">
        <v>3000</v>
      </c>
      <c r="AE78" s="50"/>
      <c r="AF78" s="193">
        <f t="shared" si="8"/>
        <v>2396453</v>
      </c>
    </row>
    <row r="79" spans="1:32" ht="25.5">
      <c r="A79" s="118" t="s">
        <v>73</v>
      </c>
      <c r="B79" s="54">
        <v>663400</v>
      </c>
      <c r="C79" s="54">
        <v>61540</v>
      </c>
      <c r="D79" s="54">
        <v>1000</v>
      </c>
      <c r="E79" s="54">
        <v>115710</v>
      </c>
      <c r="F79" s="54">
        <v>16810</v>
      </c>
      <c r="G79" s="54">
        <v>300</v>
      </c>
      <c r="H79" s="54"/>
      <c r="I79" s="54"/>
      <c r="J79" s="54"/>
      <c r="K79" s="54"/>
      <c r="L79" s="54"/>
      <c r="M79" s="50"/>
      <c r="N79" s="50">
        <v>2000</v>
      </c>
      <c r="O79" s="50"/>
      <c r="P79" s="50">
        <v>1800</v>
      </c>
      <c r="Q79" s="50">
        <v>15770</v>
      </c>
      <c r="R79" s="50">
        <v>700</v>
      </c>
      <c r="S79" s="50">
        <v>2000</v>
      </c>
      <c r="T79" s="50">
        <v>310</v>
      </c>
      <c r="U79" s="50"/>
      <c r="V79" s="50">
        <v>1600</v>
      </c>
      <c r="W79" s="50">
        <v>410</v>
      </c>
      <c r="X79" s="50"/>
      <c r="Y79" s="50">
        <v>700</v>
      </c>
      <c r="Z79" s="50">
        <f>34850+10413</f>
        <v>45263</v>
      </c>
      <c r="AA79" s="50"/>
      <c r="AB79" s="50"/>
      <c r="AC79" s="50">
        <v>800</v>
      </c>
      <c r="AD79" s="50">
        <v>1800</v>
      </c>
      <c r="AE79" s="50"/>
      <c r="AF79" s="193">
        <f t="shared" si="8"/>
        <v>931913</v>
      </c>
    </row>
    <row r="80" spans="1:32" ht="25.5">
      <c r="A80" s="137" t="s">
        <v>74</v>
      </c>
      <c r="B80" s="138">
        <v>1366500</v>
      </c>
      <c r="C80" s="138">
        <v>111000</v>
      </c>
      <c r="D80" s="138"/>
      <c r="E80" s="138">
        <v>248390</v>
      </c>
      <c r="F80" s="138">
        <v>34780</v>
      </c>
      <c r="G80" s="138">
        <v>1500</v>
      </c>
      <c r="H80" s="138"/>
      <c r="I80" s="138"/>
      <c r="J80" s="138"/>
      <c r="K80" s="138"/>
      <c r="L80" s="138"/>
      <c r="M80" s="108"/>
      <c r="N80" s="108">
        <v>12000</v>
      </c>
      <c r="O80" s="108"/>
      <c r="P80" s="108">
        <v>1000</v>
      </c>
      <c r="Q80" s="108">
        <v>34770</v>
      </c>
      <c r="R80" s="108">
        <v>1200</v>
      </c>
      <c r="S80" s="108">
        <v>5000</v>
      </c>
      <c r="T80" s="108">
        <v>500</v>
      </c>
      <c r="U80" s="108">
        <v>500</v>
      </c>
      <c r="V80" s="108">
        <v>2500</v>
      </c>
      <c r="W80" s="108">
        <v>1500</v>
      </c>
      <c r="X80" s="108"/>
      <c r="Y80" s="108">
        <v>4500</v>
      </c>
      <c r="Z80" s="108">
        <f>66470+20826</f>
        <v>87296</v>
      </c>
      <c r="AA80" s="108"/>
      <c r="AB80" s="108"/>
      <c r="AC80" s="108">
        <v>500</v>
      </c>
      <c r="AD80" s="108">
        <v>500</v>
      </c>
      <c r="AE80" s="108"/>
      <c r="AF80" s="194">
        <f t="shared" si="8"/>
        <v>1913936</v>
      </c>
    </row>
    <row r="81" spans="1:32" ht="15">
      <c r="A81" s="235"/>
      <c r="B81" s="236"/>
      <c r="C81" s="236"/>
      <c r="D81" s="236"/>
      <c r="E81" s="236"/>
      <c r="F81" s="236"/>
      <c r="G81" s="236"/>
      <c r="H81" s="236"/>
      <c r="I81" s="236"/>
      <c r="J81" s="236"/>
      <c r="K81" s="236"/>
      <c r="L81" s="236"/>
      <c r="M81" s="237"/>
      <c r="N81" s="237"/>
      <c r="O81" s="237"/>
      <c r="P81" s="237"/>
      <c r="Q81" s="237"/>
      <c r="R81" s="237"/>
      <c r="S81" s="237"/>
      <c r="T81" s="237"/>
      <c r="U81" s="237"/>
      <c r="V81" s="237"/>
      <c r="W81" s="237"/>
      <c r="X81" s="237"/>
      <c r="Y81" s="237"/>
      <c r="Z81" s="237"/>
      <c r="AA81" s="237"/>
      <c r="AB81" s="237"/>
      <c r="AC81" s="237"/>
      <c r="AD81" s="237"/>
      <c r="AE81" s="237"/>
      <c r="AF81" s="238"/>
    </row>
    <row r="82" spans="1:32" ht="26.25" thickBot="1">
      <c r="A82" s="232" t="s">
        <v>75</v>
      </c>
      <c r="B82" s="233">
        <f>SUM(B83:B99)</f>
        <v>1120870</v>
      </c>
      <c r="C82" s="233">
        <f>SUM(C83:C99)</f>
        <v>103190</v>
      </c>
      <c r="D82" s="233"/>
      <c r="E82" s="233">
        <f>SUM(E83:E99)</f>
        <v>235020</v>
      </c>
      <c r="F82" s="233">
        <f>SUM(F83:F99)</f>
        <v>33270</v>
      </c>
      <c r="G82" s="233">
        <f>SUM(G83:G99)</f>
        <v>8550</v>
      </c>
      <c r="H82" s="233"/>
      <c r="I82" s="233"/>
      <c r="J82" s="233"/>
      <c r="K82" s="233"/>
      <c r="L82" s="233"/>
      <c r="M82" s="234"/>
      <c r="N82" s="234">
        <f>SUM(N83:N99)</f>
        <v>25050</v>
      </c>
      <c r="O82" s="234"/>
      <c r="P82" s="234">
        <f>SUM(P83:P99)</f>
        <v>20550</v>
      </c>
      <c r="Q82" s="234">
        <f>SUM(Q83:Q99)</f>
        <v>18200</v>
      </c>
      <c r="R82" s="234">
        <f>SUM(R83:R99)</f>
        <v>1580</v>
      </c>
      <c r="S82" s="234">
        <f>SUM(S83:S99)</f>
        <v>9110</v>
      </c>
      <c r="T82" s="234"/>
      <c r="U82" s="234"/>
      <c r="V82" s="234">
        <f>SUM(V83:V99)</f>
        <v>160</v>
      </c>
      <c r="W82" s="234"/>
      <c r="X82" s="234"/>
      <c r="Y82" s="234"/>
      <c r="Z82" s="234">
        <f>SUM(Z83:Z99)</f>
        <v>87605</v>
      </c>
      <c r="AA82" s="234"/>
      <c r="AB82" s="234"/>
      <c r="AC82" s="234">
        <f>SUM(AC83:AC99)</f>
        <v>200</v>
      </c>
      <c r="AD82" s="234"/>
      <c r="AE82" s="234"/>
      <c r="AF82" s="222">
        <f t="shared" si="8"/>
        <v>1663355</v>
      </c>
    </row>
    <row r="83" spans="1:32" ht="18" customHeight="1">
      <c r="A83" s="139" t="s">
        <v>152</v>
      </c>
      <c r="B83" s="53">
        <v>48370</v>
      </c>
      <c r="C83" s="53">
        <v>4620</v>
      </c>
      <c r="D83" s="53"/>
      <c r="E83" s="53">
        <v>9630</v>
      </c>
      <c r="F83" s="53">
        <v>1370</v>
      </c>
      <c r="G83" s="53">
        <v>400</v>
      </c>
      <c r="H83" s="53"/>
      <c r="I83" s="53"/>
      <c r="J83" s="53"/>
      <c r="K83" s="53"/>
      <c r="L83" s="53"/>
      <c r="M83" s="59"/>
      <c r="N83" s="59">
        <v>3300</v>
      </c>
      <c r="O83" s="59"/>
      <c r="P83" s="59">
        <v>2000</v>
      </c>
      <c r="Q83" s="59"/>
      <c r="R83" s="59"/>
      <c r="S83" s="59"/>
      <c r="T83" s="59"/>
      <c r="U83" s="59"/>
      <c r="V83" s="59"/>
      <c r="W83" s="59"/>
      <c r="X83" s="59"/>
      <c r="Y83" s="59"/>
      <c r="Z83" s="59">
        <f>3990+801</f>
        <v>4791</v>
      </c>
      <c r="AA83" s="59"/>
      <c r="AB83" s="59"/>
      <c r="AC83" s="59"/>
      <c r="AD83" s="59"/>
      <c r="AE83" s="59"/>
      <c r="AF83" s="192">
        <f t="shared" si="8"/>
        <v>74481</v>
      </c>
    </row>
    <row r="84" spans="1:32" ht="18" customHeight="1">
      <c r="A84" s="114" t="s">
        <v>154</v>
      </c>
      <c r="B84" s="53">
        <v>131370</v>
      </c>
      <c r="C84" s="53">
        <v>10350</v>
      </c>
      <c r="D84" s="53"/>
      <c r="E84" s="53">
        <v>25170</v>
      </c>
      <c r="F84" s="53">
        <v>3480</v>
      </c>
      <c r="G84" s="53">
        <v>200</v>
      </c>
      <c r="H84" s="53"/>
      <c r="I84" s="53"/>
      <c r="J84" s="53"/>
      <c r="K84" s="53"/>
      <c r="L84" s="53"/>
      <c r="M84" s="59"/>
      <c r="N84" s="59">
        <v>1800</v>
      </c>
      <c r="O84" s="59"/>
      <c r="P84" s="59">
        <v>2000</v>
      </c>
      <c r="Q84" s="59">
        <v>3300</v>
      </c>
      <c r="R84" s="59"/>
      <c r="S84" s="59">
        <v>1000</v>
      </c>
      <c r="T84" s="59"/>
      <c r="U84" s="59"/>
      <c r="V84" s="59"/>
      <c r="W84" s="59"/>
      <c r="X84" s="59"/>
      <c r="Y84" s="59"/>
      <c r="Z84" s="59">
        <f>9590</f>
        <v>9590</v>
      </c>
      <c r="AA84" s="59"/>
      <c r="AB84" s="59"/>
      <c r="AC84" s="59"/>
      <c r="AD84" s="59"/>
      <c r="AE84" s="59"/>
      <c r="AF84" s="193">
        <f t="shared" si="8"/>
        <v>188260</v>
      </c>
    </row>
    <row r="85" spans="1:32" ht="18" customHeight="1">
      <c r="A85" s="114" t="s">
        <v>156</v>
      </c>
      <c r="B85" s="54">
        <v>117960</v>
      </c>
      <c r="C85" s="54">
        <v>9900</v>
      </c>
      <c r="D85" s="54"/>
      <c r="E85" s="54">
        <v>21800</v>
      </c>
      <c r="F85" s="54">
        <v>3020</v>
      </c>
      <c r="G85" s="54">
        <v>300</v>
      </c>
      <c r="H85" s="54"/>
      <c r="I85" s="54"/>
      <c r="J85" s="54"/>
      <c r="K85" s="54"/>
      <c r="L85" s="54"/>
      <c r="M85" s="50"/>
      <c r="N85" s="50">
        <v>1500</v>
      </c>
      <c r="O85" s="50"/>
      <c r="P85" s="50">
        <v>1500</v>
      </c>
      <c r="Q85" s="50"/>
      <c r="R85" s="50"/>
      <c r="S85" s="50">
        <v>500</v>
      </c>
      <c r="T85" s="50"/>
      <c r="U85" s="50"/>
      <c r="V85" s="50"/>
      <c r="W85" s="50"/>
      <c r="X85" s="50"/>
      <c r="Y85" s="50"/>
      <c r="Z85" s="50">
        <f>7900+1602</f>
        <v>9502</v>
      </c>
      <c r="AA85" s="50"/>
      <c r="AB85" s="50"/>
      <c r="AC85" s="50"/>
      <c r="AD85" s="50"/>
      <c r="AE85" s="50"/>
      <c r="AF85" s="193">
        <f t="shared" si="8"/>
        <v>165982</v>
      </c>
    </row>
    <row r="86" spans="1:32" ht="18" customHeight="1">
      <c r="A86" s="114" t="s">
        <v>157</v>
      </c>
      <c r="B86" s="54">
        <v>76570</v>
      </c>
      <c r="C86" s="54">
        <v>6700</v>
      </c>
      <c r="D86" s="54"/>
      <c r="E86" s="54">
        <v>14530</v>
      </c>
      <c r="F86" s="54">
        <v>2030</v>
      </c>
      <c r="G86" s="54">
        <v>500</v>
      </c>
      <c r="H86" s="54"/>
      <c r="I86" s="54"/>
      <c r="J86" s="54"/>
      <c r="K86" s="54"/>
      <c r="L86" s="54"/>
      <c r="M86" s="50"/>
      <c r="N86" s="50">
        <v>1300</v>
      </c>
      <c r="O86" s="50"/>
      <c r="P86" s="50">
        <v>500</v>
      </c>
      <c r="Q86" s="50">
        <v>3300</v>
      </c>
      <c r="R86" s="50"/>
      <c r="S86" s="50">
        <v>1000</v>
      </c>
      <c r="T86" s="50"/>
      <c r="U86" s="50"/>
      <c r="V86" s="50"/>
      <c r="W86" s="50"/>
      <c r="X86" s="50"/>
      <c r="Y86" s="50"/>
      <c r="Z86" s="50">
        <v>5070</v>
      </c>
      <c r="AA86" s="50"/>
      <c r="AB86" s="50"/>
      <c r="AC86" s="50"/>
      <c r="AD86" s="50"/>
      <c r="AE86" s="50"/>
      <c r="AF86" s="193">
        <f t="shared" si="8"/>
        <v>111500</v>
      </c>
    </row>
    <row r="87" spans="1:32" ht="18" customHeight="1">
      <c r="A87" s="114" t="s">
        <v>158</v>
      </c>
      <c r="B87" s="54">
        <v>49790</v>
      </c>
      <c r="C87" s="54">
        <v>5300</v>
      </c>
      <c r="D87" s="54"/>
      <c r="E87" s="54">
        <v>10230</v>
      </c>
      <c r="F87" s="54">
        <v>1450</v>
      </c>
      <c r="G87" s="54">
        <v>2100</v>
      </c>
      <c r="H87" s="54"/>
      <c r="I87" s="54"/>
      <c r="J87" s="54"/>
      <c r="K87" s="54"/>
      <c r="L87" s="54"/>
      <c r="M87" s="50"/>
      <c r="N87" s="50">
        <v>1580</v>
      </c>
      <c r="O87" s="50"/>
      <c r="P87" s="50">
        <v>1500</v>
      </c>
      <c r="Q87" s="50"/>
      <c r="R87" s="50">
        <v>130</v>
      </c>
      <c r="S87" s="50"/>
      <c r="T87" s="50"/>
      <c r="U87" s="50"/>
      <c r="V87" s="50"/>
      <c r="W87" s="50"/>
      <c r="X87" s="50"/>
      <c r="Y87" s="50"/>
      <c r="Z87" s="50">
        <f>4450+801</f>
        <v>5251</v>
      </c>
      <c r="AA87" s="50"/>
      <c r="AB87" s="50"/>
      <c r="AC87" s="50"/>
      <c r="AD87" s="50"/>
      <c r="AE87" s="50"/>
      <c r="AF87" s="193">
        <f t="shared" si="8"/>
        <v>77331</v>
      </c>
    </row>
    <row r="88" spans="1:32" ht="18" customHeight="1">
      <c r="A88" s="114" t="s">
        <v>159</v>
      </c>
      <c r="B88" s="54">
        <v>40680</v>
      </c>
      <c r="C88" s="54">
        <v>2340</v>
      </c>
      <c r="D88" s="54"/>
      <c r="E88" s="54">
        <v>7640</v>
      </c>
      <c r="F88" s="54">
        <v>1130</v>
      </c>
      <c r="G88" s="54">
        <v>300</v>
      </c>
      <c r="H88" s="54"/>
      <c r="I88" s="54"/>
      <c r="J88" s="54"/>
      <c r="K88" s="54"/>
      <c r="L88" s="54"/>
      <c r="M88" s="50"/>
      <c r="N88" s="50">
        <v>1000</v>
      </c>
      <c r="O88" s="50"/>
      <c r="P88" s="50">
        <v>1000</v>
      </c>
      <c r="Q88" s="50">
        <v>1500</v>
      </c>
      <c r="R88" s="50">
        <v>100</v>
      </c>
      <c r="S88" s="50">
        <v>1000</v>
      </c>
      <c r="T88" s="50"/>
      <c r="U88" s="50"/>
      <c r="V88" s="50"/>
      <c r="W88" s="50"/>
      <c r="X88" s="50"/>
      <c r="Y88" s="50"/>
      <c r="Z88" s="50">
        <f>4510+801</f>
        <v>5311</v>
      </c>
      <c r="AA88" s="50"/>
      <c r="AB88" s="50"/>
      <c r="AC88" s="50"/>
      <c r="AD88" s="50"/>
      <c r="AE88" s="50"/>
      <c r="AF88" s="193">
        <f t="shared" si="8"/>
        <v>62001</v>
      </c>
    </row>
    <row r="89" spans="1:32" ht="18" customHeight="1">
      <c r="A89" s="114" t="s">
        <v>161</v>
      </c>
      <c r="B89" s="54">
        <v>65980</v>
      </c>
      <c r="C89" s="54">
        <v>6090</v>
      </c>
      <c r="D89" s="54"/>
      <c r="E89" s="54">
        <v>11960</v>
      </c>
      <c r="F89" s="54">
        <v>1740</v>
      </c>
      <c r="G89" s="54">
        <v>700</v>
      </c>
      <c r="H89" s="54"/>
      <c r="I89" s="54"/>
      <c r="J89" s="54"/>
      <c r="K89" s="54"/>
      <c r="L89" s="54"/>
      <c r="M89" s="50"/>
      <c r="N89" s="50">
        <v>1470</v>
      </c>
      <c r="O89" s="50"/>
      <c r="P89" s="50">
        <v>1200</v>
      </c>
      <c r="Q89" s="50">
        <v>700</v>
      </c>
      <c r="R89" s="50">
        <v>100</v>
      </c>
      <c r="S89" s="50">
        <v>600</v>
      </c>
      <c r="T89" s="50"/>
      <c r="U89" s="50"/>
      <c r="V89" s="50"/>
      <c r="W89" s="50"/>
      <c r="X89" s="50"/>
      <c r="Y89" s="50"/>
      <c r="Z89" s="50">
        <v>4700</v>
      </c>
      <c r="AA89" s="50"/>
      <c r="AB89" s="50"/>
      <c r="AC89" s="50"/>
      <c r="AD89" s="50"/>
      <c r="AE89" s="50"/>
      <c r="AF89" s="193">
        <f t="shared" si="8"/>
        <v>95240</v>
      </c>
    </row>
    <row r="90" spans="1:32" ht="18" customHeight="1">
      <c r="A90" s="114" t="s">
        <v>163</v>
      </c>
      <c r="B90" s="54">
        <v>37040</v>
      </c>
      <c r="C90" s="54">
        <v>4120</v>
      </c>
      <c r="D90" s="54"/>
      <c r="E90" s="54">
        <v>7900</v>
      </c>
      <c r="F90" s="54">
        <v>1130</v>
      </c>
      <c r="G90" s="54">
        <v>250</v>
      </c>
      <c r="H90" s="54"/>
      <c r="I90" s="54"/>
      <c r="J90" s="54"/>
      <c r="K90" s="54"/>
      <c r="L90" s="54"/>
      <c r="M90" s="50"/>
      <c r="N90" s="50">
        <v>1000</v>
      </c>
      <c r="O90" s="50"/>
      <c r="P90" s="50">
        <v>850</v>
      </c>
      <c r="Q90" s="50">
        <v>1000</v>
      </c>
      <c r="R90" s="50">
        <v>150</v>
      </c>
      <c r="S90" s="50">
        <v>500</v>
      </c>
      <c r="T90" s="50"/>
      <c r="U90" s="50"/>
      <c r="V90" s="50"/>
      <c r="W90" s="50"/>
      <c r="X90" s="50"/>
      <c r="Y90" s="50"/>
      <c r="Z90" s="50">
        <v>2700</v>
      </c>
      <c r="AA90" s="50"/>
      <c r="AB90" s="50"/>
      <c r="AC90" s="50"/>
      <c r="AD90" s="50"/>
      <c r="AE90" s="50"/>
      <c r="AF90" s="193">
        <f t="shared" si="8"/>
        <v>56640</v>
      </c>
    </row>
    <row r="91" spans="1:33" s="49" customFormat="1" ht="18" customHeight="1">
      <c r="A91" s="114" t="s">
        <v>173</v>
      </c>
      <c r="B91" s="54">
        <v>72060</v>
      </c>
      <c r="C91" s="54">
        <v>8120</v>
      </c>
      <c r="D91" s="54"/>
      <c r="E91" s="54">
        <v>14330</v>
      </c>
      <c r="F91" s="54">
        <v>2010</v>
      </c>
      <c r="G91" s="54">
        <v>800</v>
      </c>
      <c r="H91" s="54"/>
      <c r="I91" s="54"/>
      <c r="J91" s="54"/>
      <c r="K91" s="54"/>
      <c r="L91" s="54"/>
      <c r="M91" s="50"/>
      <c r="N91" s="50">
        <v>1600</v>
      </c>
      <c r="O91" s="50"/>
      <c r="P91" s="50">
        <v>1000</v>
      </c>
      <c r="Q91" s="50">
        <v>1000</v>
      </c>
      <c r="R91" s="50">
        <v>300</v>
      </c>
      <c r="S91" s="50"/>
      <c r="T91" s="50"/>
      <c r="U91" s="50"/>
      <c r="V91" s="50"/>
      <c r="W91" s="50"/>
      <c r="X91" s="50"/>
      <c r="Y91" s="50"/>
      <c r="Z91" s="50">
        <v>5980</v>
      </c>
      <c r="AA91" s="50"/>
      <c r="AB91" s="50"/>
      <c r="AC91" s="50"/>
      <c r="AD91" s="50"/>
      <c r="AE91" s="50"/>
      <c r="AF91" s="193">
        <f t="shared" si="8"/>
        <v>107200</v>
      </c>
      <c r="AG91" s="45"/>
    </row>
    <row r="92" spans="1:33" s="49" customFormat="1" ht="18" customHeight="1">
      <c r="A92" s="114" t="s">
        <v>174</v>
      </c>
      <c r="B92" s="54">
        <v>25880</v>
      </c>
      <c r="C92" s="54">
        <v>6700</v>
      </c>
      <c r="D92" s="54"/>
      <c r="E92" s="54">
        <v>6200</v>
      </c>
      <c r="F92" s="54">
        <v>890</v>
      </c>
      <c r="G92" s="54"/>
      <c r="H92" s="54"/>
      <c r="I92" s="54"/>
      <c r="J92" s="54"/>
      <c r="K92" s="54"/>
      <c r="L92" s="54"/>
      <c r="M92" s="50"/>
      <c r="N92" s="50">
        <v>1000</v>
      </c>
      <c r="O92" s="50"/>
      <c r="P92" s="50">
        <v>1000</v>
      </c>
      <c r="Q92" s="50">
        <v>1000</v>
      </c>
      <c r="R92" s="50"/>
      <c r="S92" s="50"/>
      <c r="T92" s="50"/>
      <c r="U92" s="50"/>
      <c r="V92" s="50"/>
      <c r="W92" s="50"/>
      <c r="X92" s="50"/>
      <c r="Y92" s="50"/>
      <c r="Z92" s="50">
        <v>2080</v>
      </c>
      <c r="AA92" s="50"/>
      <c r="AB92" s="50"/>
      <c r="AC92" s="50"/>
      <c r="AD92" s="50"/>
      <c r="AE92" s="50"/>
      <c r="AF92" s="193">
        <f t="shared" si="8"/>
        <v>44750</v>
      </c>
      <c r="AG92" s="45"/>
    </row>
    <row r="93" spans="1:33" s="49" customFormat="1" ht="18" customHeight="1">
      <c r="A93" s="114" t="s">
        <v>178</v>
      </c>
      <c r="B93" s="54">
        <v>32270</v>
      </c>
      <c r="C93" s="54">
        <v>900</v>
      </c>
      <c r="D93" s="54"/>
      <c r="E93" s="54">
        <v>6280</v>
      </c>
      <c r="F93" s="54">
        <v>900</v>
      </c>
      <c r="G93" s="54"/>
      <c r="H93" s="54"/>
      <c r="I93" s="54"/>
      <c r="J93" s="54"/>
      <c r="K93" s="54"/>
      <c r="L93" s="54"/>
      <c r="M93" s="50"/>
      <c r="N93" s="50">
        <v>1500</v>
      </c>
      <c r="O93" s="50"/>
      <c r="P93" s="50">
        <v>500</v>
      </c>
      <c r="Q93" s="50"/>
      <c r="R93" s="50"/>
      <c r="S93" s="50"/>
      <c r="T93" s="50"/>
      <c r="U93" s="50"/>
      <c r="V93" s="50"/>
      <c r="W93" s="50"/>
      <c r="X93" s="50"/>
      <c r="Y93" s="50"/>
      <c r="Z93" s="50">
        <v>2190</v>
      </c>
      <c r="AA93" s="50"/>
      <c r="AB93" s="50"/>
      <c r="AC93" s="50"/>
      <c r="AD93" s="50"/>
      <c r="AE93" s="50"/>
      <c r="AF93" s="193">
        <f t="shared" si="8"/>
        <v>44540</v>
      </c>
      <c r="AG93" s="45"/>
    </row>
    <row r="94" spans="1:33" s="49" customFormat="1" ht="18" customHeight="1">
      <c r="A94" s="114" t="s">
        <v>176</v>
      </c>
      <c r="B94" s="54">
        <v>22000</v>
      </c>
      <c r="C94" s="54">
        <v>2480</v>
      </c>
      <c r="D94" s="54"/>
      <c r="E94" s="54">
        <v>4500</v>
      </c>
      <c r="F94" s="54">
        <v>680</v>
      </c>
      <c r="G94" s="54">
        <v>200</v>
      </c>
      <c r="H94" s="54"/>
      <c r="I94" s="54"/>
      <c r="J94" s="54"/>
      <c r="K94" s="54"/>
      <c r="L94" s="54"/>
      <c r="M94" s="50"/>
      <c r="N94" s="50">
        <v>2300</v>
      </c>
      <c r="O94" s="50"/>
      <c r="P94" s="50">
        <v>1000</v>
      </c>
      <c r="Q94" s="50">
        <v>1200</v>
      </c>
      <c r="R94" s="50">
        <v>100</v>
      </c>
      <c r="S94" s="50">
        <v>2160</v>
      </c>
      <c r="T94" s="50"/>
      <c r="U94" s="50"/>
      <c r="V94" s="50"/>
      <c r="W94" s="50"/>
      <c r="X94" s="50"/>
      <c r="Y94" s="50"/>
      <c r="Z94" s="50">
        <v>2660</v>
      </c>
      <c r="AA94" s="50"/>
      <c r="AB94" s="50"/>
      <c r="AC94" s="50"/>
      <c r="AD94" s="50"/>
      <c r="AE94" s="50"/>
      <c r="AF94" s="193">
        <f t="shared" si="8"/>
        <v>39280</v>
      </c>
      <c r="AG94" s="45"/>
    </row>
    <row r="95" spans="1:33" s="49" customFormat="1" ht="18" customHeight="1">
      <c r="A95" s="114" t="s">
        <v>177</v>
      </c>
      <c r="B95" s="54">
        <v>87000</v>
      </c>
      <c r="C95" s="54">
        <v>8000</v>
      </c>
      <c r="D95" s="54"/>
      <c r="E95" s="54">
        <v>16600</v>
      </c>
      <c r="F95" s="54">
        <v>2500</v>
      </c>
      <c r="G95" s="54">
        <v>1000</v>
      </c>
      <c r="H95" s="54"/>
      <c r="I95" s="54"/>
      <c r="J95" s="54"/>
      <c r="K95" s="54"/>
      <c r="L95" s="54"/>
      <c r="M95" s="50"/>
      <c r="N95" s="50">
        <v>800</v>
      </c>
      <c r="O95" s="50"/>
      <c r="P95" s="50">
        <v>1000</v>
      </c>
      <c r="Q95" s="50">
        <v>1300</v>
      </c>
      <c r="R95" s="50"/>
      <c r="S95" s="50">
        <v>350</v>
      </c>
      <c r="T95" s="50"/>
      <c r="U95" s="50"/>
      <c r="V95" s="50">
        <v>160</v>
      </c>
      <c r="W95" s="50"/>
      <c r="X95" s="50"/>
      <c r="Y95" s="50"/>
      <c r="Z95" s="50">
        <v>4870</v>
      </c>
      <c r="AA95" s="50"/>
      <c r="AB95" s="50"/>
      <c r="AC95" s="50">
        <v>200</v>
      </c>
      <c r="AD95" s="50"/>
      <c r="AE95" s="50"/>
      <c r="AF95" s="193">
        <f t="shared" si="8"/>
        <v>123780</v>
      </c>
      <c r="AG95" s="45"/>
    </row>
    <row r="96" spans="1:33" s="49" customFormat="1" ht="18" customHeight="1">
      <c r="A96" s="114" t="s">
        <v>225</v>
      </c>
      <c r="B96" s="54">
        <v>67500</v>
      </c>
      <c r="C96" s="54">
        <v>8030</v>
      </c>
      <c r="D96" s="54"/>
      <c r="E96" s="54">
        <v>30680</v>
      </c>
      <c r="F96" s="54">
        <v>4230</v>
      </c>
      <c r="G96" s="54">
        <v>500</v>
      </c>
      <c r="H96" s="54"/>
      <c r="I96" s="54"/>
      <c r="J96" s="54"/>
      <c r="K96" s="54"/>
      <c r="L96" s="54"/>
      <c r="M96" s="50"/>
      <c r="N96" s="50">
        <v>2400</v>
      </c>
      <c r="O96" s="50"/>
      <c r="P96" s="50">
        <v>1500</v>
      </c>
      <c r="Q96" s="50">
        <v>1300</v>
      </c>
      <c r="R96" s="50">
        <v>200</v>
      </c>
      <c r="S96" s="50">
        <v>500</v>
      </c>
      <c r="T96" s="50"/>
      <c r="U96" s="50"/>
      <c r="V96" s="50"/>
      <c r="W96" s="50"/>
      <c r="X96" s="50"/>
      <c r="Y96" s="50"/>
      <c r="Z96" s="50">
        <v>4890</v>
      </c>
      <c r="AA96" s="50"/>
      <c r="AB96" s="50"/>
      <c r="AC96" s="50"/>
      <c r="AD96" s="50"/>
      <c r="AE96" s="50"/>
      <c r="AF96" s="193">
        <f t="shared" si="8"/>
        <v>121730</v>
      </c>
      <c r="AG96" s="45"/>
    </row>
    <row r="97" spans="1:33" s="49" customFormat="1" ht="18" customHeight="1">
      <c r="A97" s="114" t="s">
        <v>300</v>
      </c>
      <c r="B97" s="54">
        <v>169210</v>
      </c>
      <c r="C97" s="54">
        <v>10880</v>
      </c>
      <c r="D97" s="54"/>
      <c r="E97" s="54">
        <v>32320</v>
      </c>
      <c r="F97" s="54">
        <v>4460</v>
      </c>
      <c r="G97" s="54">
        <v>1200</v>
      </c>
      <c r="H97" s="54"/>
      <c r="I97" s="54"/>
      <c r="J97" s="54"/>
      <c r="K97" s="54"/>
      <c r="L97" s="54"/>
      <c r="M97" s="50"/>
      <c r="N97" s="50">
        <v>1500</v>
      </c>
      <c r="O97" s="50"/>
      <c r="P97" s="50">
        <v>3000</v>
      </c>
      <c r="Q97" s="50"/>
      <c r="R97" s="50">
        <v>500</v>
      </c>
      <c r="S97" s="50">
        <v>1500</v>
      </c>
      <c r="T97" s="50"/>
      <c r="U97" s="50"/>
      <c r="V97" s="50"/>
      <c r="W97" s="50"/>
      <c r="X97" s="50"/>
      <c r="Y97" s="50"/>
      <c r="Z97" s="50">
        <v>12010</v>
      </c>
      <c r="AA97" s="50"/>
      <c r="AB97" s="50"/>
      <c r="AC97" s="50"/>
      <c r="AD97" s="50"/>
      <c r="AE97" s="50"/>
      <c r="AF97" s="193">
        <f t="shared" si="8"/>
        <v>236580</v>
      </c>
      <c r="AG97" s="45"/>
    </row>
    <row r="98" spans="1:33" s="49" customFormat="1" ht="18" customHeight="1">
      <c r="A98" s="114" t="s">
        <v>101</v>
      </c>
      <c r="B98" s="54">
        <v>25670</v>
      </c>
      <c r="C98" s="54">
        <v>3500</v>
      </c>
      <c r="D98" s="54"/>
      <c r="E98" s="54">
        <v>5300</v>
      </c>
      <c r="F98" s="54">
        <v>800</v>
      </c>
      <c r="G98" s="54">
        <v>100</v>
      </c>
      <c r="H98" s="54"/>
      <c r="I98" s="54"/>
      <c r="J98" s="54"/>
      <c r="K98" s="54"/>
      <c r="L98" s="54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>
        <v>2060</v>
      </c>
      <c r="AA98" s="50"/>
      <c r="AB98" s="50"/>
      <c r="AC98" s="50"/>
      <c r="AD98" s="50"/>
      <c r="AE98" s="50"/>
      <c r="AF98" s="193">
        <f t="shared" si="8"/>
        <v>37430</v>
      </c>
      <c r="AG98" s="45"/>
    </row>
    <row r="99" spans="1:33" s="49" customFormat="1" ht="18" customHeight="1" thickBot="1">
      <c r="A99" s="115" t="s">
        <v>229</v>
      </c>
      <c r="B99" s="138">
        <v>51520</v>
      </c>
      <c r="C99" s="138">
        <v>5160</v>
      </c>
      <c r="D99" s="138"/>
      <c r="E99" s="138">
        <v>9950</v>
      </c>
      <c r="F99" s="138">
        <v>1450</v>
      </c>
      <c r="G99" s="138"/>
      <c r="H99" s="138"/>
      <c r="I99" s="138"/>
      <c r="J99" s="138"/>
      <c r="K99" s="138"/>
      <c r="L99" s="138"/>
      <c r="M99" s="108"/>
      <c r="N99" s="108">
        <v>1000</v>
      </c>
      <c r="O99" s="108"/>
      <c r="P99" s="108">
        <v>1000</v>
      </c>
      <c r="Q99" s="108">
        <v>2600</v>
      </c>
      <c r="R99" s="108"/>
      <c r="S99" s="108"/>
      <c r="T99" s="108"/>
      <c r="U99" s="108"/>
      <c r="V99" s="108"/>
      <c r="W99" s="108"/>
      <c r="X99" s="108"/>
      <c r="Y99" s="108"/>
      <c r="Z99" s="108">
        <v>3950</v>
      </c>
      <c r="AA99" s="108"/>
      <c r="AB99" s="108"/>
      <c r="AC99" s="108"/>
      <c r="AD99" s="108"/>
      <c r="AE99" s="108"/>
      <c r="AF99" s="194">
        <f t="shared" si="8"/>
        <v>76630</v>
      </c>
      <c r="AG99" s="45"/>
    </row>
    <row r="100" spans="1:32" s="49" customFormat="1" ht="18" customHeight="1" thickBot="1">
      <c r="A100" s="112" t="s">
        <v>0</v>
      </c>
      <c r="B100" s="55">
        <f>SUM(B101:B161)</f>
        <v>29357000</v>
      </c>
      <c r="C100" s="55">
        <f aca="true" t="shared" si="9" ref="C100:AE100">SUM(C101:C161)</f>
        <v>2281158</v>
      </c>
      <c r="D100" s="55"/>
      <c r="E100" s="55">
        <f t="shared" si="9"/>
        <v>5464889</v>
      </c>
      <c r="F100" s="55">
        <f t="shared" si="9"/>
        <v>775111</v>
      </c>
      <c r="G100" s="55">
        <f t="shared" si="9"/>
        <v>23772</v>
      </c>
      <c r="H100" s="55"/>
      <c r="I100" s="55"/>
      <c r="J100" s="55"/>
      <c r="K100" s="55"/>
      <c r="L100" s="55"/>
      <c r="M100" s="195">
        <f t="shared" si="9"/>
        <v>74050</v>
      </c>
      <c r="N100" s="195">
        <f t="shared" si="9"/>
        <v>379250</v>
      </c>
      <c r="O100" s="195"/>
      <c r="P100" s="195">
        <f t="shared" si="9"/>
        <v>80730</v>
      </c>
      <c r="Q100" s="195">
        <f t="shared" si="9"/>
        <v>2312004</v>
      </c>
      <c r="R100" s="195">
        <f t="shared" si="9"/>
        <v>52780</v>
      </c>
      <c r="S100" s="195">
        <f t="shared" si="9"/>
        <v>1241970</v>
      </c>
      <c r="T100" s="195"/>
      <c r="U100" s="195"/>
      <c r="V100" s="195">
        <f t="shared" si="9"/>
        <v>122380</v>
      </c>
      <c r="W100" s="195">
        <f t="shared" si="9"/>
        <v>21350</v>
      </c>
      <c r="X100" s="195"/>
      <c r="Y100" s="195"/>
      <c r="Z100" s="195">
        <f t="shared" si="9"/>
        <v>2268385</v>
      </c>
      <c r="AA100" s="195"/>
      <c r="AB100" s="195"/>
      <c r="AC100" s="195">
        <f t="shared" si="9"/>
        <v>29900</v>
      </c>
      <c r="AD100" s="195"/>
      <c r="AE100" s="195">
        <f t="shared" si="9"/>
        <v>26000</v>
      </c>
      <c r="AF100" s="191">
        <f t="shared" si="8"/>
        <v>44510729</v>
      </c>
    </row>
    <row r="101" spans="1:32" s="49" customFormat="1" ht="18" customHeight="1">
      <c r="A101" s="140" t="s">
        <v>1</v>
      </c>
      <c r="B101" s="165">
        <v>563102</v>
      </c>
      <c r="C101" s="165">
        <v>45269</v>
      </c>
      <c r="D101" s="166"/>
      <c r="E101" s="170">
        <v>105088</v>
      </c>
      <c r="F101" s="170">
        <v>14905</v>
      </c>
      <c r="G101" s="170">
        <v>433</v>
      </c>
      <c r="H101" s="166"/>
      <c r="I101" s="166"/>
      <c r="J101" s="166"/>
      <c r="K101" s="166"/>
      <c r="L101" s="166"/>
      <c r="M101" s="196">
        <v>6600</v>
      </c>
      <c r="N101" s="196">
        <v>7500</v>
      </c>
      <c r="O101" s="197"/>
      <c r="P101" s="196">
        <v>1620</v>
      </c>
      <c r="Q101" s="198">
        <v>44434</v>
      </c>
      <c r="R101" s="196">
        <v>980</v>
      </c>
      <c r="S101" s="196">
        <v>8572</v>
      </c>
      <c r="T101" s="197"/>
      <c r="U101" s="197"/>
      <c r="V101" s="196">
        <v>2160</v>
      </c>
      <c r="W101" s="196">
        <v>350</v>
      </c>
      <c r="X101" s="197"/>
      <c r="Y101" s="197"/>
      <c r="Z101" s="196">
        <v>45543</v>
      </c>
      <c r="AA101" s="197"/>
      <c r="AB101" s="197"/>
      <c r="AC101" s="196">
        <v>600</v>
      </c>
      <c r="AD101" s="197"/>
      <c r="AE101" s="196"/>
      <c r="AF101" s="192">
        <f t="shared" si="8"/>
        <v>847156</v>
      </c>
    </row>
    <row r="102" spans="1:32" s="49" customFormat="1" ht="18" customHeight="1">
      <c r="A102" s="231" t="s">
        <v>2</v>
      </c>
      <c r="B102" s="167">
        <v>465822</v>
      </c>
      <c r="C102" s="167">
        <v>27983</v>
      </c>
      <c r="D102" s="54"/>
      <c r="E102" s="171">
        <v>85298</v>
      </c>
      <c r="F102" s="171">
        <v>12098</v>
      </c>
      <c r="G102" s="171">
        <v>307</v>
      </c>
      <c r="H102" s="54"/>
      <c r="I102" s="54"/>
      <c r="J102" s="54"/>
      <c r="K102" s="54"/>
      <c r="L102" s="54"/>
      <c r="M102" s="199"/>
      <c r="N102" s="199">
        <v>3750</v>
      </c>
      <c r="O102" s="50"/>
      <c r="P102" s="199">
        <v>810</v>
      </c>
      <c r="Q102" s="200">
        <v>18089</v>
      </c>
      <c r="R102" s="199">
        <v>700</v>
      </c>
      <c r="S102" s="199">
        <v>4202</v>
      </c>
      <c r="T102" s="50"/>
      <c r="U102" s="50"/>
      <c r="V102" s="199">
        <v>1800</v>
      </c>
      <c r="W102" s="199">
        <v>350</v>
      </c>
      <c r="X102" s="50"/>
      <c r="Y102" s="50"/>
      <c r="Z102" s="199">
        <v>32794</v>
      </c>
      <c r="AA102" s="50"/>
      <c r="AB102" s="50"/>
      <c r="AC102" s="199">
        <v>300</v>
      </c>
      <c r="AD102" s="50"/>
      <c r="AE102" s="199"/>
      <c r="AF102" s="193">
        <f t="shared" si="8"/>
        <v>654303</v>
      </c>
    </row>
    <row r="103" spans="1:32" s="49" customFormat="1" ht="18" customHeight="1">
      <c r="A103" s="231" t="s">
        <v>3</v>
      </c>
      <c r="B103" s="167">
        <v>372662</v>
      </c>
      <c r="C103" s="167">
        <v>32237</v>
      </c>
      <c r="D103" s="54"/>
      <c r="E103" s="171">
        <v>69941</v>
      </c>
      <c r="F103" s="171">
        <v>9920</v>
      </c>
      <c r="G103" s="171">
        <v>330</v>
      </c>
      <c r="H103" s="54"/>
      <c r="I103" s="54"/>
      <c r="J103" s="54"/>
      <c r="K103" s="54"/>
      <c r="L103" s="54"/>
      <c r="M103" s="199"/>
      <c r="N103" s="199">
        <v>6250</v>
      </c>
      <c r="O103" s="50"/>
      <c r="P103" s="199">
        <v>1350</v>
      </c>
      <c r="Q103" s="200">
        <v>18685</v>
      </c>
      <c r="R103" s="199">
        <v>700</v>
      </c>
      <c r="S103" s="199">
        <v>148099</v>
      </c>
      <c r="T103" s="50"/>
      <c r="U103" s="50"/>
      <c r="V103" s="199">
        <v>1800</v>
      </c>
      <c r="W103" s="199">
        <v>350</v>
      </c>
      <c r="X103" s="50"/>
      <c r="Y103" s="50"/>
      <c r="Z103" s="199">
        <v>29065</v>
      </c>
      <c r="AA103" s="50"/>
      <c r="AB103" s="50"/>
      <c r="AC103" s="199">
        <v>500</v>
      </c>
      <c r="AD103" s="50"/>
      <c r="AE103" s="199"/>
      <c r="AF103" s="193">
        <f t="shared" si="8"/>
        <v>691889</v>
      </c>
    </row>
    <row r="104" spans="1:32" s="49" customFormat="1" ht="18" customHeight="1">
      <c r="A104" s="231" t="s">
        <v>4</v>
      </c>
      <c r="B104" s="167">
        <v>842730</v>
      </c>
      <c r="C104" s="167">
        <v>62954</v>
      </c>
      <c r="D104" s="54"/>
      <c r="E104" s="171">
        <v>156445</v>
      </c>
      <c r="F104" s="171">
        <v>22189</v>
      </c>
      <c r="G104" s="171">
        <v>607</v>
      </c>
      <c r="H104" s="54"/>
      <c r="I104" s="54"/>
      <c r="J104" s="54"/>
      <c r="K104" s="54"/>
      <c r="L104" s="54"/>
      <c r="M104" s="199">
        <v>9700</v>
      </c>
      <c r="N104" s="199">
        <v>11250</v>
      </c>
      <c r="O104" s="50"/>
      <c r="P104" s="199">
        <v>2430</v>
      </c>
      <c r="Q104" s="200">
        <v>64768</v>
      </c>
      <c r="R104" s="199">
        <v>1575</v>
      </c>
      <c r="S104" s="199">
        <v>12729</v>
      </c>
      <c r="T104" s="50"/>
      <c r="U104" s="50"/>
      <c r="V104" s="199">
        <v>2520</v>
      </c>
      <c r="W104" s="199">
        <v>350</v>
      </c>
      <c r="X104" s="50"/>
      <c r="Y104" s="50"/>
      <c r="Z104" s="199">
        <v>64656</v>
      </c>
      <c r="AA104" s="50"/>
      <c r="AB104" s="50"/>
      <c r="AC104" s="199">
        <v>900</v>
      </c>
      <c r="AD104" s="50"/>
      <c r="AE104" s="199"/>
      <c r="AF104" s="193">
        <f t="shared" si="8"/>
        <v>1255803</v>
      </c>
    </row>
    <row r="105" spans="1:32" s="49" customFormat="1" ht="18" customHeight="1">
      <c r="A105" s="231" t="s">
        <v>5</v>
      </c>
      <c r="B105" s="167">
        <v>293724</v>
      </c>
      <c r="C105" s="167">
        <v>21282</v>
      </c>
      <c r="D105" s="54"/>
      <c r="E105" s="171">
        <v>54413</v>
      </c>
      <c r="F105" s="171">
        <v>7718</v>
      </c>
      <c r="G105" s="171">
        <v>266</v>
      </c>
      <c r="H105" s="54"/>
      <c r="I105" s="54"/>
      <c r="J105" s="54"/>
      <c r="K105" s="54"/>
      <c r="L105" s="54"/>
      <c r="M105" s="199"/>
      <c r="N105" s="199">
        <v>2500</v>
      </c>
      <c r="O105" s="50"/>
      <c r="P105" s="199">
        <v>540</v>
      </c>
      <c r="Q105" s="200">
        <v>12121</v>
      </c>
      <c r="R105" s="199">
        <v>560</v>
      </c>
      <c r="S105" s="199">
        <v>4591</v>
      </c>
      <c r="T105" s="50"/>
      <c r="U105" s="50"/>
      <c r="V105" s="199">
        <v>1680</v>
      </c>
      <c r="W105" s="199">
        <v>350</v>
      </c>
      <c r="X105" s="50"/>
      <c r="Y105" s="50"/>
      <c r="Z105" s="199">
        <v>20901</v>
      </c>
      <c r="AA105" s="50"/>
      <c r="AB105" s="50"/>
      <c r="AC105" s="199">
        <v>200</v>
      </c>
      <c r="AD105" s="50"/>
      <c r="AE105" s="199"/>
      <c r="AF105" s="193">
        <f t="shared" si="8"/>
        <v>420846</v>
      </c>
    </row>
    <row r="106" spans="1:32" s="49" customFormat="1" ht="18" customHeight="1">
      <c r="A106" s="231" t="s">
        <v>6</v>
      </c>
      <c r="B106" s="167">
        <v>648984</v>
      </c>
      <c r="C106" s="167">
        <v>49788</v>
      </c>
      <c r="D106" s="54"/>
      <c r="E106" s="171">
        <v>120703</v>
      </c>
      <c r="F106" s="171">
        <v>17120</v>
      </c>
      <c r="G106" s="171">
        <v>531</v>
      </c>
      <c r="H106" s="54"/>
      <c r="I106" s="54"/>
      <c r="J106" s="54"/>
      <c r="K106" s="54"/>
      <c r="L106" s="54"/>
      <c r="M106" s="199"/>
      <c r="N106" s="199">
        <v>7500</v>
      </c>
      <c r="O106" s="50"/>
      <c r="P106" s="199">
        <v>1620</v>
      </c>
      <c r="Q106" s="200">
        <v>39492</v>
      </c>
      <c r="R106" s="199">
        <v>980</v>
      </c>
      <c r="S106" s="199">
        <v>8452</v>
      </c>
      <c r="T106" s="50"/>
      <c r="U106" s="50"/>
      <c r="V106" s="199">
        <v>2160</v>
      </c>
      <c r="W106" s="199">
        <v>350</v>
      </c>
      <c r="X106" s="50"/>
      <c r="Y106" s="50"/>
      <c r="Z106" s="199">
        <v>46859</v>
      </c>
      <c r="AA106" s="50"/>
      <c r="AB106" s="50"/>
      <c r="AC106" s="199">
        <v>600</v>
      </c>
      <c r="AD106" s="50"/>
      <c r="AE106" s="199">
        <v>6000</v>
      </c>
      <c r="AF106" s="193">
        <f t="shared" si="8"/>
        <v>951139</v>
      </c>
    </row>
    <row r="107" spans="1:32" s="49" customFormat="1" ht="18" customHeight="1">
      <c r="A107" s="231" t="s">
        <v>7</v>
      </c>
      <c r="B107" s="167">
        <v>723666</v>
      </c>
      <c r="C107" s="167">
        <v>54959</v>
      </c>
      <c r="D107" s="54"/>
      <c r="E107" s="171">
        <v>134497</v>
      </c>
      <c r="F107" s="171">
        <v>19076</v>
      </c>
      <c r="G107" s="171">
        <v>592</v>
      </c>
      <c r="H107" s="54"/>
      <c r="I107" s="54"/>
      <c r="J107" s="54"/>
      <c r="K107" s="54"/>
      <c r="L107" s="54"/>
      <c r="M107" s="199"/>
      <c r="N107" s="199">
        <v>8750</v>
      </c>
      <c r="O107" s="50"/>
      <c r="P107" s="199">
        <v>1890</v>
      </c>
      <c r="Q107" s="200">
        <v>36280</v>
      </c>
      <c r="R107" s="199">
        <v>1330</v>
      </c>
      <c r="S107" s="199">
        <v>31123</v>
      </c>
      <c r="T107" s="50"/>
      <c r="U107" s="50"/>
      <c r="V107" s="199">
        <v>2280</v>
      </c>
      <c r="W107" s="199">
        <v>350</v>
      </c>
      <c r="X107" s="50"/>
      <c r="Y107" s="50"/>
      <c r="Z107" s="199">
        <v>59807</v>
      </c>
      <c r="AA107" s="50"/>
      <c r="AB107" s="50"/>
      <c r="AC107" s="199">
        <v>700</v>
      </c>
      <c r="AD107" s="50"/>
      <c r="AE107" s="199"/>
      <c r="AF107" s="193">
        <f t="shared" si="8"/>
        <v>1075300</v>
      </c>
    </row>
    <row r="108" spans="1:35" s="56" customFormat="1" ht="18" customHeight="1">
      <c r="A108" s="231" t="s">
        <v>8</v>
      </c>
      <c r="B108" s="167">
        <v>457087</v>
      </c>
      <c r="C108" s="167">
        <v>36892</v>
      </c>
      <c r="D108" s="50"/>
      <c r="E108" s="171">
        <v>85328</v>
      </c>
      <c r="F108" s="171">
        <v>12102</v>
      </c>
      <c r="G108" s="171">
        <v>369</v>
      </c>
      <c r="H108" s="50"/>
      <c r="I108" s="50"/>
      <c r="J108" s="50"/>
      <c r="K108" s="50"/>
      <c r="L108" s="50"/>
      <c r="M108" s="199"/>
      <c r="N108" s="199">
        <v>6250</v>
      </c>
      <c r="O108" s="50"/>
      <c r="P108" s="199">
        <v>1350</v>
      </c>
      <c r="Q108" s="200">
        <v>28567</v>
      </c>
      <c r="R108" s="199">
        <v>875</v>
      </c>
      <c r="S108" s="199">
        <v>7298</v>
      </c>
      <c r="T108" s="50"/>
      <c r="U108" s="50"/>
      <c r="V108" s="199">
        <v>1800</v>
      </c>
      <c r="W108" s="199">
        <v>350</v>
      </c>
      <c r="X108" s="50"/>
      <c r="Y108" s="50"/>
      <c r="Z108" s="199">
        <v>35577</v>
      </c>
      <c r="AA108" s="50"/>
      <c r="AB108" s="50"/>
      <c r="AC108" s="199">
        <v>500</v>
      </c>
      <c r="AD108" s="50"/>
      <c r="AE108" s="199"/>
      <c r="AF108" s="193">
        <f t="shared" si="8"/>
        <v>674345</v>
      </c>
      <c r="AI108" s="57"/>
    </row>
    <row r="109" spans="1:35" s="56" customFormat="1" ht="18" customHeight="1">
      <c r="A109" s="231" t="s">
        <v>9</v>
      </c>
      <c r="B109" s="167">
        <v>351413</v>
      </c>
      <c r="C109" s="167">
        <v>27028</v>
      </c>
      <c r="D109" s="58"/>
      <c r="E109" s="171">
        <v>65371</v>
      </c>
      <c r="F109" s="171">
        <v>9272</v>
      </c>
      <c r="G109" s="171">
        <v>301</v>
      </c>
      <c r="H109" s="58"/>
      <c r="I109" s="58"/>
      <c r="J109" s="58"/>
      <c r="K109" s="58"/>
      <c r="L109" s="58"/>
      <c r="M109" s="199"/>
      <c r="N109" s="199">
        <v>3750</v>
      </c>
      <c r="O109" s="201"/>
      <c r="P109" s="199">
        <v>810</v>
      </c>
      <c r="Q109" s="200">
        <v>15523</v>
      </c>
      <c r="R109" s="199">
        <v>630</v>
      </c>
      <c r="S109" s="199">
        <v>10759</v>
      </c>
      <c r="T109" s="201"/>
      <c r="U109" s="201"/>
      <c r="V109" s="199">
        <v>1800</v>
      </c>
      <c r="W109" s="199">
        <v>350</v>
      </c>
      <c r="X109" s="201"/>
      <c r="Y109" s="201"/>
      <c r="Z109" s="199">
        <v>27112</v>
      </c>
      <c r="AA109" s="201"/>
      <c r="AB109" s="201"/>
      <c r="AC109" s="199">
        <v>300</v>
      </c>
      <c r="AD109" s="201"/>
      <c r="AE109" s="199"/>
      <c r="AF109" s="193">
        <f t="shared" si="8"/>
        <v>514419</v>
      </c>
      <c r="AI109" s="57"/>
    </row>
    <row r="110" spans="1:35" s="56" customFormat="1" ht="18" customHeight="1">
      <c r="A110" s="231" t="s">
        <v>10</v>
      </c>
      <c r="B110" s="167">
        <v>457043</v>
      </c>
      <c r="C110" s="167">
        <v>37561</v>
      </c>
      <c r="D110" s="50"/>
      <c r="E110" s="171">
        <v>85436</v>
      </c>
      <c r="F110" s="171">
        <v>12118</v>
      </c>
      <c r="G110" s="171">
        <v>377</v>
      </c>
      <c r="H110" s="50"/>
      <c r="I110" s="50"/>
      <c r="J110" s="50"/>
      <c r="K110" s="50"/>
      <c r="L110" s="50"/>
      <c r="M110" s="199"/>
      <c r="N110" s="199">
        <v>6250</v>
      </c>
      <c r="O110" s="50"/>
      <c r="P110" s="199">
        <v>1350</v>
      </c>
      <c r="Q110" s="200">
        <v>38415</v>
      </c>
      <c r="R110" s="199">
        <v>840</v>
      </c>
      <c r="S110" s="199">
        <v>5843</v>
      </c>
      <c r="T110" s="50"/>
      <c r="U110" s="50"/>
      <c r="V110" s="199">
        <v>2040</v>
      </c>
      <c r="W110" s="199">
        <v>350</v>
      </c>
      <c r="X110" s="50"/>
      <c r="Y110" s="50"/>
      <c r="Z110" s="199">
        <v>29803</v>
      </c>
      <c r="AA110" s="50"/>
      <c r="AB110" s="50"/>
      <c r="AC110" s="199">
        <v>500</v>
      </c>
      <c r="AD110" s="50"/>
      <c r="AE110" s="199">
        <v>8000</v>
      </c>
      <c r="AF110" s="193">
        <f t="shared" si="8"/>
        <v>685926</v>
      </c>
      <c r="AI110" s="57"/>
    </row>
    <row r="111" spans="1:35" s="56" customFormat="1" ht="18" customHeight="1">
      <c r="A111" s="231" t="s">
        <v>11</v>
      </c>
      <c r="B111" s="167">
        <v>342369</v>
      </c>
      <c r="C111" s="167">
        <v>25408</v>
      </c>
      <c r="D111" s="50"/>
      <c r="E111" s="171">
        <v>63528</v>
      </c>
      <c r="F111" s="171">
        <v>9011</v>
      </c>
      <c r="G111" s="171">
        <v>273</v>
      </c>
      <c r="H111" s="50"/>
      <c r="I111" s="50"/>
      <c r="J111" s="50"/>
      <c r="K111" s="50"/>
      <c r="L111" s="50"/>
      <c r="M111" s="199"/>
      <c r="N111" s="199">
        <v>3750</v>
      </c>
      <c r="O111" s="50"/>
      <c r="P111" s="199">
        <v>810</v>
      </c>
      <c r="Q111" s="200">
        <v>35524</v>
      </c>
      <c r="R111" s="199">
        <v>630</v>
      </c>
      <c r="S111" s="199">
        <v>5427</v>
      </c>
      <c r="T111" s="50"/>
      <c r="U111" s="50"/>
      <c r="V111" s="199">
        <v>1800</v>
      </c>
      <c r="W111" s="199">
        <v>350</v>
      </c>
      <c r="X111" s="50"/>
      <c r="Y111" s="50"/>
      <c r="Z111" s="199">
        <v>21801</v>
      </c>
      <c r="AA111" s="50"/>
      <c r="AB111" s="50"/>
      <c r="AC111" s="199">
        <v>300</v>
      </c>
      <c r="AD111" s="50"/>
      <c r="AE111" s="199"/>
      <c r="AF111" s="193">
        <f t="shared" si="8"/>
        <v>510981</v>
      </c>
      <c r="AI111" s="57"/>
    </row>
    <row r="112" spans="1:35" s="56" customFormat="1" ht="18" customHeight="1">
      <c r="A112" s="231" t="s">
        <v>12</v>
      </c>
      <c r="B112" s="167">
        <v>253741</v>
      </c>
      <c r="C112" s="167">
        <v>20217</v>
      </c>
      <c r="D112" s="50"/>
      <c r="E112" s="171">
        <v>47323</v>
      </c>
      <c r="F112" s="171">
        <v>6712</v>
      </c>
      <c r="G112" s="171">
        <v>316</v>
      </c>
      <c r="H112" s="50"/>
      <c r="I112" s="50"/>
      <c r="J112" s="50"/>
      <c r="K112" s="50"/>
      <c r="L112" s="50"/>
      <c r="M112" s="199"/>
      <c r="N112" s="199">
        <v>2500</v>
      </c>
      <c r="O112" s="50"/>
      <c r="P112" s="199">
        <v>540</v>
      </c>
      <c r="Q112" s="200">
        <v>10299</v>
      </c>
      <c r="R112" s="199">
        <v>490</v>
      </c>
      <c r="S112" s="199">
        <v>5479</v>
      </c>
      <c r="T112" s="50"/>
      <c r="U112" s="50"/>
      <c r="V112" s="199">
        <v>1440</v>
      </c>
      <c r="W112" s="199">
        <v>350</v>
      </c>
      <c r="X112" s="50"/>
      <c r="Y112" s="50"/>
      <c r="Z112" s="199">
        <v>16586</v>
      </c>
      <c r="AA112" s="50"/>
      <c r="AB112" s="50"/>
      <c r="AC112" s="199">
        <v>200</v>
      </c>
      <c r="AD112" s="50"/>
      <c r="AE112" s="199"/>
      <c r="AF112" s="193">
        <f t="shared" si="8"/>
        <v>366193</v>
      </c>
      <c r="AI112" s="57"/>
    </row>
    <row r="113" spans="1:35" s="56" customFormat="1" ht="18" customHeight="1">
      <c r="A113" s="231" t="s">
        <v>13</v>
      </c>
      <c r="B113" s="167">
        <v>271318</v>
      </c>
      <c r="C113" s="167">
        <v>21272</v>
      </c>
      <c r="D113" s="50"/>
      <c r="E113" s="171">
        <v>50541</v>
      </c>
      <c r="F113" s="171">
        <v>7168</v>
      </c>
      <c r="G113" s="171">
        <v>301</v>
      </c>
      <c r="H113" s="50"/>
      <c r="I113" s="50"/>
      <c r="J113" s="50"/>
      <c r="K113" s="50"/>
      <c r="L113" s="50"/>
      <c r="M113" s="199"/>
      <c r="N113" s="199">
        <v>3750</v>
      </c>
      <c r="O113" s="50"/>
      <c r="P113" s="199">
        <v>810</v>
      </c>
      <c r="Q113" s="200">
        <v>17571</v>
      </c>
      <c r="R113" s="199">
        <v>455</v>
      </c>
      <c r="S113" s="199">
        <v>3788</v>
      </c>
      <c r="T113" s="50"/>
      <c r="U113" s="50"/>
      <c r="V113" s="199">
        <v>1800</v>
      </c>
      <c r="W113" s="199">
        <v>350</v>
      </c>
      <c r="X113" s="50"/>
      <c r="Y113" s="50"/>
      <c r="Z113" s="199">
        <v>20800</v>
      </c>
      <c r="AA113" s="50"/>
      <c r="AB113" s="50"/>
      <c r="AC113" s="199">
        <v>300</v>
      </c>
      <c r="AD113" s="50"/>
      <c r="AE113" s="199"/>
      <c r="AF113" s="193">
        <f t="shared" si="8"/>
        <v>400224</v>
      </c>
      <c r="AI113" s="57"/>
    </row>
    <row r="114" spans="1:35" s="56" customFormat="1" ht="18" customHeight="1">
      <c r="A114" s="231" t="s">
        <v>14</v>
      </c>
      <c r="B114" s="167">
        <v>425770</v>
      </c>
      <c r="C114" s="167">
        <v>36015</v>
      </c>
      <c r="D114" s="50"/>
      <c r="E114" s="171">
        <v>79767</v>
      </c>
      <c r="F114" s="171">
        <v>11314</v>
      </c>
      <c r="G114" s="171">
        <v>373</v>
      </c>
      <c r="H114" s="50"/>
      <c r="I114" s="50"/>
      <c r="J114" s="50"/>
      <c r="K114" s="50"/>
      <c r="L114" s="50"/>
      <c r="M114" s="199"/>
      <c r="N114" s="199">
        <v>6250</v>
      </c>
      <c r="O114" s="50"/>
      <c r="P114" s="199">
        <v>1350</v>
      </c>
      <c r="Q114" s="200">
        <v>42119</v>
      </c>
      <c r="R114" s="199">
        <v>770</v>
      </c>
      <c r="S114" s="199">
        <v>7561</v>
      </c>
      <c r="T114" s="50"/>
      <c r="U114" s="50"/>
      <c r="V114" s="199">
        <v>2040</v>
      </c>
      <c r="W114" s="199">
        <v>350</v>
      </c>
      <c r="X114" s="50"/>
      <c r="Y114" s="50"/>
      <c r="Z114" s="199">
        <v>35937</v>
      </c>
      <c r="AA114" s="50"/>
      <c r="AB114" s="50"/>
      <c r="AC114" s="199">
        <v>500</v>
      </c>
      <c r="AD114" s="50"/>
      <c r="AE114" s="199"/>
      <c r="AF114" s="193">
        <f t="shared" si="8"/>
        <v>650116</v>
      </c>
      <c r="AI114" s="57"/>
    </row>
    <row r="115" spans="1:35" s="56" customFormat="1" ht="18" customHeight="1">
      <c r="A115" s="231" t="s">
        <v>15</v>
      </c>
      <c r="B115" s="167">
        <v>357747</v>
      </c>
      <c r="C115" s="167">
        <v>30181</v>
      </c>
      <c r="D115" s="50"/>
      <c r="E115" s="171">
        <v>67009</v>
      </c>
      <c r="F115" s="171">
        <v>9504</v>
      </c>
      <c r="G115" s="171">
        <v>278</v>
      </c>
      <c r="H115" s="50"/>
      <c r="I115" s="50"/>
      <c r="J115" s="50"/>
      <c r="K115" s="50"/>
      <c r="L115" s="50"/>
      <c r="M115" s="199"/>
      <c r="N115" s="199">
        <v>5000</v>
      </c>
      <c r="O115" s="50"/>
      <c r="P115" s="199">
        <v>1080</v>
      </c>
      <c r="Q115" s="200">
        <v>27574</v>
      </c>
      <c r="R115" s="199">
        <v>770</v>
      </c>
      <c r="S115" s="199">
        <v>5310</v>
      </c>
      <c r="T115" s="50"/>
      <c r="U115" s="50"/>
      <c r="V115" s="199">
        <v>1920</v>
      </c>
      <c r="W115" s="199">
        <v>350</v>
      </c>
      <c r="X115" s="50"/>
      <c r="Y115" s="50"/>
      <c r="Z115" s="199">
        <v>32492</v>
      </c>
      <c r="AA115" s="50"/>
      <c r="AB115" s="50"/>
      <c r="AC115" s="199">
        <v>400</v>
      </c>
      <c r="AD115" s="50"/>
      <c r="AE115" s="199"/>
      <c r="AF115" s="193">
        <f t="shared" si="8"/>
        <v>539615</v>
      </c>
      <c r="AI115" s="57"/>
    </row>
    <row r="116" spans="1:35" s="56" customFormat="1" ht="18" customHeight="1">
      <c r="A116" s="231" t="s">
        <v>16</v>
      </c>
      <c r="B116" s="167">
        <v>419127</v>
      </c>
      <c r="C116" s="167">
        <v>33988</v>
      </c>
      <c r="D116" s="50"/>
      <c r="E116" s="171">
        <v>78269</v>
      </c>
      <c r="F116" s="171">
        <v>11101</v>
      </c>
      <c r="G116" s="171">
        <v>355</v>
      </c>
      <c r="H116" s="50"/>
      <c r="I116" s="50"/>
      <c r="J116" s="50"/>
      <c r="K116" s="50"/>
      <c r="L116" s="50"/>
      <c r="M116" s="199"/>
      <c r="N116" s="199">
        <v>5000</v>
      </c>
      <c r="O116" s="50"/>
      <c r="P116" s="199">
        <v>1080</v>
      </c>
      <c r="Q116" s="200">
        <v>18896</v>
      </c>
      <c r="R116" s="199">
        <v>770</v>
      </c>
      <c r="S116" s="199">
        <v>19764</v>
      </c>
      <c r="T116" s="50"/>
      <c r="U116" s="50"/>
      <c r="V116" s="199">
        <v>1920</v>
      </c>
      <c r="W116" s="199">
        <v>350</v>
      </c>
      <c r="X116" s="50"/>
      <c r="Y116" s="50"/>
      <c r="Z116" s="199">
        <v>39443</v>
      </c>
      <c r="AA116" s="50"/>
      <c r="AB116" s="50"/>
      <c r="AC116" s="199">
        <v>400</v>
      </c>
      <c r="AD116" s="50"/>
      <c r="AE116" s="199"/>
      <c r="AF116" s="193">
        <f t="shared" si="8"/>
        <v>630463</v>
      </c>
      <c r="AI116" s="57"/>
    </row>
    <row r="117" spans="1:35" s="56" customFormat="1" ht="18" customHeight="1">
      <c r="A117" s="231" t="s">
        <v>17</v>
      </c>
      <c r="B117" s="167">
        <v>320587</v>
      </c>
      <c r="C117" s="167">
        <v>25789</v>
      </c>
      <c r="D117" s="50"/>
      <c r="E117" s="171">
        <v>59832</v>
      </c>
      <c r="F117" s="171">
        <v>8486</v>
      </c>
      <c r="G117" s="171">
        <v>270</v>
      </c>
      <c r="H117" s="50"/>
      <c r="I117" s="50"/>
      <c r="J117" s="50"/>
      <c r="K117" s="50"/>
      <c r="L117" s="50"/>
      <c r="M117" s="199"/>
      <c r="N117" s="199">
        <v>3750</v>
      </c>
      <c r="O117" s="50"/>
      <c r="P117" s="199">
        <v>810</v>
      </c>
      <c r="Q117" s="200">
        <v>17808</v>
      </c>
      <c r="R117" s="199">
        <v>560</v>
      </c>
      <c r="S117" s="199">
        <v>7171</v>
      </c>
      <c r="T117" s="50"/>
      <c r="U117" s="50"/>
      <c r="V117" s="199">
        <v>1800</v>
      </c>
      <c r="W117" s="199">
        <v>350</v>
      </c>
      <c r="X117" s="50"/>
      <c r="Y117" s="50"/>
      <c r="Z117" s="199">
        <v>22236</v>
      </c>
      <c r="AA117" s="50"/>
      <c r="AB117" s="50"/>
      <c r="AC117" s="199">
        <v>300</v>
      </c>
      <c r="AD117" s="50"/>
      <c r="AE117" s="199"/>
      <c r="AF117" s="193">
        <f t="shared" si="8"/>
        <v>469749</v>
      </c>
      <c r="AI117" s="57"/>
    </row>
    <row r="118" spans="1:35" s="56" customFormat="1" ht="18" customHeight="1">
      <c r="A118" s="231" t="s">
        <v>18</v>
      </c>
      <c r="B118" s="167">
        <v>374047</v>
      </c>
      <c r="C118" s="167">
        <v>28922</v>
      </c>
      <c r="D118" s="50"/>
      <c r="E118" s="171">
        <v>69607</v>
      </c>
      <c r="F118" s="171">
        <v>9873</v>
      </c>
      <c r="G118" s="171">
        <v>338</v>
      </c>
      <c r="H118" s="50"/>
      <c r="I118" s="50"/>
      <c r="J118" s="50"/>
      <c r="K118" s="50"/>
      <c r="L118" s="50"/>
      <c r="M118" s="199"/>
      <c r="N118" s="199">
        <v>6500</v>
      </c>
      <c r="O118" s="50"/>
      <c r="P118" s="199">
        <v>1080</v>
      </c>
      <c r="Q118" s="200">
        <v>31925</v>
      </c>
      <c r="R118" s="199">
        <v>700</v>
      </c>
      <c r="S118" s="199">
        <v>175580</v>
      </c>
      <c r="T118" s="50"/>
      <c r="U118" s="50"/>
      <c r="V118" s="199">
        <v>2490</v>
      </c>
      <c r="W118" s="199">
        <v>350</v>
      </c>
      <c r="X118" s="50"/>
      <c r="Y118" s="50"/>
      <c r="Z118" s="199">
        <v>33380</v>
      </c>
      <c r="AA118" s="50"/>
      <c r="AB118" s="50"/>
      <c r="AC118" s="199">
        <v>400</v>
      </c>
      <c r="AD118" s="50"/>
      <c r="AE118" s="199"/>
      <c r="AF118" s="193">
        <f t="shared" si="8"/>
        <v>735192</v>
      </c>
      <c r="AI118" s="57"/>
    </row>
    <row r="119" spans="1:32" s="49" customFormat="1" ht="18" customHeight="1">
      <c r="A119" s="231" t="s">
        <v>19</v>
      </c>
      <c r="B119" s="167">
        <v>392005</v>
      </c>
      <c r="C119" s="167">
        <v>26433</v>
      </c>
      <c r="D119" s="54"/>
      <c r="E119" s="171">
        <v>72279</v>
      </c>
      <c r="F119" s="171">
        <v>10252</v>
      </c>
      <c r="G119" s="171">
        <v>333</v>
      </c>
      <c r="H119" s="54"/>
      <c r="I119" s="54"/>
      <c r="J119" s="54"/>
      <c r="K119" s="54"/>
      <c r="L119" s="54"/>
      <c r="M119" s="199"/>
      <c r="N119" s="199">
        <v>5000</v>
      </c>
      <c r="O119" s="50"/>
      <c r="P119" s="199">
        <v>1080</v>
      </c>
      <c r="Q119" s="200">
        <v>28826</v>
      </c>
      <c r="R119" s="199">
        <v>770</v>
      </c>
      <c r="S119" s="199">
        <v>49902</v>
      </c>
      <c r="T119" s="50"/>
      <c r="U119" s="50"/>
      <c r="V119" s="199">
        <v>1920</v>
      </c>
      <c r="W119" s="199">
        <v>350</v>
      </c>
      <c r="X119" s="50"/>
      <c r="Y119" s="50"/>
      <c r="Z119" s="199">
        <v>33527</v>
      </c>
      <c r="AA119" s="50"/>
      <c r="AB119" s="50"/>
      <c r="AC119" s="199">
        <v>400</v>
      </c>
      <c r="AD119" s="50"/>
      <c r="AE119" s="199"/>
      <c r="AF119" s="193">
        <f t="shared" si="8"/>
        <v>623077</v>
      </c>
    </row>
    <row r="120" spans="1:32" s="49" customFormat="1" ht="18" customHeight="1">
      <c r="A120" s="231" t="s">
        <v>20</v>
      </c>
      <c r="B120" s="167">
        <v>518577</v>
      </c>
      <c r="C120" s="167">
        <v>41410</v>
      </c>
      <c r="D120" s="54"/>
      <c r="E120" s="171">
        <v>96730</v>
      </c>
      <c r="F120" s="171">
        <v>13720</v>
      </c>
      <c r="G120" s="171">
        <v>395</v>
      </c>
      <c r="H120" s="54"/>
      <c r="I120" s="54"/>
      <c r="J120" s="54"/>
      <c r="K120" s="54"/>
      <c r="L120" s="54"/>
      <c r="M120" s="199"/>
      <c r="N120" s="199">
        <v>6250</v>
      </c>
      <c r="O120" s="50"/>
      <c r="P120" s="199">
        <v>1350</v>
      </c>
      <c r="Q120" s="200">
        <v>54107</v>
      </c>
      <c r="R120" s="199">
        <v>910</v>
      </c>
      <c r="S120" s="199">
        <v>9344</v>
      </c>
      <c r="T120" s="50"/>
      <c r="U120" s="50"/>
      <c r="V120" s="199">
        <v>2040</v>
      </c>
      <c r="W120" s="199">
        <v>350</v>
      </c>
      <c r="X120" s="50"/>
      <c r="Y120" s="50"/>
      <c r="Z120" s="199">
        <v>35420</v>
      </c>
      <c r="AA120" s="50"/>
      <c r="AB120" s="50"/>
      <c r="AC120" s="199">
        <v>500</v>
      </c>
      <c r="AD120" s="50"/>
      <c r="AE120" s="199">
        <v>6000</v>
      </c>
      <c r="AF120" s="193">
        <f t="shared" si="8"/>
        <v>787103</v>
      </c>
    </row>
    <row r="121" spans="1:32" s="49" customFormat="1" ht="18" customHeight="1">
      <c r="A121" s="231" t="s">
        <v>21</v>
      </c>
      <c r="B121" s="167">
        <v>546028</v>
      </c>
      <c r="C121" s="167">
        <v>42880</v>
      </c>
      <c r="D121" s="54"/>
      <c r="E121" s="171">
        <v>101726</v>
      </c>
      <c r="F121" s="171">
        <v>14428</v>
      </c>
      <c r="G121" s="171">
        <v>454</v>
      </c>
      <c r="H121" s="54"/>
      <c r="I121" s="54"/>
      <c r="J121" s="54"/>
      <c r="K121" s="54"/>
      <c r="L121" s="54"/>
      <c r="M121" s="199"/>
      <c r="N121" s="199">
        <v>7500</v>
      </c>
      <c r="O121" s="50"/>
      <c r="P121" s="199">
        <v>1620</v>
      </c>
      <c r="Q121" s="200">
        <v>62962</v>
      </c>
      <c r="R121" s="199">
        <v>910</v>
      </c>
      <c r="S121" s="199">
        <v>196512</v>
      </c>
      <c r="T121" s="50"/>
      <c r="U121" s="50"/>
      <c r="V121" s="199">
        <v>1920</v>
      </c>
      <c r="W121" s="199">
        <v>350</v>
      </c>
      <c r="X121" s="50"/>
      <c r="Y121" s="50"/>
      <c r="Z121" s="199">
        <v>40953</v>
      </c>
      <c r="AA121" s="50"/>
      <c r="AB121" s="50"/>
      <c r="AC121" s="199">
        <v>600</v>
      </c>
      <c r="AD121" s="50"/>
      <c r="AE121" s="199"/>
      <c r="AF121" s="193">
        <f t="shared" si="8"/>
        <v>1018843</v>
      </c>
    </row>
    <row r="122" spans="1:35" s="56" customFormat="1" ht="18" customHeight="1">
      <c r="A122" s="231" t="s">
        <v>22</v>
      </c>
      <c r="B122" s="167">
        <v>454767</v>
      </c>
      <c r="C122" s="167">
        <v>38239</v>
      </c>
      <c r="D122" s="50"/>
      <c r="E122" s="171">
        <v>85160</v>
      </c>
      <c r="F122" s="171">
        <v>12079</v>
      </c>
      <c r="G122" s="171">
        <v>366</v>
      </c>
      <c r="H122" s="50"/>
      <c r="I122" s="50"/>
      <c r="J122" s="50"/>
      <c r="K122" s="50"/>
      <c r="L122" s="50"/>
      <c r="M122" s="199"/>
      <c r="N122" s="199">
        <v>6250</v>
      </c>
      <c r="O122" s="50"/>
      <c r="P122" s="199">
        <v>1350</v>
      </c>
      <c r="Q122" s="200">
        <v>31914</v>
      </c>
      <c r="R122" s="199">
        <v>875</v>
      </c>
      <c r="S122" s="199">
        <v>5193</v>
      </c>
      <c r="T122" s="50"/>
      <c r="U122" s="50"/>
      <c r="V122" s="199">
        <v>2040</v>
      </c>
      <c r="W122" s="199">
        <v>350</v>
      </c>
      <c r="X122" s="50"/>
      <c r="Y122" s="50"/>
      <c r="Z122" s="199">
        <v>34812</v>
      </c>
      <c r="AA122" s="50"/>
      <c r="AB122" s="50"/>
      <c r="AC122" s="199">
        <v>500</v>
      </c>
      <c r="AD122" s="50"/>
      <c r="AE122" s="199"/>
      <c r="AF122" s="193">
        <f t="shared" si="8"/>
        <v>673895</v>
      </c>
      <c r="AI122" s="57"/>
    </row>
    <row r="123" spans="1:32" s="49" customFormat="1" ht="18" customHeight="1">
      <c r="A123" s="231" t="s">
        <v>23</v>
      </c>
      <c r="B123" s="167">
        <v>512927</v>
      </c>
      <c r="C123" s="167">
        <v>42402</v>
      </c>
      <c r="D123" s="54"/>
      <c r="E123" s="171">
        <v>95926</v>
      </c>
      <c r="F123" s="171">
        <v>13606</v>
      </c>
      <c r="G123" s="171">
        <v>418</v>
      </c>
      <c r="H123" s="54"/>
      <c r="I123" s="54"/>
      <c r="J123" s="54"/>
      <c r="K123" s="54"/>
      <c r="L123" s="54"/>
      <c r="M123" s="199"/>
      <c r="N123" s="199">
        <v>7500</v>
      </c>
      <c r="O123" s="50"/>
      <c r="P123" s="199">
        <v>1620</v>
      </c>
      <c r="Q123" s="200">
        <v>39588</v>
      </c>
      <c r="R123" s="199">
        <v>875</v>
      </c>
      <c r="S123" s="199">
        <v>12514</v>
      </c>
      <c r="T123" s="50"/>
      <c r="U123" s="50"/>
      <c r="V123" s="199">
        <v>2160</v>
      </c>
      <c r="W123" s="199">
        <v>350</v>
      </c>
      <c r="X123" s="50"/>
      <c r="Y123" s="50"/>
      <c r="Z123" s="199">
        <v>40318</v>
      </c>
      <c r="AA123" s="50"/>
      <c r="AB123" s="50"/>
      <c r="AC123" s="199">
        <v>600</v>
      </c>
      <c r="AD123" s="50"/>
      <c r="AE123" s="199"/>
      <c r="AF123" s="193">
        <f t="shared" si="8"/>
        <v>770804</v>
      </c>
    </row>
    <row r="124" spans="1:32" s="49" customFormat="1" ht="18" customHeight="1">
      <c r="A124" s="231" t="s">
        <v>24</v>
      </c>
      <c r="B124" s="167">
        <v>569061</v>
      </c>
      <c r="C124" s="167">
        <v>46186</v>
      </c>
      <c r="D124" s="54"/>
      <c r="E124" s="171">
        <v>106276</v>
      </c>
      <c r="F124" s="171">
        <v>15074</v>
      </c>
      <c r="G124" s="171">
        <v>442</v>
      </c>
      <c r="H124" s="54"/>
      <c r="I124" s="54"/>
      <c r="J124" s="54"/>
      <c r="K124" s="54"/>
      <c r="L124" s="54"/>
      <c r="M124" s="199">
        <v>6800</v>
      </c>
      <c r="N124" s="199">
        <v>7500</v>
      </c>
      <c r="O124" s="50"/>
      <c r="P124" s="199">
        <v>1620</v>
      </c>
      <c r="Q124" s="200">
        <v>49119</v>
      </c>
      <c r="R124" s="199">
        <v>1015</v>
      </c>
      <c r="S124" s="199">
        <v>12722</v>
      </c>
      <c r="T124" s="50"/>
      <c r="U124" s="50"/>
      <c r="V124" s="199">
        <v>2160</v>
      </c>
      <c r="W124" s="199">
        <v>350</v>
      </c>
      <c r="X124" s="50"/>
      <c r="Y124" s="50"/>
      <c r="Z124" s="199">
        <v>49032</v>
      </c>
      <c r="AA124" s="50"/>
      <c r="AB124" s="50"/>
      <c r="AC124" s="199">
        <v>600</v>
      </c>
      <c r="AD124" s="50"/>
      <c r="AE124" s="199"/>
      <c r="AF124" s="193">
        <f t="shared" si="8"/>
        <v>867957</v>
      </c>
    </row>
    <row r="125" spans="1:32" s="49" customFormat="1" ht="18" customHeight="1">
      <c r="A125" s="231" t="s">
        <v>25</v>
      </c>
      <c r="B125" s="167">
        <v>512354</v>
      </c>
      <c r="C125" s="167">
        <v>40019</v>
      </c>
      <c r="D125" s="54"/>
      <c r="E125" s="171">
        <v>95415</v>
      </c>
      <c r="F125" s="171">
        <v>13533</v>
      </c>
      <c r="G125" s="171">
        <v>408</v>
      </c>
      <c r="H125" s="54"/>
      <c r="I125" s="54"/>
      <c r="J125" s="54"/>
      <c r="K125" s="54"/>
      <c r="L125" s="54"/>
      <c r="M125" s="199"/>
      <c r="N125" s="199">
        <v>6250</v>
      </c>
      <c r="O125" s="50"/>
      <c r="P125" s="199">
        <v>1350</v>
      </c>
      <c r="Q125" s="200">
        <v>30234</v>
      </c>
      <c r="R125" s="199">
        <v>945</v>
      </c>
      <c r="S125" s="199">
        <v>6372</v>
      </c>
      <c r="T125" s="50"/>
      <c r="U125" s="50"/>
      <c r="V125" s="199">
        <v>1800</v>
      </c>
      <c r="W125" s="199">
        <v>350</v>
      </c>
      <c r="X125" s="50"/>
      <c r="Y125" s="50"/>
      <c r="Z125" s="199">
        <v>43499</v>
      </c>
      <c r="AA125" s="50"/>
      <c r="AB125" s="50"/>
      <c r="AC125" s="199">
        <v>500</v>
      </c>
      <c r="AD125" s="50"/>
      <c r="AE125" s="199"/>
      <c r="AF125" s="193">
        <f t="shared" si="8"/>
        <v>753029</v>
      </c>
    </row>
    <row r="126" spans="1:32" s="49" customFormat="1" ht="18" customHeight="1">
      <c r="A126" s="231" t="s">
        <v>26</v>
      </c>
      <c r="B126" s="167">
        <v>521605</v>
      </c>
      <c r="C126" s="167">
        <v>42635</v>
      </c>
      <c r="D126" s="54"/>
      <c r="E126" s="171">
        <v>97465</v>
      </c>
      <c r="F126" s="171">
        <v>13824</v>
      </c>
      <c r="G126" s="171">
        <v>417</v>
      </c>
      <c r="H126" s="54"/>
      <c r="I126" s="54"/>
      <c r="J126" s="54"/>
      <c r="K126" s="54"/>
      <c r="L126" s="54"/>
      <c r="M126" s="199">
        <v>6050</v>
      </c>
      <c r="N126" s="199">
        <v>8500</v>
      </c>
      <c r="O126" s="50"/>
      <c r="P126" s="199">
        <v>1620</v>
      </c>
      <c r="Q126" s="200">
        <v>43940</v>
      </c>
      <c r="R126" s="199">
        <v>945</v>
      </c>
      <c r="S126" s="199">
        <v>8819</v>
      </c>
      <c r="T126" s="50"/>
      <c r="U126" s="50"/>
      <c r="V126" s="199">
        <v>2160</v>
      </c>
      <c r="W126" s="199">
        <v>350</v>
      </c>
      <c r="X126" s="50"/>
      <c r="Y126" s="50"/>
      <c r="Z126" s="199">
        <v>39370</v>
      </c>
      <c r="AA126" s="50"/>
      <c r="AB126" s="50"/>
      <c r="AC126" s="199">
        <v>600</v>
      </c>
      <c r="AD126" s="50"/>
      <c r="AE126" s="199"/>
      <c r="AF126" s="193">
        <f t="shared" si="8"/>
        <v>788300</v>
      </c>
    </row>
    <row r="127" spans="1:35" s="56" customFormat="1" ht="18" customHeight="1">
      <c r="A127" s="231" t="s">
        <v>27</v>
      </c>
      <c r="B127" s="167">
        <v>661879</v>
      </c>
      <c r="C127" s="167">
        <v>50549</v>
      </c>
      <c r="D127" s="50"/>
      <c r="E127" s="171">
        <v>123062</v>
      </c>
      <c r="F127" s="171">
        <v>17454</v>
      </c>
      <c r="G127" s="171">
        <v>537</v>
      </c>
      <c r="H127" s="50"/>
      <c r="I127" s="50"/>
      <c r="J127" s="50"/>
      <c r="K127" s="50"/>
      <c r="L127" s="50"/>
      <c r="M127" s="199">
        <v>2000</v>
      </c>
      <c r="N127" s="199">
        <v>8750</v>
      </c>
      <c r="O127" s="50"/>
      <c r="P127" s="199">
        <v>1890</v>
      </c>
      <c r="Q127" s="200">
        <v>48139</v>
      </c>
      <c r="R127" s="199">
        <v>1260</v>
      </c>
      <c r="S127" s="199">
        <v>8345</v>
      </c>
      <c r="T127" s="50"/>
      <c r="U127" s="50"/>
      <c r="V127" s="199">
        <v>2620</v>
      </c>
      <c r="W127" s="199">
        <v>350</v>
      </c>
      <c r="X127" s="50"/>
      <c r="Y127" s="50"/>
      <c r="Z127" s="199">
        <v>60793</v>
      </c>
      <c r="AA127" s="50"/>
      <c r="AB127" s="50"/>
      <c r="AC127" s="199">
        <v>700</v>
      </c>
      <c r="AD127" s="50"/>
      <c r="AE127" s="199"/>
      <c r="AF127" s="193">
        <f t="shared" si="8"/>
        <v>988328</v>
      </c>
      <c r="AI127" s="57"/>
    </row>
    <row r="128" spans="1:35" s="56" customFormat="1" ht="18" customHeight="1">
      <c r="A128" s="231" t="s">
        <v>28</v>
      </c>
      <c r="B128" s="167">
        <v>657827</v>
      </c>
      <c r="C128" s="167">
        <v>48056</v>
      </c>
      <c r="D128" s="58"/>
      <c r="E128" s="171">
        <v>121932</v>
      </c>
      <c r="F128" s="171">
        <v>17294</v>
      </c>
      <c r="G128" s="171">
        <v>569</v>
      </c>
      <c r="H128" s="58"/>
      <c r="I128" s="58"/>
      <c r="J128" s="58"/>
      <c r="K128" s="58"/>
      <c r="L128" s="58"/>
      <c r="M128" s="199"/>
      <c r="N128" s="199">
        <v>9250</v>
      </c>
      <c r="O128" s="201"/>
      <c r="P128" s="199">
        <v>1350</v>
      </c>
      <c r="Q128" s="200">
        <v>29730</v>
      </c>
      <c r="R128" s="199">
        <v>1190</v>
      </c>
      <c r="S128" s="199">
        <v>6480</v>
      </c>
      <c r="T128" s="201"/>
      <c r="U128" s="201"/>
      <c r="V128" s="199">
        <v>2040</v>
      </c>
      <c r="W128" s="199">
        <v>350</v>
      </c>
      <c r="X128" s="201"/>
      <c r="Y128" s="201"/>
      <c r="Z128" s="199">
        <v>56515</v>
      </c>
      <c r="AA128" s="201"/>
      <c r="AB128" s="201"/>
      <c r="AC128" s="199">
        <v>500</v>
      </c>
      <c r="AD128" s="201"/>
      <c r="AE128" s="199"/>
      <c r="AF128" s="193">
        <f t="shared" si="8"/>
        <v>953083</v>
      </c>
      <c r="AI128" s="57"/>
    </row>
    <row r="129" spans="1:35" s="56" customFormat="1" ht="18" customHeight="1">
      <c r="A129" s="231" t="s">
        <v>29</v>
      </c>
      <c r="B129" s="167">
        <v>365328</v>
      </c>
      <c r="C129" s="167">
        <v>30157</v>
      </c>
      <c r="D129" s="50"/>
      <c r="E129" s="171">
        <v>68315</v>
      </c>
      <c r="F129" s="171">
        <v>9689</v>
      </c>
      <c r="G129" s="171">
        <v>304</v>
      </c>
      <c r="H129" s="50"/>
      <c r="I129" s="50"/>
      <c r="J129" s="50"/>
      <c r="K129" s="50"/>
      <c r="L129" s="50"/>
      <c r="M129" s="199"/>
      <c r="N129" s="199">
        <v>5000</v>
      </c>
      <c r="O129" s="50"/>
      <c r="P129" s="199">
        <v>1080</v>
      </c>
      <c r="Q129" s="200">
        <v>29224</v>
      </c>
      <c r="R129" s="199">
        <v>700</v>
      </c>
      <c r="S129" s="199">
        <v>6206</v>
      </c>
      <c r="T129" s="50"/>
      <c r="U129" s="50"/>
      <c r="V129" s="199">
        <v>1920</v>
      </c>
      <c r="W129" s="199">
        <v>350</v>
      </c>
      <c r="X129" s="50"/>
      <c r="Y129" s="50"/>
      <c r="Z129" s="199">
        <v>29410</v>
      </c>
      <c r="AA129" s="50"/>
      <c r="AB129" s="50"/>
      <c r="AC129" s="199">
        <v>400</v>
      </c>
      <c r="AD129" s="50"/>
      <c r="AE129" s="199"/>
      <c r="AF129" s="193">
        <f t="shared" si="8"/>
        <v>548083</v>
      </c>
      <c r="AI129" s="57"/>
    </row>
    <row r="130" spans="1:35" s="56" customFormat="1" ht="18" customHeight="1">
      <c r="A130" s="231" t="s">
        <v>30</v>
      </c>
      <c r="B130" s="167">
        <v>405549</v>
      </c>
      <c r="C130" s="167">
        <v>32646</v>
      </c>
      <c r="D130" s="50"/>
      <c r="E130" s="171">
        <v>75692</v>
      </c>
      <c r="F130" s="171">
        <v>10736</v>
      </c>
      <c r="G130" s="171">
        <v>335</v>
      </c>
      <c r="H130" s="50"/>
      <c r="I130" s="50"/>
      <c r="J130" s="50"/>
      <c r="K130" s="50"/>
      <c r="L130" s="50"/>
      <c r="M130" s="199"/>
      <c r="N130" s="199">
        <v>5000</v>
      </c>
      <c r="O130" s="50"/>
      <c r="P130" s="199">
        <v>1080</v>
      </c>
      <c r="Q130" s="200">
        <v>24374</v>
      </c>
      <c r="R130" s="199">
        <v>735</v>
      </c>
      <c r="S130" s="199">
        <v>6393</v>
      </c>
      <c r="T130" s="50"/>
      <c r="U130" s="50"/>
      <c r="V130" s="199">
        <v>1920</v>
      </c>
      <c r="W130" s="199">
        <v>350</v>
      </c>
      <c r="X130" s="50"/>
      <c r="Y130" s="50"/>
      <c r="Z130" s="199">
        <v>29244</v>
      </c>
      <c r="AA130" s="50"/>
      <c r="AB130" s="50"/>
      <c r="AC130" s="199">
        <v>400</v>
      </c>
      <c r="AD130" s="50"/>
      <c r="AE130" s="199"/>
      <c r="AF130" s="193">
        <f t="shared" si="8"/>
        <v>594454</v>
      </c>
      <c r="AI130" s="57"/>
    </row>
    <row r="131" spans="1:35" s="56" customFormat="1" ht="18" customHeight="1">
      <c r="A131" s="231" t="s">
        <v>31</v>
      </c>
      <c r="B131" s="167">
        <v>289882</v>
      </c>
      <c r="C131" s="167">
        <v>23326</v>
      </c>
      <c r="D131" s="50"/>
      <c r="E131" s="171">
        <v>54102</v>
      </c>
      <c r="F131" s="171">
        <v>7674</v>
      </c>
      <c r="G131" s="171">
        <v>268</v>
      </c>
      <c r="H131" s="50"/>
      <c r="I131" s="50"/>
      <c r="J131" s="50"/>
      <c r="K131" s="50"/>
      <c r="L131" s="50"/>
      <c r="M131" s="199"/>
      <c r="N131" s="199">
        <v>3750</v>
      </c>
      <c r="O131" s="50"/>
      <c r="P131" s="199">
        <v>810</v>
      </c>
      <c r="Q131" s="200">
        <v>30546</v>
      </c>
      <c r="R131" s="199">
        <v>490</v>
      </c>
      <c r="S131" s="199">
        <v>4381</v>
      </c>
      <c r="T131" s="50"/>
      <c r="U131" s="50"/>
      <c r="V131" s="199">
        <v>2580</v>
      </c>
      <c r="W131" s="199">
        <v>350</v>
      </c>
      <c r="X131" s="50"/>
      <c r="Y131" s="50"/>
      <c r="Z131" s="199">
        <v>21982</v>
      </c>
      <c r="AA131" s="50"/>
      <c r="AB131" s="50"/>
      <c r="AC131" s="199">
        <v>300</v>
      </c>
      <c r="AD131" s="50"/>
      <c r="AE131" s="199"/>
      <c r="AF131" s="193">
        <f t="shared" si="8"/>
        <v>440441</v>
      </c>
      <c r="AI131" s="57"/>
    </row>
    <row r="132" spans="1:35" s="56" customFormat="1" ht="18" customHeight="1">
      <c r="A132" s="231" t="s">
        <v>32</v>
      </c>
      <c r="B132" s="167">
        <v>522633</v>
      </c>
      <c r="C132" s="167">
        <v>34175</v>
      </c>
      <c r="D132" s="50"/>
      <c r="E132" s="171">
        <v>96181</v>
      </c>
      <c r="F132" s="171">
        <v>13642</v>
      </c>
      <c r="G132" s="171">
        <v>412</v>
      </c>
      <c r="H132" s="50"/>
      <c r="I132" s="50"/>
      <c r="J132" s="50"/>
      <c r="K132" s="50"/>
      <c r="L132" s="50"/>
      <c r="M132" s="199"/>
      <c r="N132" s="199">
        <v>6250</v>
      </c>
      <c r="O132" s="50"/>
      <c r="P132" s="199">
        <v>1350</v>
      </c>
      <c r="Q132" s="200">
        <v>45793</v>
      </c>
      <c r="R132" s="199">
        <v>945</v>
      </c>
      <c r="S132" s="199">
        <v>10557</v>
      </c>
      <c r="T132" s="50"/>
      <c r="U132" s="50"/>
      <c r="V132" s="199">
        <v>2040</v>
      </c>
      <c r="W132" s="199">
        <v>350</v>
      </c>
      <c r="X132" s="50"/>
      <c r="Y132" s="50"/>
      <c r="Z132" s="199">
        <v>44595</v>
      </c>
      <c r="AA132" s="50"/>
      <c r="AB132" s="50"/>
      <c r="AC132" s="199">
        <v>500</v>
      </c>
      <c r="AD132" s="50"/>
      <c r="AE132" s="199"/>
      <c r="AF132" s="193">
        <f t="shared" si="8"/>
        <v>779423</v>
      </c>
      <c r="AI132" s="57"/>
    </row>
    <row r="133" spans="1:35" s="56" customFormat="1" ht="18" customHeight="1">
      <c r="A133" s="231" t="s">
        <v>33</v>
      </c>
      <c r="B133" s="167">
        <v>579711</v>
      </c>
      <c r="C133" s="167">
        <v>46385</v>
      </c>
      <c r="D133" s="50"/>
      <c r="E133" s="171">
        <v>108150</v>
      </c>
      <c r="F133" s="171">
        <v>15339</v>
      </c>
      <c r="G133" s="171">
        <v>447</v>
      </c>
      <c r="H133" s="50"/>
      <c r="I133" s="50"/>
      <c r="J133" s="50"/>
      <c r="K133" s="50"/>
      <c r="L133" s="50"/>
      <c r="M133" s="199">
        <v>1500</v>
      </c>
      <c r="N133" s="199">
        <v>7500</v>
      </c>
      <c r="O133" s="50"/>
      <c r="P133" s="199">
        <v>1620</v>
      </c>
      <c r="Q133" s="200">
        <v>43886</v>
      </c>
      <c r="R133" s="199">
        <v>1050</v>
      </c>
      <c r="S133" s="199">
        <v>9782</v>
      </c>
      <c r="T133" s="50"/>
      <c r="U133" s="50"/>
      <c r="V133" s="199">
        <v>2160</v>
      </c>
      <c r="W133" s="199">
        <v>350</v>
      </c>
      <c r="X133" s="50"/>
      <c r="Y133" s="50"/>
      <c r="Z133" s="199">
        <v>43714</v>
      </c>
      <c r="AA133" s="50"/>
      <c r="AB133" s="50"/>
      <c r="AC133" s="199">
        <v>600</v>
      </c>
      <c r="AD133" s="50"/>
      <c r="AE133" s="199"/>
      <c r="AF133" s="193">
        <f t="shared" si="8"/>
        <v>862194</v>
      </c>
      <c r="AI133" s="57"/>
    </row>
    <row r="134" spans="1:35" s="56" customFormat="1" ht="18" customHeight="1">
      <c r="A134" s="231" t="s">
        <v>34</v>
      </c>
      <c r="B134" s="167">
        <v>480009</v>
      </c>
      <c r="C134" s="167">
        <v>31439</v>
      </c>
      <c r="D134" s="50"/>
      <c r="E134" s="171">
        <v>88346</v>
      </c>
      <c r="F134" s="171">
        <v>12530</v>
      </c>
      <c r="G134" s="171">
        <v>422</v>
      </c>
      <c r="H134" s="50"/>
      <c r="I134" s="50"/>
      <c r="J134" s="50"/>
      <c r="K134" s="50"/>
      <c r="L134" s="50"/>
      <c r="M134" s="199"/>
      <c r="N134" s="199">
        <v>5000</v>
      </c>
      <c r="O134" s="50"/>
      <c r="P134" s="199">
        <v>1080</v>
      </c>
      <c r="Q134" s="200">
        <v>40475</v>
      </c>
      <c r="R134" s="199">
        <v>735</v>
      </c>
      <c r="S134" s="199">
        <v>6526</v>
      </c>
      <c r="T134" s="50"/>
      <c r="U134" s="50"/>
      <c r="V134" s="199">
        <v>1680</v>
      </c>
      <c r="W134" s="199">
        <v>350</v>
      </c>
      <c r="X134" s="50"/>
      <c r="Y134" s="50"/>
      <c r="Z134" s="199">
        <v>32258</v>
      </c>
      <c r="AA134" s="50"/>
      <c r="AB134" s="50"/>
      <c r="AC134" s="199">
        <v>400</v>
      </c>
      <c r="AD134" s="50"/>
      <c r="AE134" s="199"/>
      <c r="AF134" s="193">
        <f t="shared" si="8"/>
        <v>701250</v>
      </c>
      <c r="AI134" s="57"/>
    </row>
    <row r="135" spans="1:35" s="56" customFormat="1" ht="18" customHeight="1">
      <c r="A135" s="231" t="s">
        <v>35</v>
      </c>
      <c r="B135" s="167">
        <v>748091</v>
      </c>
      <c r="C135" s="167">
        <v>48380</v>
      </c>
      <c r="D135" s="50"/>
      <c r="E135" s="171">
        <v>137579</v>
      </c>
      <c r="F135" s="171">
        <v>19514</v>
      </c>
      <c r="G135" s="171">
        <v>496</v>
      </c>
      <c r="H135" s="50"/>
      <c r="I135" s="50"/>
      <c r="J135" s="50"/>
      <c r="K135" s="50"/>
      <c r="L135" s="50"/>
      <c r="M135" s="199">
        <v>7400</v>
      </c>
      <c r="N135" s="199">
        <v>8750</v>
      </c>
      <c r="O135" s="50"/>
      <c r="P135" s="199">
        <v>1890</v>
      </c>
      <c r="Q135" s="200">
        <v>42260</v>
      </c>
      <c r="R135" s="199">
        <v>1190</v>
      </c>
      <c r="S135" s="199">
        <v>9866</v>
      </c>
      <c r="T135" s="50"/>
      <c r="U135" s="50"/>
      <c r="V135" s="199">
        <v>2040</v>
      </c>
      <c r="W135" s="199">
        <v>350</v>
      </c>
      <c r="X135" s="50"/>
      <c r="Y135" s="50"/>
      <c r="Z135" s="199">
        <v>53626</v>
      </c>
      <c r="AA135" s="50"/>
      <c r="AB135" s="50"/>
      <c r="AC135" s="199">
        <v>700</v>
      </c>
      <c r="AD135" s="50"/>
      <c r="AE135" s="199"/>
      <c r="AF135" s="193">
        <f t="shared" si="8"/>
        <v>1082132</v>
      </c>
      <c r="AI135" s="57"/>
    </row>
    <row r="136" spans="1:35" s="56" customFormat="1" ht="18" customHeight="1">
      <c r="A136" s="231" t="s">
        <v>36</v>
      </c>
      <c r="B136" s="167">
        <v>286350</v>
      </c>
      <c r="C136" s="167">
        <v>22924</v>
      </c>
      <c r="D136" s="50"/>
      <c r="E136" s="171">
        <v>53423</v>
      </c>
      <c r="F136" s="171">
        <v>7577</v>
      </c>
      <c r="G136" s="171">
        <v>277</v>
      </c>
      <c r="H136" s="50"/>
      <c r="I136" s="50"/>
      <c r="J136" s="50"/>
      <c r="K136" s="50"/>
      <c r="L136" s="50"/>
      <c r="M136" s="199"/>
      <c r="N136" s="199">
        <v>3750</v>
      </c>
      <c r="O136" s="50"/>
      <c r="P136" s="199">
        <v>810</v>
      </c>
      <c r="Q136" s="200">
        <v>18701</v>
      </c>
      <c r="R136" s="199">
        <v>560</v>
      </c>
      <c r="S136" s="199">
        <v>81461</v>
      </c>
      <c r="T136" s="50"/>
      <c r="U136" s="50"/>
      <c r="V136" s="199">
        <v>1560</v>
      </c>
      <c r="W136" s="199">
        <v>350</v>
      </c>
      <c r="X136" s="50"/>
      <c r="Y136" s="50"/>
      <c r="Z136" s="199">
        <v>23984</v>
      </c>
      <c r="AA136" s="50"/>
      <c r="AB136" s="50"/>
      <c r="AC136" s="199">
        <v>300</v>
      </c>
      <c r="AD136" s="50"/>
      <c r="AE136" s="199"/>
      <c r="AF136" s="193">
        <f t="shared" si="8"/>
        <v>502027</v>
      </c>
      <c r="AI136" s="57"/>
    </row>
    <row r="137" spans="1:35" s="56" customFormat="1" ht="18" customHeight="1">
      <c r="A137" s="231" t="s">
        <v>37</v>
      </c>
      <c r="B137" s="167">
        <v>629394</v>
      </c>
      <c r="C137" s="167">
        <v>43916</v>
      </c>
      <c r="D137" s="50"/>
      <c r="E137" s="171">
        <v>116305</v>
      </c>
      <c r="F137" s="171">
        <v>16496</v>
      </c>
      <c r="G137" s="171">
        <v>429</v>
      </c>
      <c r="H137" s="50"/>
      <c r="I137" s="50"/>
      <c r="J137" s="50"/>
      <c r="K137" s="50"/>
      <c r="L137" s="50"/>
      <c r="M137" s="199">
        <v>6300</v>
      </c>
      <c r="N137" s="199">
        <v>7500</v>
      </c>
      <c r="O137" s="50"/>
      <c r="P137" s="199">
        <v>1620</v>
      </c>
      <c r="Q137" s="200">
        <v>45625</v>
      </c>
      <c r="R137" s="199">
        <v>1015</v>
      </c>
      <c r="S137" s="199">
        <v>9997</v>
      </c>
      <c r="T137" s="50"/>
      <c r="U137" s="50"/>
      <c r="V137" s="199">
        <v>2160</v>
      </c>
      <c r="W137" s="199">
        <v>350</v>
      </c>
      <c r="X137" s="50"/>
      <c r="Y137" s="50"/>
      <c r="Z137" s="199">
        <v>42354</v>
      </c>
      <c r="AA137" s="50"/>
      <c r="AB137" s="50"/>
      <c r="AC137" s="199">
        <v>600</v>
      </c>
      <c r="AD137" s="50"/>
      <c r="AE137" s="199"/>
      <c r="AF137" s="193">
        <f t="shared" si="8"/>
        <v>924061</v>
      </c>
      <c r="AI137" s="57"/>
    </row>
    <row r="138" spans="1:32" s="49" customFormat="1" ht="18" customHeight="1">
      <c r="A138" s="119" t="s">
        <v>38</v>
      </c>
      <c r="B138" s="167">
        <v>492184</v>
      </c>
      <c r="C138" s="167">
        <v>39153</v>
      </c>
      <c r="D138" s="54"/>
      <c r="E138" s="171">
        <v>91781</v>
      </c>
      <c r="F138" s="171">
        <v>13018</v>
      </c>
      <c r="G138" s="171">
        <v>373</v>
      </c>
      <c r="H138" s="54"/>
      <c r="I138" s="54"/>
      <c r="J138" s="54"/>
      <c r="K138" s="54"/>
      <c r="L138" s="54"/>
      <c r="M138" s="202"/>
      <c r="N138" s="199">
        <v>6250</v>
      </c>
      <c r="O138" s="50"/>
      <c r="P138" s="199">
        <v>1350</v>
      </c>
      <c r="Q138" s="200">
        <v>43549</v>
      </c>
      <c r="R138" s="199">
        <v>945</v>
      </c>
      <c r="S138" s="199">
        <v>8791</v>
      </c>
      <c r="T138" s="50"/>
      <c r="U138" s="50"/>
      <c r="V138" s="199">
        <v>1800</v>
      </c>
      <c r="W138" s="199">
        <v>350</v>
      </c>
      <c r="X138" s="50"/>
      <c r="Y138" s="50"/>
      <c r="Z138" s="199">
        <v>37255</v>
      </c>
      <c r="AA138" s="50"/>
      <c r="AB138" s="50"/>
      <c r="AC138" s="199">
        <v>500</v>
      </c>
      <c r="AD138" s="50"/>
      <c r="AE138" s="199"/>
      <c r="AF138" s="193">
        <f t="shared" si="8"/>
        <v>737299</v>
      </c>
    </row>
    <row r="139" spans="1:32" s="49" customFormat="1" ht="18" customHeight="1">
      <c r="A139" s="119" t="s">
        <v>39</v>
      </c>
      <c r="B139" s="167">
        <v>260494</v>
      </c>
      <c r="C139" s="167">
        <v>22551</v>
      </c>
      <c r="D139" s="54"/>
      <c r="E139" s="171">
        <v>48892</v>
      </c>
      <c r="F139" s="171">
        <v>6935</v>
      </c>
      <c r="G139" s="171">
        <v>238</v>
      </c>
      <c r="H139" s="54"/>
      <c r="I139" s="54"/>
      <c r="J139" s="54"/>
      <c r="K139" s="54"/>
      <c r="L139" s="54"/>
      <c r="M139" s="199"/>
      <c r="N139" s="199">
        <v>2500</v>
      </c>
      <c r="O139" s="50"/>
      <c r="P139" s="199">
        <v>540</v>
      </c>
      <c r="Q139" s="200">
        <v>19177</v>
      </c>
      <c r="R139" s="199">
        <v>560</v>
      </c>
      <c r="S139" s="199">
        <v>4865</v>
      </c>
      <c r="T139" s="50"/>
      <c r="U139" s="50"/>
      <c r="V139" s="199">
        <v>1800</v>
      </c>
      <c r="W139" s="199">
        <v>350</v>
      </c>
      <c r="X139" s="50"/>
      <c r="Y139" s="50"/>
      <c r="Z139" s="199">
        <v>24248</v>
      </c>
      <c r="AA139" s="50"/>
      <c r="AB139" s="50"/>
      <c r="AC139" s="199">
        <v>200</v>
      </c>
      <c r="AD139" s="50"/>
      <c r="AE139" s="199"/>
      <c r="AF139" s="193">
        <f t="shared" si="8"/>
        <v>393350</v>
      </c>
    </row>
    <row r="140" spans="1:32" s="49" customFormat="1" ht="18" customHeight="1">
      <c r="A140" s="119" t="s">
        <v>40</v>
      </c>
      <c r="B140" s="167">
        <v>484824</v>
      </c>
      <c r="C140" s="167">
        <v>43858</v>
      </c>
      <c r="D140" s="54"/>
      <c r="E140" s="171">
        <v>91323</v>
      </c>
      <c r="F140" s="171">
        <v>12953</v>
      </c>
      <c r="G140" s="171">
        <v>375</v>
      </c>
      <c r="H140" s="54"/>
      <c r="I140" s="54"/>
      <c r="J140" s="54"/>
      <c r="K140" s="54"/>
      <c r="L140" s="54"/>
      <c r="M140" s="199"/>
      <c r="N140" s="199">
        <v>7500</v>
      </c>
      <c r="O140" s="50"/>
      <c r="P140" s="199">
        <v>1620</v>
      </c>
      <c r="Q140" s="200">
        <v>45558</v>
      </c>
      <c r="R140" s="199">
        <v>945</v>
      </c>
      <c r="S140" s="199">
        <v>8535</v>
      </c>
      <c r="T140" s="50"/>
      <c r="U140" s="50"/>
      <c r="V140" s="199">
        <v>2160</v>
      </c>
      <c r="W140" s="199">
        <v>350</v>
      </c>
      <c r="X140" s="50"/>
      <c r="Y140" s="50"/>
      <c r="Z140" s="199">
        <v>47248</v>
      </c>
      <c r="AA140" s="50"/>
      <c r="AB140" s="50"/>
      <c r="AC140" s="199">
        <v>600</v>
      </c>
      <c r="AD140" s="50"/>
      <c r="AE140" s="199">
        <v>6000</v>
      </c>
      <c r="AF140" s="193">
        <f t="shared" si="8"/>
        <v>753849</v>
      </c>
    </row>
    <row r="141" spans="1:35" s="56" customFormat="1" ht="18" customHeight="1">
      <c r="A141" s="119" t="s">
        <v>41</v>
      </c>
      <c r="B141" s="167">
        <v>642165</v>
      </c>
      <c r="C141" s="167">
        <v>48893</v>
      </c>
      <c r="D141" s="50"/>
      <c r="E141" s="171">
        <v>119371</v>
      </c>
      <c r="F141" s="171">
        <v>16931</v>
      </c>
      <c r="G141" s="171">
        <v>498</v>
      </c>
      <c r="H141" s="50"/>
      <c r="I141" s="50"/>
      <c r="J141" s="50"/>
      <c r="K141" s="50"/>
      <c r="L141" s="50"/>
      <c r="M141" s="199">
        <v>6600</v>
      </c>
      <c r="N141" s="199">
        <v>8750</v>
      </c>
      <c r="O141" s="50"/>
      <c r="P141" s="199">
        <v>1890</v>
      </c>
      <c r="Q141" s="200">
        <v>43332</v>
      </c>
      <c r="R141" s="199">
        <v>1050</v>
      </c>
      <c r="S141" s="199">
        <v>10812</v>
      </c>
      <c r="T141" s="50"/>
      <c r="U141" s="50"/>
      <c r="V141" s="199">
        <v>2040</v>
      </c>
      <c r="W141" s="199">
        <v>350</v>
      </c>
      <c r="X141" s="50"/>
      <c r="Y141" s="50"/>
      <c r="Z141" s="199">
        <v>49817</v>
      </c>
      <c r="AA141" s="50"/>
      <c r="AB141" s="50"/>
      <c r="AC141" s="199">
        <v>700</v>
      </c>
      <c r="AD141" s="50"/>
      <c r="AE141" s="199"/>
      <c r="AF141" s="193">
        <f t="shared" si="8"/>
        <v>953199</v>
      </c>
      <c r="AI141" s="57"/>
    </row>
    <row r="142" spans="1:35" s="56" customFormat="1" ht="18" customHeight="1">
      <c r="A142" s="119" t="s">
        <v>42</v>
      </c>
      <c r="B142" s="167">
        <v>505779</v>
      </c>
      <c r="C142" s="167">
        <v>40016</v>
      </c>
      <c r="D142" s="58"/>
      <c r="E142" s="171">
        <v>94279</v>
      </c>
      <c r="F142" s="171">
        <v>13372</v>
      </c>
      <c r="G142" s="171">
        <v>418</v>
      </c>
      <c r="H142" s="58"/>
      <c r="I142" s="58"/>
      <c r="J142" s="58"/>
      <c r="K142" s="58"/>
      <c r="L142" s="58"/>
      <c r="M142" s="199">
        <v>6850</v>
      </c>
      <c r="N142" s="199">
        <v>7500</v>
      </c>
      <c r="O142" s="201"/>
      <c r="P142" s="199">
        <v>1620</v>
      </c>
      <c r="Q142" s="200">
        <v>47971</v>
      </c>
      <c r="R142" s="199">
        <v>945</v>
      </c>
      <c r="S142" s="199">
        <v>8267</v>
      </c>
      <c r="T142" s="201"/>
      <c r="U142" s="201"/>
      <c r="V142" s="199">
        <v>2160</v>
      </c>
      <c r="W142" s="199">
        <v>350</v>
      </c>
      <c r="X142" s="201"/>
      <c r="Y142" s="201"/>
      <c r="Z142" s="199">
        <v>45054</v>
      </c>
      <c r="AA142" s="201"/>
      <c r="AB142" s="201"/>
      <c r="AC142" s="199">
        <v>600</v>
      </c>
      <c r="AD142" s="201"/>
      <c r="AE142" s="199"/>
      <c r="AF142" s="193">
        <f aca="true" t="shared" si="10" ref="AF142:AF206">SUM(B142:AE142)</f>
        <v>775181</v>
      </c>
      <c r="AI142" s="57"/>
    </row>
    <row r="143" spans="1:35" s="56" customFormat="1" ht="18" customHeight="1">
      <c r="A143" s="119" t="s">
        <v>43</v>
      </c>
      <c r="B143" s="167">
        <v>537945</v>
      </c>
      <c r="C143" s="167">
        <v>43196</v>
      </c>
      <c r="D143" s="50"/>
      <c r="E143" s="171">
        <v>100384</v>
      </c>
      <c r="F143" s="171">
        <v>14238</v>
      </c>
      <c r="G143" s="171">
        <v>425</v>
      </c>
      <c r="H143" s="50"/>
      <c r="I143" s="50"/>
      <c r="J143" s="50"/>
      <c r="K143" s="50"/>
      <c r="L143" s="50"/>
      <c r="M143" s="199">
        <v>6300</v>
      </c>
      <c r="N143" s="199">
        <v>7500</v>
      </c>
      <c r="O143" s="50"/>
      <c r="P143" s="199">
        <v>1620</v>
      </c>
      <c r="Q143" s="200">
        <v>42657</v>
      </c>
      <c r="R143" s="199">
        <v>1015</v>
      </c>
      <c r="S143" s="199">
        <v>8601</v>
      </c>
      <c r="T143" s="50"/>
      <c r="U143" s="50"/>
      <c r="V143" s="199">
        <v>2160</v>
      </c>
      <c r="W143" s="199">
        <v>350</v>
      </c>
      <c r="X143" s="50"/>
      <c r="Y143" s="50"/>
      <c r="Z143" s="199">
        <v>41590</v>
      </c>
      <c r="AA143" s="50"/>
      <c r="AB143" s="50"/>
      <c r="AC143" s="199">
        <v>600</v>
      </c>
      <c r="AD143" s="50"/>
      <c r="AE143" s="199"/>
      <c r="AF143" s="193">
        <f t="shared" si="10"/>
        <v>808581</v>
      </c>
      <c r="AI143" s="57"/>
    </row>
    <row r="144" spans="1:35" s="56" customFormat="1" ht="18" customHeight="1">
      <c r="A144" s="119" t="s">
        <v>44</v>
      </c>
      <c r="B144" s="167">
        <v>739164</v>
      </c>
      <c r="C144" s="167">
        <v>56313</v>
      </c>
      <c r="D144" s="50"/>
      <c r="E144" s="171">
        <v>137408</v>
      </c>
      <c r="F144" s="171">
        <v>19489</v>
      </c>
      <c r="G144" s="171">
        <v>542</v>
      </c>
      <c r="H144" s="50"/>
      <c r="I144" s="50"/>
      <c r="J144" s="50"/>
      <c r="K144" s="50"/>
      <c r="L144" s="50"/>
      <c r="M144" s="199"/>
      <c r="N144" s="199">
        <v>8750</v>
      </c>
      <c r="O144" s="50"/>
      <c r="P144" s="199">
        <v>1890</v>
      </c>
      <c r="Q144" s="200">
        <v>43994</v>
      </c>
      <c r="R144" s="199">
        <v>1190</v>
      </c>
      <c r="S144" s="199">
        <v>9809</v>
      </c>
      <c r="T144" s="50"/>
      <c r="U144" s="50"/>
      <c r="V144" s="199">
        <v>2280</v>
      </c>
      <c r="W144" s="199">
        <v>350</v>
      </c>
      <c r="X144" s="50"/>
      <c r="Y144" s="50"/>
      <c r="Z144" s="199">
        <v>51869</v>
      </c>
      <c r="AA144" s="50"/>
      <c r="AB144" s="50"/>
      <c r="AC144" s="199">
        <v>700</v>
      </c>
      <c r="AD144" s="50"/>
      <c r="AE144" s="199"/>
      <c r="AF144" s="193">
        <f t="shared" si="10"/>
        <v>1073748</v>
      </c>
      <c r="AI144" s="57"/>
    </row>
    <row r="145" spans="1:35" s="56" customFormat="1" ht="18" customHeight="1">
      <c r="A145" s="119" t="s">
        <v>45</v>
      </c>
      <c r="B145" s="167">
        <v>1052880</v>
      </c>
      <c r="C145" s="167">
        <v>84452</v>
      </c>
      <c r="D145" s="50"/>
      <c r="E145" s="171">
        <v>196459</v>
      </c>
      <c r="F145" s="171">
        <v>27865</v>
      </c>
      <c r="G145" s="171">
        <v>769</v>
      </c>
      <c r="H145" s="50"/>
      <c r="I145" s="50"/>
      <c r="J145" s="50"/>
      <c r="K145" s="50"/>
      <c r="L145" s="50"/>
      <c r="M145" s="199"/>
      <c r="N145" s="199">
        <v>13750</v>
      </c>
      <c r="O145" s="50"/>
      <c r="P145" s="199">
        <v>2970</v>
      </c>
      <c r="Q145" s="200">
        <v>103474</v>
      </c>
      <c r="R145" s="199">
        <v>1820</v>
      </c>
      <c r="S145" s="199">
        <v>16654</v>
      </c>
      <c r="T145" s="50"/>
      <c r="U145" s="50"/>
      <c r="V145" s="199">
        <v>2640</v>
      </c>
      <c r="W145" s="199">
        <v>350</v>
      </c>
      <c r="X145" s="50"/>
      <c r="Y145" s="50"/>
      <c r="Z145" s="199">
        <v>75390</v>
      </c>
      <c r="AA145" s="50"/>
      <c r="AB145" s="50"/>
      <c r="AC145" s="199">
        <v>1100</v>
      </c>
      <c r="AD145" s="50"/>
      <c r="AE145" s="199"/>
      <c r="AF145" s="193">
        <f t="shared" si="10"/>
        <v>1580573</v>
      </c>
      <c r="AI145" s="57"/>
    </row>
    <row r="146" spans="1:35" s="56" customFormat="1" ht="18" customHeight="1">
      <c r="A146" s="119" t="s">
        <v>46</v>
      </c>
      <c r="B146" s="167">
        <v>253703</v>
      </c>
      <c r="C146" s="167">
        <v>21078</v>
      </c>
      <c r="D146" s="50"/>
      <c r="E146" s="171">
        <v>47465</v>
      </c>
      <c r="F146" s="171">
        <v>6732</v>
      </c>
      <c r="G146" s="171">
        <v>244</v>
      </c>
      <c r="H146" s="50"/>
      <c r="I146" s="50"/>
      <c r="J146" s="50"/>
      <c r="K146" s="50"/>
      <c r="L146" s="50"/>
      <c r="M146" s="199"/>
      <c r="N146" s="199">
        <v>3750</v>
      </c>
      <c r="O146" s="50"/>
      <c r="P146" s="199">
        <v>810</v>
      </c>
      <c r="Q146" s="200">
        <v>15863</v>
      </c>
      <c r="R146" s="199">
        <v>560</v>
      </c>
      <c r="S146" s="199">
        <v>60902</v>
      </c>
      <c r="T146" s="50"/>
      <c r="U146" s="50"/>
      <c r="V146" s="199">
        <v>1560</v>
      </c>
      <c r="W146" s="199">
        <v>350</v>
      </c>
      <c r="X146" s="50"/>
      <c r="Y146" s="50"/>
      <c r="Z146" s="199">
        <v>21080</v>
      </c>
      <c r="AA146" s="50"/>
      <c r="AB146" s="50"/>
      <c r="AC146" s="199">
        <v>300</v>
      </c>
      <c r="AD146" s="50"/>
      <c r="AE146" s="199"/>
      <c r="AF146" s="193">
        <f t="shared" si="10"/>
        <v>434397</v>
      </c>
      <c r="AI146" s="57"/>
    </row>
    <row r="147" spans="1:35" s="56" customFormat="1" ht="18" customHeight="1">
      <c r="A147" s="119" t="s">
        <v>47</v>
      </c>
      <c r="B147" s="167">
        <v>382943</v>
      </c>
      <c r="C147" s="167">
        <v>31851</v>
      </c>
      <c r="D147" s="50"/>
      <c r="E147" s="171">
        <v>71650</v>
      </c>
      <c r="F147" s="171">
        <v>10162</v>
      </c>
      <c r="G147" s="171">
        <v>314</v>
      </c>
      <c r="H147" s="50"/>
      <c r="I147" s="50"/>
      <c r="J147" s="50"/>
      <c r="K147" s="50"/>
      <c r="L147" s="50"/>
      <c r="M147" s="199"/>
      <c r="N147" s="199">
        <v>5000</v>
      </c>
      <c r="O147" s="50"/>
      <c r="P147" s="199">
        <v>1080</v>
      </c>
      <c r="Q147" s="200">
        <v>24292</v>
      </c>
      <c r="R147" s="199">
        <v>700</v>
      </c>
      <c r="S147" s="199">
        <v>43424</v>
      </c>
      <c r="T147" s="50"/>
      <c r="U147" s="50"/>
      <c r="V147" s="199">
        <v>1680</v>
      </c>
      <c r="W147" s="199">
        <v>350</v>
      </c>
      <c r="X147" s="50"/>
      <c r="Y147" s="50"/>
      <c r="Z147" s="199">
        <v>28234</v>
      </c>
      <c r="AA147" s="50"/>
      <c r="AB147" s="50"/>
      <c r="AC147" s="199">
        <v>400</v>
      </c>
      <c r="AD147" s="50"/>
      <c r="AE147" s="199"/>
      <c r="AF147" s="193">
        <f t="shared" si="10"/>
        <v>602080</v>
      </c>
      <c r="AI147" s="57"/>
    </row>
    <row r="148" spans="1:35" s="56" customFormat="1" ht="18" customHeight="1">
      <c r="A148" s="119" t="s">
        <v>48</v>
      </c>
      <c r="B148" s="167">
        <v>713657</v>
      </c>
      <c r="C148" s="167">
        <v>52554</v>
      </c>
      <c r="D148" s="50"/>
      <c r="E148" s="171">
        <v>132352</v>
      </c>
      <c r="F148" s="171">
        <v>18772</v>
      </c>
      <c r="G148" s="171">
        <v>570</v>
      </c>
      <c r="H148" s="50"/>
      <c r="I148" s="50"/>
      <c r="J148" s="50"/>
      <c r="K148" s="50"/>
      <c r="L148" s="50"/>
      <c r="M148" s="199">
        <v>1500</v>
      </c>
      <c r="N148" s="199">
        <v>8750</v>
      </c>
      <c r="O148" s="50"/>
      <c r="P148" s="199">
        <v>1890</v>
      </c>
      <c r="Q148" s="200">
        <v>55880</v>
      </c>
      <c r="R148" s="199">
        <v>1085</v>
      </c>
      <c r="S148" s="199">
        <v>10352</v>
      </c>
      <c r="T148" s="50"/>
      <c r="U148" s="50"/>
      <c r="V148" s="199">
        <v>2040</v>
      </c>
      <c r="W148" s="199">
        <v>350</v>
      </c>
      <c r="X148" s="50"/>
      <c r="Y148" s="50"/>
      <c r="Z148" s="199">
        <v>43982</v>
      </c>
      <c r="AA148" s="50"/>
      <c r="AB148" s="50"/>
      <c r="AC148" s="199">
        <v>700</v>
      </c>
      <c r="AD148" s="50"/>
      <c r="AE148" s="199"/>
      <c r="AF148" s="193">
        <f t="shared" si="10"/>
        <v>1044434</v>
      </c>
      <c r="AI148" s="57"/>
    </row>
    <row r="149" spans="1:35" s="56" customFormat="1" ht="18" customHeight="1">
      <c r="A149" s="119" t="s">
        <v>49</v>
      </c>
      <c r="B149" s="167">
        <v>221293</v>
      </c>
      <c r="C149" s="167">
        <v>17816</v>
      </c>
      <c r="D149" s="50"/>
      <c r="E149" s="171">
        <v>41303</v>
      </c>
      <c r="F149" s="171">
        <v>5858</v>
      </c>
      <c r="G149" s="171">
        <v>219</v>
      </c>
      <c r="H149" s="50"/>
      <c r="I149" s="50"/>
      <c r="J149" s="50"/>
      <c r="K149" s="50"/>
      <c r="L149" s="50"/>
      <c r="M149" s="199"/>
      <c r="N149" s="199">
        <v>2500</v>
      </c>
      <c r="O149" s="50"/>
      <c r="P149" s="199">
        <v>540</v>
      </c>
      <c r="Q149" s="200">
        <v>13255</v>
      </c>
      <c r="R149" s="199">
        <v>490</v>
      </c>
      <c r="S149" s="199">
        <v>11452</v>
      </c>
      <c r="T149" s="50"/>
      <c r="U149" s="50"/>
      <c r="V149" s="199">
        <v>1440</v>
      </c>
      <c r="W149" s="199">
        <v>350</v>
      </c>
      <c r="X149" s="50"/>
      <c r="Y149" s="50"/>
      <c r="Z149" s="199">
        <v>16426</v>
      </c>
      <c r="AA149" s="50"/>
      <c r="AB149" s="50"/>
      <c r="AC149" s="199">
        <v>200</v>
      </c>
      <c r="AD149" s="50"/>
      <c r="AE149" s="199"/>
      <c r="AF149" s="193">
        <f t="shared" si="10"/>
        <v>333142</v>
      </c>
      <c r="AI149" s="57"/>
    </row>
    <row r="150" spans="1:35" s="56" customFormat="1" ht="18" customHeight="1">
      <c r="A150" s="119" t="s">
        <v>50</v>
      </c>
      <c r="B150" s="167">
        <v>366158</v>
      </c>
      <c r="C150" s="167">
        <v>27225</v>
      </c>
      <c r="D150" s="50"/>
      <c r="E150" s="171">
        <v>67952</v>
      </c>
      <c r="F150" s="171">
        <v>9638</v>
      </c>
      <c r="G150" s="171">
        <v>297</v>
      </c>
      <c r="H150" s="50"/>
      <c r="I150" s="50"/>
      <c r="J150" s="50"/>
      <c r="K150" s="50"/>
      <c r="L150" s="50"/>
      <c r="M150" s="199"/>
      <c r="N150" s="199">
        <v>5000</v>
      </c>
      <c r="O150" s="50"/>
      <c r="P150" s="199">
        <v>1080</v>
      </c>
      <c r="Q150" s="200">
        <v>59354</v>
      </c>
      <c r="R150" s="199">
        <v>735</v>
      </c>
      <c r="S150" s="199">
        <v>9119</v>
      </c>
      <c r="T150" s="50"/>
      <c r="U150" s="50"/>
      <c r="V150" s="199">
        <v>2490</v>
      </c>
      <c r="W150" s="199">
        <v>350</v>
      </c>
      <c r="X150" s="50"/>
      <c r="Y150" s="50"/>
      <c r="Z150" s="199">
        <v>28356</v>
      </c>
      <c r="AA150" s="50"/>
      <c r="AB150" s="50"/>
      <c r="AC150" s="199">
        <v>400</v>
      </c>
      <c r="AD150" s="50"/>
      <c r="AE150" s="199"/>
      <c r="AF150" s="193">
        <f t="shared" si="10"/>
        <v>578154</v>
      </c>
      <c r="AI150" s="57"/>
    </row>
    <row r="151" spans="1:35" s="56" customFormat="1" ht="18" customHeight="1">
      <c r="A151" s="119" t="s">
        <v>51</v>
      </c>
      <c r="B151" s="167">
        <v>590758</v>
      </c>
      <c r="C151" s="167">
        <v>44314</v>
      </c>
      <c r="D151" s="50"/>
      <c r="E151" s="171">
        <v>109700</v>
      </c>
      <c r="F151" s="171">
        <v>15559</v>
      </c>
      <c r="G151" s="171">
        <v>488</v>
      </c>
      <c r="H151" s="50"/>
      <c r="I151" s="50"/>
      <c r="J151" s="50"/>
      <c r="K151" s="50"/>
      <c r="L151" s="50"/>
      <c r="M151" s="199">
        <v>6450</v>
      </c>
      <c r="N151" s="199">
        <v>7500</v>
      </c>
      <c r="O151" s="50"/>
      <c r="P151" s="199">
        <v>1620</v>
      </c>
      <c r="Q151" s="200">
        <v>38969</v>
      </c>
      <c r="R151" s="199">
        <v>1190</v>
      </c>
      <c r="S151" s="199">
        <v>9453</v>
      </c>
      <c r="T151" s="50"/>
      <c r="U151" s="50"/>
      <c r="V151" s="199">
        <v>2160</v>
      </c>
      <c r="W151" s="199">
        <v>350</v>
      </c>
      <c r="X151" s="50"/>
      <c r="Y151" s="50"/>
      <c r="Z151" s="199">
        <v>50812</v>
      </c>
      <c r="AA151" s="50"/>
      <c r="AB151" s="50"/>
      <c r="AC151" s="199">
        <v>600</v>
      </c>
      <c r="AD151" s="50"/>
      <c r="AE151" s="199"/>
      <c r="AF151" s="193">
        <f t="shared" si="10"/>
        <v>879923</v>
      </c>
      <c r="AI151" s="57"/>
    </row>
    <row r="152" spans="1:35" s="56" customFormat="1" ht="18" customHeight="1">
      <c r="A152" s="119" t="s">
        <v>52</v>
      </c>
      <c r="B152" s="167">
        <v>479632</v>
      </c>
      <c r="C152" s="167">
        <v>37816</v>
      </c>
      <c r="D152" s="50"/>
      <c r="E152" s="171">
        <v>89382</v>
      </c>
      <c r="F152" s="171">
        <v>12677</v>
      </c>
      <c r="G152" s="171">
        <v>379</v>
      </c>
      <c r="H152" s="50"/>
      <c r="I152" s="50"/>
      <c r="J152" s="50"/>
      <c r="K152" s="50"/>
      <c r="L152" s="50"/>
      <c r="M152" s="199"/>
      <c r="N152" s="199">
        <v>6250</v>
      </c>
      <c r="O152" s="50"/>
      <c r="P152" s="199">
        <v>1350</v>
      </c>
      <c r="Q152" s="200">
        <v>53830</v>
      </c>
      <c r="R152" s="199">
        <v>840</v>
      </c>
      <c r="S152" s="199">
        <v>8799</v>
      </c>
      <c r="T152" s="50"/>
      <c r="U152" s="50"/>
      <c r="V152" s="199">
        <v>2040</v>
      </c>
      <c r="W152" s="199">
        <v>350</v>
      </c>
      <c r="X152" s="50"/>
      <c r="Y152" s="50"/>
      <c r="Z152" s="199">
        <v>35528</v>
      </c>
      <c r="AA152" s="50"/>
      <c r="AB152" s="50"/>
      <c r="AC152" s="199">
        <v>500</v>
      </c>
      <c r="AD152" s="50"/>
      <c r="AE152" s="199"/>
      <c r="AF152" s="193">
        <f t="shared" si="10"/>
        <v>729373</v>
      </c>
      <c r="AI152" s="57"/>
    </row>
    <row r="153" spans="1:32" s="49" customFormat="1" ht="18" customHeight="1">
      <c r="A153" s="119" t="s">
        <v>53</v>
      </c>
      <c r="B153" s="167">
        <v>521466</v>
      </c>
      <c r="C153" s="167">
        <v>36709</v>
      </c>
      <c r="D153" s="54"/>
      <c r="E153" s="171">
        <v>96244</v>
      </c>
      <c r="F153" s="171">
        <v>13651</v>
      </c>
      <c r="G153" s="171">
        <v>397</v>
      </c>
      <c r="H153" s="54"/>
      <c r="I153" s="54"/>
      <c r="J153" s="54"/>
      <c r="K153" s="54"/>
      <c r="L153" s="54"/>
      <c r="M153" s="199"/>
      <c r="N153" s="199">
        <v>6250</v>
      </c>
      <c r="O153" s="50"/>
      <c r="P153" s="199">
        <v>1350</v>
      </c>
      <c r="Q153" s="200">
        <v>54211</v>
      </c>
      <c r="R153" s="199">
        <v>875</v>
      </c>
      <c r="S153" s="199">
        <v>8352</v>
      </c>
      <c r="T153" s="50"/>
      <c r="U153" s="50"/>
      <c r="V153" s="199">
        <v>2040</v>
      </c>
      <c r="W153" s="199">
        <v>350</v>
      </c>
      <c r="X153" s="50"/>
      <c r="Y153" s="50"/>
      <c r="Z153" s="199">
        <v>38771</v>
      </c>
      <c r="AA153" s="50"/>
      <c r="AB153" s="50"/>
      <c r="AC153" s="199">
        <v>500</v>
      </c>
      <c r="AD153" s="50"/>
      <c r="AE153" s="199"/>
      <c r="AF153" s="193">
        <f t="shared" si="10"/>
        <v>781166</v>
      </c>
    </row>
    <row r="154" spans="1:32" s="49" customFormat="1" ht="18" customHeight="1">
      <c r="A154" s="119" t="s">
        <v>54</v>
      </c>
      <c r="B154" s="167">
        <v>434791</v>
      </c>
      <c r="C154" s="167">
        <v>34760</v>
      </c>
      <c r="D154" s="54"/>
      <c r="E154" s="171">
        <v>81109</v>
      </c>
      <c r="F154" s="171">
        <v>11504</v>
      </c>
      <c r="G154" s="171">
        <v>325</v>
      </c>
      <c r="H154" s="54"/>
      <c r="I154" s="54"/>
      <c r="J154" s="54"/>
      <c r="K154" s="54"/>
      <c r="L154" s="54"/>
      <c r="M154" s="199"/>
      <c r="N154" s="199">
        <v>5000</v>
      </c>
      <c r="O154" s="50"/>
      <c r="P154" s="199">
        <v>1080</v>
      </c>
      <c r="Q154" s="200">
        <v>45762</v>
      </c>
      <c r="R154" s="199">
        <v>805</v>
      </c>
      <c r="S154" s="199">
        <v>6499</v>
      </c>
      <c r="T154" s="50"/>
      <c r="U154" s="50"/>
      <c r="V154" s="199">
        <v>1920</v>
      </c>
      <c r="W154" s="199">
        <v>350</v>
      </c>
      <c r="X154" s="50"/>
      <c r="Y154" s="50"/>
      <c r="Z154" s="199">
        <v>28656</v>
      </c>
      <c r="AA154" s="50"/>
      <c r="AB154" s="50"/>
      <c r="AC154" s="199">
        <v>400</v>
      </c>
      <c r="AD154" s="50"/>
      <c r="AE154" s="199"/>
      <c r="AF154" s="193">
        <f t="shared" si="10"/>
        <v>652961</v>
      </c>
    </row>
    <row r="155" spans="1:32" s="49" customFormat="1" ht="18" customHeight="1">
      <c r="A155" s="119" t="s">
        <v>55</v>
      </c>
      <c r="B155" s="167">
        <v>672990</v>
      </c>
      <c r="C155" s="167">
        <v>53212</v>
      </c>
      <c r="D155" s="54"/>
      <c r="E155" s="171">
        <v>125441</v>
      </c>
      <c r="F155" s="171">
        <v>17792</v>
      </c>
      <c r="G155" s="171">
        <v>501</v>
      </c>
      <c r="H155" s="54"/>
      <c r="I155" s="54"/>
      <c r="J155" s="54"/>
      <c r="K155" s="54"/>
      <c r="L155" s="54"/>
      <c r="M155" s="199"/>
      <c r="N155" s="199">
        <v>8750</v>
      </c>
      <c r="O155" s="50"/>
      <c r="P155" s="199">
        <v>1890</v>
      </c>
      <c r="Q155" s="200">
        <v>74520</v>
      </c>
      <c r="R155" s="199">
        <v>1295</v>
      </c>
      <c r="S155" s="199">
        <v>12269</v>
      </c>
      <c r="T155" s="50"/>
      <c r="U155" s="50"/>
      <c r="V155" s="199">
        <v>2280</v>
      </c>
      <c r="W155" s="199">
        <v>350</v>
      </c>
      <c r="X155" s="50"/>
      <c r="Y155" s="50"/>
      <c r="Z155" s="199">
        <v>51701</v>
      </c>
      <c r="AA155" s="50"/>
      <c r="AB155" s="50"/>
      <c r="AC155" s="199">
        <v>700</v>
      </c>
      <c r="AD155" s="50"/>
      <c r="AE155" s="199"/>
      <c r="AF155" s="193">
        <f t="shared" si="10"/>
        <v>1023691</v>
      </c>
    </row>
    <row r="156" spans="1:35" s="56" customFormat="1" ht="18" customHeight="1">
      <c r="A156" s="119" t="s">
        <v>56</v>
      </c>
      <c r="B156" s="167">
        <v>540722</v>
      </c>
      <c r="C156" s="167">
        <v>43548</v>
      </c>
      <c r="D156" s="50"/>
      <c r="E156" s="171">
        <v>100925</v>
      </c>
      <c r="F156" s="171">
        <v>14315</v>
      </c>
      <c r="G156" s="171">
        <v>435</v>
      </c>
      <c r="H156" s="50"/>
      <c r="I156" s="50"/>
      <c r="J156" s="50"/>
      <c r="K156" s="50"/>
      <c r="L156" s="50"/>
      <c r="M156" s="199"/>
      <c r="N156" s="199">
        <v>7500</v>
      </c>
      <c r="O156" s="50"/>
      <c r="P156" s="199">
        <v>1620</v>
      </c>
      <c r="Q156" s="200">
        <v>39421</v>
      </c>
      <c r="R156" s="199">
        <v>980</v>
      </c>
      <c r="S156" s="199">
        <v>8997</v>
      </c>
      <c r="T156" s="50"/>
      <c r="U156" s="50"/>
      <c r="V156" s="199">
        <v>2160</v>
      </c>
      <c r="W156" s="199">
        <v>350</v>
      </c>
      <c r="X156" s="50"/>
      <c r="Y156" s="50"/>
      <c r="Z156" s="199">
        <v>42801</v>
      </c>
      <c r="AA156" s="50"/>
      <c r="AB156" s="50"/>
      <c r="AC156" s="199">
        <v>600</v>
      </c>
      <c r="AD156" s="50"/>
      <c r="AE156" s="199"/>
      <c r="AF156" s="193">
        <f t="shared" si="10"/>
        <v>804374</v>
      </c>
      <c r="AI156" s="57"/>
    </row>
    <row r="157" spans="1:35" s="56" customFormat="1" ht="18" customHeight="1">
      <c r="A157" s="119" t="s">
        <v>57</v>
      </c>
      <c r="B157" s="167">
        <v>396926</v>
      </c>
      <c r="C157" s="167">
        <v>33628</v>
      </c>
      <c r="D157" s="58"/>
      <c r="E157" s="171">
        <v>74372</v>
      </c>
      <c r="F157" s="171">
        <v>10549</v>
      </c>
      <c r="G157" s="171">
        <v>324</v>
      </c>
      <c r="H157" s="58"/>
      <c r="I157" s="58"/>
      <c r="J157" s="58"/>
      <c r="K157" s="58"/>
      <c r="L157" s="58"/>
      <c r="M157" s="199"/>
      <c r="N157" s="199">
        <v>5000</v>
      </c>
      <c r="O157" s="201"/>
      <c r="P157" s="199">
        <v>1080</v>
      </c>
      <c r="Q157" s="200">
        <v>73245</v>
      </c>
      <c r="R157" s="199">
        <v>735</v>
      </c>
      <c r="S157" s="199">
        <v>7507</v>
      </c>
      <c r="T157" s="201"/>
      <c r="U157" s="201"/>
      <c r="V157" s="199">
        <v>1920</v>
      </c>
      <c r="W157" s="199">
        <v>350</v>
      </c>
      <c r="X157" s="201"/>
      <c r="Y157" s="201"/>
      <c r="Z157" s="199">
        <v>29808</v>
      </c>
      <c r="AA157" s="201"/>
      <c r="AB157" s="201"/>
      <c r="AC157" s="199">
        <v>400</v>
      </c>
      <c r="AD157" s="201"/>
      <c r="AE157" s="199"/>
      <c r="AF157" s="193">
        <f t="shared" si="10"/>
        <v>635844</v>
      </c>
      <c r="AI157" s="57"/>
    </row>
    <row r="158" spans="1:35" s="56" customFormat="1" ht="18" customHeight="1">
      <c r="A158" s="119" t="s">
        <v>58</v>
      </c>
      <c r="B158" s="167">
        <v>598373</v>
      </c>
      <c r="C158" s="167">
        <v>46275</v>
      </c>
      <c r="D158" s="50"/>
      <c r="E158" s="171">
        <v>111354</v>
      </c>
      <c r="F158" s="171">
        <v>15794</v>
      </c>
      <c r="G158" s="171">
        <v>489</v>
      </c>
      <c r="H158" s="50"/>
      <c r="I158" s="50"/>
      <c r="J158" s="50"/>
      <c r="K158" s="50"/>
      <c r="L158" s="50"/>
      <c r="M158" s="199"/>
      <c r="N158" s="199">
        <v>8750</v>
      </c>
      <c r="O158" s="50"/>
      <c r="P158" s="199">
        <v>1890</v>
      </c>
      <c r="Q158" s="200">
        <v>56369</v>
      </c>
      <c r="R158" s="199">
        <v>945</v>
      </c>
      <c r="S158" s="199">
        <v>9351</v>
      </c>
      <c r="T158" s="50"/>
      <c r="U158" s="50"/>
      <c r="V158" s="199">
        <v>2040</v>
      </c>
      <c r="W158" s="199">
        <v>350</v>
      </c>
      <c r="X158" s="50"/>
      <c r="Y158" s="50"/>
      <c r="Z158" s="199">
        <v>45009</v>
      </c>
      <c r="AA158" s="50"/>
      <c r="AB158" s="50"/>
      <c r="AC158" s="199">
        <v>700</v>
      </c>
      <c r="AD158" s="50"/>
      <c r="AE158" s="199"/>
      <c r="AF158" s="193">
        <f t="shared" si="10"/>
        <v>897689</v>
      </c>
      <c r="AI158" s="57"/>
    </row>
    <row r="159" spans="1:35" s="56" customFormat="1" ht="18" customHeight="1">
      <c r="A159" s="119" t="s">
        <v>59</v>
      </c>
      <c r="B159" s="167">
        <v>385313</v>
      </c>
      <c r="C159" s="167">
        <v>31725</v>
      </c>
      <c r="D159" s="50"/>
      <c r="E159" s="171">
        <v>72038</v>
      </c>
      <c r="F159" s="171">
        <v>10217</v>
      </c>
      <c r="G159" s="171">
        <v>327</v>
      </c>
      <c r="H159" s="50"/>
      <c r="I159" s="50"/>
      <c r="J159" s="50"/>
      <c r="K159" s="50"/>
      <c r="L159" s="50"/>
      <c r="M159" s="199"/>
      <c r="N159" s="199">
        <v>5000</v>
      </c>
      <c r="O159" s="50"/>
      <c r="P159" s="199">
        <v>1080</v>
      </c>
      <c r="Q159" s="200">
        <v>44960</v>
      </c>
      <c r="R159" s="199">
        <v>735</v>
      </c>
      <c r="S159" s="199">
        <v>8036</v>
      </c>
      <c r="T159" s="50"/>
      <c r="U159" s="50"/>
      <c r="V159" s="199">
        <v>1920</v>
      </c>
      <c r="W159" s="199">
        <v>350</v>
      </c>
      <c r="X159" s="50"/>
      <c r="Y159" s="50"/>
      <c r="Z159" s="199">
        <v>29917</v>
      </c>
      <c r="AA159" s="50"/>
      <c r="AB159" s="50"/>
      <c r="AC159" s="199">
        <v>400</v>
      </c>
      <c r="AD159" s="50"/>
      <c r="AE159" s="199"/>
      <c r="AF159" s="193">
        <f t="shared" si="10"/>
        <v>592018</v>
      </c>
      <c r="AI159" s="57"/>
    </row>
    <row r="160" spans="1:35" s="56" customFormat="1" ht="18" customHeight="1">
      <c r="A160" s="119" t="s">
        <v>60</v>
      </c>
      <c r="B160" s="167">
        <v>245160</v>
      </c>
      <c r="C160" s="167">
        <v>19546</v>
      </c>
      <c r="D160" s="50"/>
      <c r="E160" s="171">
        <v>45724</v>
      </c>
      <c r="F160" s="171">
        <v>6485</v>
      </c>
      <c r="G160" s="171">
        <v>240</v>
      </c>
      <c r="H160" s="50"/>
      <c r="I160" s="50"/>
      <c r="J160" s="50"/>
      <c r="K160" s="50"/>
      <c r="L160" s="50"/>
      <c r="M160" s="199"/>
      <c r="N160" s="199">
        <v>2500</v>
      </c>
      <c r="O160" s="50"/>
      <c r="P160" s="199">
        <v>540</v>
      </c>
      <c r="Q160" s="200">
        <v>7194</v>
      </c>
      <c r="R160" s="199">
        <v>385</v>
      </c>
      <c r="S160" s="199">
        <v>9089</v>
      </c>
      <c r="T160" s="50"/>
      <c r="U160" s="50"/>
      <c r="V160" s="199">
        <v>1680</v>
      </c>
      <c r="W160" s="199">
        <v>350</v>
      </c>
      <c r="X160" s="50"/>
      <c r="Y160" s="50"/>
      <c r="Z160" s="199">
        <v>15066</v>
      </c>
      <c r="AA160" s="50"/>
      <c r="AB160" s="50"/>
      <c r="AC160" s="199">
        <v>200</v>
      </c>
      <c r="AD160" s="50"/>
      <c r="AE160" s="199"/>
      <c r="AF160" s="193">
        <f t="shared" si="10"/>
        <v>354159</v>
      </c>
      <c r="AI160" s="57"/>
    </row>
    <row r="161" spans="1:35" s="56" customFormat="1" ht="18" customHeight="1" thickBot="1">
      <c r="A161" s="141" t="s">
        <v>61</v>
      </c>
      <c r="B161" s="168">
        <v>242764</v>
      </c>
      <c r="C161" s="168">
        <v>20767</v>
      </c>
      <c r="D161" s="169"/>
      <c r="E161" s="172">
        <v>45521</v>
      </c>
      <c r="F161" s="172">
        <v>6457</v>
      </c>
      <c r="G161" s="172">
        <v>239</v>
      </c>
      <c r="H161" s="169"/>
      <c r="I161" s="169"/>
      <c r="J161" s="169"/>
      <c r="K161" s="169"/>
      <c r="L161" s="169"/>
      <c r="M161" s="203"/>
      <c r="N161" s="203">
        <v>3750</v>
      </c>
      <c r="O161" s="169"/>
      <c r="P161" s="203">
        <v>810</v>
      </c>
      <c r="Q161" s="204">
        <v>7634</v>
      </c>
      <c r="R161" s="203">
        <v>525</v>
      </c>
      <c r="S161" s="203">
        <v>8915</v>
      </c>
      <c r="T161" s="169"/>
      <c r="U161" s="169"/>
      <c r="V161" s="203">
        <v>1800</v>
      </c>
      <c r="W161" s="203">
        <v>350</v>
      </c>
      <c r="X161" s="169"/>
      <c r="Y161" s="169"/>
      <c r="Z161" s="203">
        <v>19569</v>
      </c>
      <c r="AA161" s="169"/>
      <c r="AB161" s="169"/>
      <c r="AC161" s="203">
        <v>300</v>
      </c>
      <c r="AD161" s="169"/>
      <c r="AE161" s="203"/>
      <c r="AF161" s="194">
        <f t="shared" si="10"/>
        <v>359401</v>
      </c>
      <c r="AI161" s="57"/>
    </row>
    <row r="162" spans="1:34" s="49" customFormat="1" ht="18" customHeight="1" thickBot="1">
      <c r="A162" s="120" t="s">
        <v>335</v>
      </c>
      <c r="B162" s="17">
        <f aca="true" t="shared" si="11" ref="B162:G162">SUM(B163:B164)</f>
        <v>1225500</v>
      </c>
      <c r="C162" s="17">
        <f t="shared" si="11"/>
        <v>100000</v>
      </c>
      <c r="D162" s="17">
        <f t="shared" si="11"/>
        <v>4500</v>
      </c>
      <c r="E162" s="17">
        <f t="shared" si="11"/>
        <v>214400</v>
      </c>
      <c r="F162" s="17">
        <f t="shared" si="11"/>
        <v>30600</v>
      </c>
      <c r="G162" s="17">
        <f t="shared" si="11"/>
        <v>620</v>
      </c>
      <c r="H162" s="17"/>
      <c r="I162" s="17"/>
      <c r="J162" s="17"/>
      <c r="K162" s="17"/>
      <c r="L162" s="17"/>
      <c r="M162" s="205"/>
      <c r="N162" s="205">
        <f>SUM(N163:N164)</f>
        <v>9980</v>
      </c>
      <c r="O162" s="205"/>
      <c r="P162" s="205">
        <f>SUM(P163:P164)</f>
        <v>1350</v>
      </c>
      <c r="Q162" s="205">
        <f>SUM(Q163:Q164)</f>
        <v>56300</v>
      </c>
      <c r="R162" s="205">
        <f>SUM(R163:R164)</f>
        <v>1100</v>
      </c>
      <c r="S162" s="205">
        <f>SUM(S163:S164)</f>
        <v>9500</v>
      </c>
      <c r="T162" s="205">
        <f>SUM(T163:T164)</f>
        <v>1000</v>
      </c>
      <c r="U162" s="205"/>
      <c r="V162" s="205">
        <f>SUM(V163:V164)</f>
        <v>2400</v>
      </c>
      <c r="W162" s="205">
        <f>SUM(W163:W164)</f>
        <v>300</v>
      </c>
      <c r="X162" s="205"/>
      <c r="Y162" s="205">
        <f>SUM(Y163:Y164)</f>
        <v>150</v>
      </c>
      <c r="Z162" s="205">
        <f>SUM(Z163:Z164)</f>
        <v>79303</v>
      </c>
      <c r="AA162" s="205"/>
      <c r="AB162" s="205"/>
      <c r="AC162" s="205">
        <f>SUM(AC163:AC164)</f>
        <v>200</v>
      </c>
      <c r="AD162" s="205">
        <f>SUM(AD163:AD164)</f>
        <v>200</v>
      </c>
      <c r="AE162" s="205">
        <f>SUM(AE163:AE164)</f>
        <v>5000</v>
      </c>
      <c r="AF162" s="191">
        <f t="shared" si="10"/>
        <v>1742403</v>
      </c>
      <c r="AG162" s="51"/>
      <c r="AH162" s="51"/>
    </row>
    <row r="163" spans="1:34" s="49" customFormat="1" ht="25.5">
      <c r="A163" s="123" t="s">
        <v>76</v>
      </c>
      <c r="B163" s="53">
        <v>70000</v>
      </c>
      <c r="C163" s="53">
        <v>5000</v>
      </c>
      <c r="D163" s="53"/>
      <c r="E163" s="53">
        <v>12100</v>
      </c>
      <c r="F163" s="53">
        <v>1700</v>
      </c>
      <c r="G163" s="53">
        <v>120</v>
      </c>
      <c r="H163" s="53"/>
      <c r="I163" s="53"/>
      <c r="J163" s="53"/>
      <c r="K163" s="53"/>
      <c r="L163" s="53"/>
      <c r="M163" s="59"/>
      <c r="N163" s="59">
        <v>700</v>
      </c>
      <c r="O163" s="59"/>
      <c r="P163" s="59">
        <v>350</v>
      </c>
      <c r="Q163" s="59">
        <v>1800</v>
      </c>
      <c r="R163" s="59">
        <v>100</v>
      </c>
      <c r="S163" s="59">
        <v>500</v>
      </c>
      <c r="T163" s="59"/>
      <c r="U163" s="59"/>
      <c r="V163" s="59">
        <v>200</v>
      </c>
      <c r="W163" s="59">
        <v>100</v>
      </c>
      <c r="X163" s="59"/>
      <c r="Y163" s="59">
        <v>150</v>
      </c>
      <c r="Z163" s="59">
        <v>5400</v>
      </c>
      <c r="AA163" s="59"/>
      <c r="AB163" s="59"/>
      <c r="AC163" s="59">
        <v>200</v>
      </c>
      <c r="AD163" s="59">
        <v>200</v>
      </c>
      <c r="AE163" s="59"/>
      <c r="AF163" s="192">
        <f t="shared" si="10"/>
        <v>98620</v>
      </c>
      <c r="AG163" s="51"/>
      <c r="AH163" s="51"/>
    </row>
    <row r="164" spans="1:34" s="49" customFormat="1" ht="18" customHeight="1" thickBot="1">
      <c r="A164" s="142" t="s">
        <v>191</v>
      </c>
      <c r="B164" s="62">
        <v>1155500</v>
      </c>
      <c r="C164" s="62">
        <v>95000</v>
      </c>
      <c r="D164" s="62">
        <v>4500</v>
      </c>
      <c r="E164" s="62">
        <v>202300</v>
      </c>
      <c r="F164" s="62">
        <v>28900</v>
      </c>
      <c r="G164" s="62">
        <v>500</v>
      </c>
      <c r="H164" s="62"/>
      <c r="I164" s="62"/>
      <c r="J164" s="62"/>
      <c r="K164" s="62"/>
      <c r="L164" s="62"/>
      <c r="M164" s="206"/>
      <c r="N164" s="206">
        <v>9280</v>
      </c>
      <c r="O164" s="206"/>
      <c r="P164" s="206">
        <v>1000</v>
      </c>
      <c r="Q164" s="206">
        <v>54500</v>
      </c>
      <c r="R164" s="206">
        <v>1000</v>
      </c>
      <c r="S164" s="206">
        <v>9000</v>
      </c>
      <c r="T164" s="206">
        <v>1000</v>
      </c>
      <c r="U164" s="206"/>
      <c r="V164" s="206">
        <v>2200</v>
      </c>
      <c r="W164" s="206">
        <v>200</v>
      </c>
      <c r="X164" s="206"/>
      <c r="Y164" s="206"/>
      <c r="Z164" s="206">
        <f>71500+2403</f>
        <v>73903</v>
      </c>
      <c r="AA164" s="206"/>
      <c r="AB164" s="206"/>
      <c r="AC164" s="206"/>
      <c r="AD164" s="206"/>
      <c r="AE164" s="206">
        <v>5000</v>
      </c>
      <c r="AF164" s="194">
        <f t="shared" si="10"/>
        <v>1643783</v>
      </c>
      <c r="AG164" s="51"/>
      <c r="AH164" s="51"/>
    </row>
    <row r="165" spans="1:32" s="49" customFormat="1" ht="18" customHeight="1" thickBot="1">
      <c r="A165" s="112" t="s">
        <v>271</v>
      </c>
      <c r="B165" s="55">
        <f aca="true" t="shared" si="12" ref="B165:G165">SUM(B166:B185)</f>
        <v>34091000</v>
      </c>
      <c r="C165" s="55">
        <f t="shared" si="12"/>
        <v>2820200</v>
      </c>
      <c r="D165" s="55">
        <f t="shared" si="12"/>
        <v>18800</v>
      </c>
      <c r="E165" s="55">
        <f t="shared" si="12"/>
        <v>6387400</v>
      </c>
      <c r="F165" s="55">
        <f t="shared" si="12"/>
        <v>800600</v>
      </c>
      <c r="G165" s="55">
        <f t="shared" si="12"/>
        <v>94500</v>
      </c>
      <c r="H165" s="55"/>
      <c r="I165" s="55"/>
      <c r="J165" s="55"/>
      <c r="K165" s="55"/>
      <c r="L165" s="55"/>
      <c r="M165" s="195">
        <f>SUM(M166:M185)</f>
        <v>12000</v>
      </c>
      <c r="N165" s="195">
        <f>SUM(N166:N185)</f>
        <v>408000</v>
      </c>
      <c r="O165" s="195"/>
      <c r="P165" s="195">
        <f aca="true" t="shared" si="13" ref="P165:W165">SUM(P166:P185)</f>
        <v>81200</v>
      </c>
      <c r="Q165" s="195">
        <f t="shared" si="13"/>
        <v>2730000</v>
      </c>
      <c r="R165" s="195">
        <f t="shared" si="13"/>
        <v>43400</v>
      </c>
      <c r="S165" s="195">
        <f t="shared" si="13"/>
        <v>270200</v>
      </c>
      <c r="T165" s="195">
        <f t="shared" si="13"/>
        <v>82250</v>
      </c>
      <c r="U165" s="195">
        <f t="shared" si="13"/>
        <v>14290</v>
      </c>
      <c r="V165" s="195">
        <f t="shared" si="13"/>
        <v>146800</v>
      </c>
      <c r="W165" s="195">
        <f t="shared" si="13"/>
        <v>30300</v>
      </c>
      <c r="X165" s="195"/>
      <c r="Y165" s="195">
        <f>SUM(Y166:Y185)</f>
        <v>41150</v>
      </c>
      <c r="Z165" s="195">
        <f>SUM(Z166:Z185)</f>
        <v>2523525</v>
      </c>
      <c r="AA165" s="195"/>
      <c r="AB165" s="195">
        <f>SUM(AB166:AB185)</f>
        <v>29900</v>
      </c>
      <c r="AC165" s="195">
        <f>SUM(AC166:AC185)</f>
        <v>67710</v>
      </c>
      <c r="AD165" s="195">
        <f>SUM(AD166:AD185)</f>
        <v>79500</v>
      </c>
      <c r="AE165" s="195">
        <f>SUM(AE166:AE185)</f>
        <v>5000</v>
      </c>
      <c r="AF165" s="191">
        <f t="shared" si="10"/>
        <v>50777725</v>
      </c>
    </row>
    <row r="166" spans="1:32" s="49" customFormat="1" ht="18" customHeight="1">
      <c r="A166" s="113" t="s">
        <v>207</v>
      </c>
      <c r="B166" s="53">
        <v>2050000</v>
      </c>
      <c r="C166" s="53">
        <v>180000</v>
      </c>
      <c r="D166" s="53">
        <v>2000</v>
      </c>
      <c r="E166" s="53">
        <v>386100</v>
      </c>
      <c r="F166" s="53">
        <v>48400</v>
      </c>
      <c r="G166" s="53">
        <v>4000</v>
      </c>
      <c r="H166" s="53"/>
      <c r="I166" s="53"/>
      <c r="J166" s="53"/>
      <c r="K166" s="53"/>
      <c r="L166" s="53"/>
      <c r="M166" s="59">
        <v>5000</v>
      </c>
      <c r="N166" s="59">
        <v>10000</v>
      </c>
      <c r="O166" s="59"/>
      <c r="P166" s="59">
        <v>4000</v>
      </c>
      <c r="Q166" s="59">
        <v>158000</v>
      </c>
      <c r="R166" s="59">
        <v>2000</v>
      </c>
      <c r="S166" s="59">
        <v>50000</v>
      </c>
      <c r="T166" s="59">
        <v>3500</v>
      </c>
      <c r="U166" s="59">
        <v>1200</v>
      </c>
      <c r="V166" s="59">
        <v>9000</v>
      </c>
      <c r="W166" s="59">
        <v>2000</v>
      </c>
      <c r="X166" s="59"/>
      <c r="Y166" s="59">
        <v>2000</v>
      </c>
      <c r="Z166" s="59">
        <f>130000+26433</f>
        <v>156433</v>
      </c>
      <c r="AA166" s="59"/>
      <c r="AB166" s="59">
        <v>1000</v>
      </c>
      <c r="AC166" s="59">
        <v>4000</v>
      </c>
      <c r="AD166" s="59">
        <v>5000</v>
      </c>
      <c r="AE166" s="59"/>
      <c r="AF166" s="192">
        <f t="shared" si="10"/>
        <v>3083633</v>
      </c>
    </row>
    <row r="167" spans="1:32" s="49" customFormat="1" ht="18" customHeight="1">
      <c r="A167" s="114" t="s">
        <v>208</v>
      </c>
      <c r="B167" s="54">
        <v>1600000</v>
      </c>
      <c r="C167" s="54">
        <v>136000</v>
      </c>
      <c r="D167" s="54"/>
      <c r="E167" s="54">
        <v>300300</v>
      </c>
      <c r="F167" s="54">
        <v>37600</v>
      </c>
      <c r="G167" s="54">
        <v>4000</v>
      </c>
      <c r="H167" s="54"/>
      <c r="I167" s="54"/>
      <c r="J167" s="54"/>
      <c r="K167" s="54"/>
      <c r="L167" s="54"/>
      <c r="M167" s="50">
        <v>4000</v>
      </c>
      <c r="N167" s="50">
        <v>8000</v>
      </c>
      <c r="O167" s="50"/>
      <c r="P167" s="50">
        <v>2000</v>
      </c>
      <c r="Q167" s="50">
        <v>114000</v>
      </c>
      <c r="R167" s="50">
        <v>1500</v>
      </c>
      <c r="S167" s="50">
        <v>7500</v>
      </c>
      <c r="T167" s="50">
        <v>1500</v>
      </c>
      <c r="U167" s="50"/>
      <c r="V167" s="50">
        <v>8000</v>
      </c>
      <c r="W167" s="50">
        <v>1000</v>
      </c>
      <c r="X167" s="50"/>
      <c r="Y167" s="50">
        <v>1500</v>
      </c>
      <c r="Z167" s="50">
        <f>89000+32040</f>
        <v>121040</v>
      </c>
      <c r="AA167" s="50"/>
      <c r="AB167" s="50">
        <v>1000</v>
      </c>
      <c r="AC167" s="50">
        <v>4210</v>
      </c>
      <c r="AD167" s="50">
        <v>4000</v>
      </c>
      <c r="AE167" s="50">
        <v>5000</v>
      </c>
      <c r="AF167" s="193">
        <f t="shared" si="10"/>
        <v>2362150</v>
      </c>
    </row>
    <row r="168" spans="1:32" s="49" customFormat="1" ht="18" customHeight="1">
      <c r="A168" s="114" t="s">
        <v>209</v>
      </c>
      <c r="B168" s="54">
        <v>1530000</v>
      </c>
      <c r="C168" s="54">
        <v>127000</v>
      </c>
      <c r="D168" s="54">
        <v>1000</v>
      </c>
      <c r="E168" s="54">
        <v>286600</v>
      </c>
      <c r="F168" s="54">
        <v>35900</v>
      </c>
      <c r="G168" s="54">
        <v>6000</v>
      </c>
      <c r="H168" s="54"/>
      <c r="I168" s="54"/>
      <c r="J168" s="54"/>
      <c r="K168" s="54"/>
      <c r="L168" s="54"/>
      <c r="M168" s="50"/>
      <c r="N168" s="50">
        <v>18000</v>
      </c>
      <c r="O168" s="50"/>
      <c r="P168" s="50">
        <v>4000</v>
      </c>
      <c r="Q168" s="50">
        <v>86000</v>
      </c>
      <c r="R168" s="50">
        <v>2000</v>
      </c>
      <c r="S168" s="50">
        <v>10000</v>
      </c>
      <c r="T168" s="50">
        <v>1400</v>
      </c>
      <c r="U168" s="50"/>
      <c r="V168" s="50">
        <v>9000</v>
      </c>
      <c r="W168" s="50">
        <v>1000</v>
      </c>
      <c r="X168" s="50"/>
      <c r="Y168" s="50">
        <v>900</v>
      </c>
      <c r="Z168" s="50">
        <f>94000+801</f>
        <v>94801</v>
      </c>
      <c r="AA168" s="50"/>
      <c r="AB168" s="50">
        <v>2000</v>
      </c>
      <c r="AC168" s="50">
        <v>4000</v>
      </c>
      <c r="AD168" s="50">
        <v>5000</v>
      </c>
      <c r="AE168" s="50"/>
      <c r="AF168" s="193">
        <f t="shared" si="10"/>
        <v>2224601</v>
      </c>
    </row>
    <row r="169" spans="1:32" s="49" customFormat="1" ht="18" customHeight="1">
      <c r="A169" s="114" t="s">
        <v>353</v>
      </c>
      <c r="B169" s="54">
        <v>509000</v>
      </c>
      <c r="C169" s="54">
        <v>41000</v>
      </c>
      <c r="D169" s="54"/>
      <c r="E169" s="54">
        <v>95100</v>
      </c>
      <c r="F169" s="54">
        <v>11900</v>
      </c>
      <c r="G169" s="54">
        <v>1000</v>
      </c>
      <c r="H169" s="54"/>
      <c r="I169" s="54"/>
      <c r="J169" s="54"/>
      <c r="K169" s="54"/>
      <c r="L169" s="54"/>
      <c r="M169" s="50"/>
      <c r="N169" s="50">
        <v>2000</v>
      </c>
      <c r="O169" s="50"/>
      <c r="P169" s="50">
        <v>1200</v>
      </c>
      <c r="Q169" s="50">
        <v>24000</v>
      </c>
      <c r="R169" s="50">
        <v>500</v>
      </c>
      <c r="S169" s="50">
        <v>7000</v>
      </c>
      <c r="T169" s="50"/>
      <c r="U169" s="50"/>
      <c r="V169" s="50">
        <v>2500</v>
      </c>
      <c r="W169" s="50">
        <v>400</v>
      </c>
      <c r="X169" s="50"/>
      <c r="Y169" s="50"/>
      <c r="Z169" s="50">
        <f>33000+16020</f>
        <v>49020</v>
      </c>
      <c r="AA169" s="50"/>
      <c r="AB169" s="50"/>
      <c r="AC169" s="50">
        <v>1000</v>
      </c>
      <c r="AD169" s="50">
        <v>2000</v>
      </c>
      <c r="AE169" s="50"/>
      <c r="AF169" s="193">
        <f t="shared" si="10"/>
        <v>747620</v>
      </c>
    </row>
    <row r="170" spans="1:32" s="49" customFormat="1" ht="18" customHeight="1">
      <c r="A170" s="114" t="s">
        <v>210</v>
      </c>
      <c r="B170" s="54">
        <v>2838000</v>
      </c>
      <c r="C170" s="54">
        <v>226000</v>
      </c>
      <c r="D170" s="54">
        <v>2000</v>
      </c>
      <c r="E170" s="54">
        <v>530800</v>
      </c>
      <c r="F170" s="54">
        <v>66600</v>
      </c>
      <c r="G170" s="54">
        <v>8000</v>
      </c>
      <c r="H170" s="54"/>
      <c r="I170" s="54"/>
      <c r="J170" s="54"/>
      <c r="K170" s="54"/>
      <c r="L170" s="54"/>
      <c r="M170" s="50"/>
      <c r="N170" s="50">
        <v>31000</v>
      </c>
      <c r="O170" s="50"/>
      <c r="P170" s="50">
        <v>5000</v>
      </c>
      <c r="Q170" s="50">
        <v>410000</v>
      </c>
      <c r="R170" s="50">
        <v>2000</v>
      </c>
      <c r="S170" s="50">
        <v>14800</v>
      </c>
      <c r="T170" s="50">
        <v>1250</v>
      </c>
      <c r="U170" s="50">
        <v>3600</v>
      </c>
      <c r="V170" s="50">
        <v>9600</v>
      </c>
      <c r="W170" s="50">
        <v>2000</v>
      </c>
      <c r="X170" s="50"/>
      <c r="Y170" s="50">
        <v>4500</v>
      </c>
      <c r="Z170" s="50">
        <f>177000+48861</f>
        <v>225861</v>
      </c>
      <c r="AA170" s="50"/>
      <c r="AB170" s="50">
        <v>2000</v>
      </c>
      <c r="AC170" s="50">
        <v>7000</v>
      </c>
      <c r="AD170" s="50">
        <v>5000</v>
      </c>
      <c r="AE170" s="50"/>
      <c r="AF170" s="193">
        <f t="shared" si="10"/>
        <v>4395011</v>
      </c>
    </row>
    <row r="171" spans="1:32" s="49" customFormat="1" ht="18" customHeight="1">
      <c r="A171" s="114" t="s">
        <v>354</v>
      </c>
      <c r="B171" s="54">
        <v>1077000</v>
      </c>
      <c r="C171" s="54">
        <v>91000</v>
      </c>
      <c r="D171" s="54">
        <v>2000</v>
      </c>
      <c r="E171" s="54">
        <v>202500</v>
      </c>
      <c r="F171" s="54">
        <v>25400</v>
      </c>
      <c r="G171" s="54">
        <v>2500</v>
      </c>
      <c r="H171" s="54"/>
      <c r="I171" s="54"/>
      <c r="J171" s="54"/>
      <c r="K171" s="54"/>
      <c r="L171" s="54"/>
      <c r="M171" s="50"/>
      <c r="N171" s="50">
        <v>12000</v>
      </c>
      <c r="O171" s="50"/>
      <c r="P171" s="50">
        <v>3000</v>
      </c>
      <c r="Q171" s="50">
        <v>82000</v>
      </c>
      <c r="R171" s="50">
        <v>1500</v>
      </c>
      <c r="S171" s="50">
        <v>7800</v>
      </c>
      <c r="T171" s="50">
        <v>2500</v>
      </c>
      <c r="U171" s="50"/>
      <c r="V171" s="50">
        <v>3200</v>
      </c>
      <c r="W171" s="50">
        <v>1000</v>
      </c>
      <c r="X171" s="50"/>
      <c r="Y171" s="50">
        <v>3000</v>
      </c>
      <c r="Z171" s="50">
        <v>69000</v>
      </c>
      <c r="AA171" s="50"/>
      <c r="AB171" s="50">
        <v>300</v>
      </c>
      <c r="AC171" s="50">
        <v>1500</v>
      </c>
      <c r="AD171" s="50">
        <v>2000</v>
      </c>
      <c r="AE171" s="50"/>
      <c r="AF171" s="193">
        <f t="shared" si="10"/>
        <v>1589200</v>
      </c>
    </row>
    <row r="172" spans="1:32" s="49" customFormat="1" ht="18" customHeight="1">
      <c r="A172" s="114" t="s">
        <v>216</v>
      </c>
      <c r="B172" s="54">
        <v>2150000</v>
      </c>
      <c r="C172" s="54">
        <v>175000</v>
      </c>
      <c r="D172" s="54"/>
      <c r="E172" s="54">
        <v>402200</v>
      </c>
      <c r="F172" s="54">
        <v>50400</v>
      </c>
      <c r="G172" s="54">
        <v>5000</v>
      </c>
      <c r="H172" s="54"/>
      <c r="I172" s="54"/>
      <c r="J172" s="54"/>
      <c r="K172" s="54"/>
      <c r="L172" s="54"/>
      <c r="M172" s="50"/>
      <c r="N172" s="50">
        <v>13000</v>
      </c>
      <c r="O172" s="50"/>
      <c r="P172" s="50">
        <v>5000</v>
      </c>
      <c r="Q172" s="50">
        <v>150000</v>
      </c>
      <c r="R172" s="50">
        <v>2400</v>
      </c>
      <c r="S172" s="50">
        <v>9500</v>
      </c>
      <c r="T172" s="50">
        <v>8600</v>
      </c>
      <c r="U172" s="50">
        <v>5000</v>
      </c>
      <c r="V172" s="50">
        <v>7000</v>
      </c>
      <c r="W172" s="50">
        <v>1600</v>
      </c>
      <c r="X172" s="50"/>
      <c r="Y172" s="50">
        <v>800</v>
      </c>
      <c r="Z172" s="50">
        <f>144000+5607</f>
        <v>149607</v>
      </c>
      <c r="AA172" s="50"/>
      <c r="AB172" s="50">
        <v>1500</v>
      </c>
      <c r="AC172" s="50">
        <v>2500</v>
      </c>
      <c r="AD172" s="50">
        <v>4000</v>
      </c>
      <c r="AE172" s="50"/>
      <c r="AF172" s="193">
        <f t="shared" si="10"/>
        <v>3143107</v>
      </c>
    </row>
    <row r="173" spans="1:35" s="56" customFormat="1" ht="18" customHeight="1">
      <c r="A173" s="114" t="s">
        <v>217</v>
      </c>
      <c r="B173" s="50">
        <v>2111000</v>
      </c>
      <c r="C173" s="50">
        <v>181000</v>
      </c>
      <c r="D173" s="50">
        <v>2000</v>
      </c>
      <c r="E173" s="50">
        <v>396700</v>
      </c>
      <c r="F173" s="50">
        <v>49700</v>
      </c>
      <c r="G173" s="50">
        <v>3000</v>
      </c>
      <c r="H173" s="50"/>
      <c r="I173" s="50"/>
      <c r="J173" s="50"/>
      <c r="K173" s="50"/>
      <c r="L173" s="50"/>
      <c r="M173" s="50"/>
      <c r="N173" s="50">
        <v>13000</v>
      </c>
      <c r="O173" s="50"/>
      <c r="P173" s="50">
        <v>5000</v>
      </c>
      <c r="Q173" s="50">
        <v>205000</v>
      </c>
      <c r="R173" s="50">
        <v>3000</v>
      </c>
      <c r="S173" s="50">
        <v>12000</v>
      </c>
      <c r="T173" s="50">
        <v>7000</v>
      </c>
      <c r="U173" s="50"/>
      <c r="V173" s="50">
        <v>9000</v>
      </c>
      <c r="W173" s="50">
        <v>3000</v>
      </c>
      <c r="X173" s="50"/>
      <c r="Y173" s="50">
        <v>4000</v>
      </c>
      <c r="Z173" s="50">
        <f>108000+2403</f>
        <v>110403</v>
      </c>
      <c r="AA173" s="50"/>
      <c r="AB173" s="50">
        <v>2000</v>
      </c>
      <c r="AC173" s="50">
        <v>5000</v>
      </c>
      <c r="AD173" s="50">
        <v>7000</v>
      </c>
      <c r="AE173" s="50"/>
      <c r="AF173" s="193">
        <f t="shared" si="10"/>
        <v>3128803</v>
      </c>
      <c r="AI173" s="57"/>
    </row>
    <row r="174" spans="1:35" s="56" customFormat="1" ht="18" customHeight="1">
      <c r="A174" s="114" t="s">
        <v>211</v>
      </c>
      <c r="B174" s="58">
        <v>2250000</v>
      </c>
      <c r="C174" s="58">
        <v>184000</v>
      </c>
      <c r="D174" s="58"/>
      <c r="E174" s="58">
        <v>421000</v>
      </c>
      <c r="F174" s="58">
        <v>52800</v>
      </c>
      <c r="G174" s="58">
        <v>4000</v>
      </c>
      <c r="H174" s="58"/>
      <c r="I174" s="58"/>
      <c r="J174" s="58"/>
      <c r="K174" s="58"/>
      <c r="L174" s="58"/>
      <c r="M174" s="201">
        <v>3000</v>
      </c>
      <c r="N174" s="201">
        <v>14000</v>
      </c>
      <c r="O174" s="201"/>
      <c r="P174" s="201">
        <v>3000</v>
      </c>
      <c r="Q174" s="201">
        <v>118000</v>
      </c>
      <c r="R174" s="201">
        <v>3500</v>
      </c>
      <c r="S174" s="201">
        <v>12500</v>
      </c>
      <c r="T174" s="201">
        <v>4200</v>
      </c>
      <c r="U174" s="201"/>
      <c r="V174" s="201">
        <v>7200</v>
      </c>
      <c r="W174" s="201">
        <v>2500</v>
      </c>
      <c r="X174" s="201"/>
      <c r="Y174" s="201">
        <v>3500</v>
      </c>
      <c r="Z174" s="201">
        <f>140000+28836</f>
        <v>168836</v>
      </c>
      <c r="AA174" s="201"/>
      <c r="AB174" s="201">
        <v>2500</v>
      </c>
      <c r="AC174" s="201">
        <v>3000</v>
      </c>
      <c r="AD174" s="201">
        <v>3000</v>
      </c>
      <c r="AE174" s="201"/>
      <c r="AF174" s="193">
        <f t="shared" si="10"/>
        <v>3260536</v>
      </c>
      <c r="AI174" s="57"/>
    </row>
    <row r="175" spans="1:35" s="56" customFormat="1" ht="18" customHeight="1">
      <c r="A175" s="114" t="s">
        <v>218</v>
      </c>
      <c r="B175" s="50">
        <v>2250000</v>
      </c>
      <c r="C175" s="50">
        <v>184000</v>
      </c>
      <c r="D175" s="50"/>
      <c r="E175" s="50">
        <v>421000</v>
      </c>
      <c r="F175" s="50">
        <v>52800</v>
      </c>
      <c r="G175" s="50">
        <v>8000</v>
      </c>
      <c r="H175" s="50"/>
      <c r="I175" s="50"/>
      <c r="J175" s="50"/>
      <c r="K175" s="50"/>
      <c r="L175" s="50"/>
      <c r="M175" s="50"/>
      <c r="N175" s="50">
        <v>18000</v>
      </c>
      <c r="O175" s="50"/>
      <c r="P175" s="50">
        <v>8000</v>
      </c>
      <c r="Q175" s="50">
        <v>134000</v>
      </c>
      <c r="R175" s="50">
        <v>3000</v>
      </c>
      <c r="S175" s="50">
        <v>16000</v>
      </c>
      <c r="T175" s="50">
        <v>12500</v>
      </c>
      <c r="U175" s="50"/>
      <c r="V175" s="50">
        <v>9000</v>
      </c>
      <c r="W175" s="50">
        <v>1000</v>
      </c>
      <c r="X175" s="50"/>
      <c r="Y175" s="50">
        <v>2200</v>
      </c>
      <c r="Z175" s="50">
        <f>145000+31239</f>
        <v>176239</v>
      </c>
      <c r="AA175" s="50"/>
      <c r="AB175" s="50">
        <v>3000</v>
      </c>
      <c r="AC175" s="50">
        <v>5000</v>
      </c>
      <c r="AD175" s="50">
        <v>5000</v>
      </c>
      <c r="AE175" s="50"/>
      <c r="AF175" s="193">
        <f t="shared" si="10"/>
        <v>3308739</v>
      </c>
      <c r="AI175" s="57"/>
    </row>
    <row r="176" spans="1:35" s="56" customFormat="1" ht="18" customHeight="1">
      <c r="A176" s="114" t="s">
        <v>219</v>
      </c>
      <c r="B176" s="50">
        <v>2890000</v>
      </c>
      <c r="C176" s="50">
        <v>234000</v>
      </c>
      <c r="D176" s="50">
        <v>2300</v>
      </c>
      <c r="E176" s="50">
        <v>541000</v>
      </c>
      <c r="F176" s="50">
        <v>67800</v>
      </c>
      <c r="G176" s="50">
        <v>8000</v>
      </c>
      <c r="H176" s="50"/>
      <c r="I176" s="50"/>
      <c r="J176" s="50"/>
      <c r="K176" s="50"/>
      <c r="L176" s="50"/>
      <c r="M176" s="50"/>
      <c r="N176" s="50">
        <v>35000</v>
      </c>
      <c r="O176" s="50"/>
      <c r="P176" s="50">
        <v>8000</v>
      </c>
      <c r="Q176" s="50">
        <v>255000</v>
      </c>
      <c r="R176" s="50">
        <v>3000</v>
      </c>
      <c r="S176" s="50">
        <v>14000</v>
      </c>
      <c r="T176" s="50">
        <v>5000</v>
      </c>
      <c r="U176" s="50">
        <v>1500</v>
      </c>
      <c r="V176" s="50">
        <v>9000</v>
      </c>
      <c r="W176" s="50">
        <v>1500</v>
      </c>
      <c r="X176" s="50"/>
      <c r="Y176" s="50">
        <v>3000</v>
      </c>
      <c r="Z176" s="50">
        <f>186000+8811</f>
        <v>194811</v>
      </c>
      <c r="AA176" s="50"/>
      <c r="AB176" s="50">
        <v>3000</v>
      </c>
      <c r="AC176" s="50">
        <v>6000</v>
      </c>
      <c r="AD176" s="50">
        <v>7000</v>
      </c>
      <c r="AE176" s="50"/>
      <c r="AF176" s="193">
        <f t="shared" si="10"/>
        <v>4288911</v>
      </c>
      <c r="AI176" s="57"/>
    </row>
    <row r="177" spans="1:35" s="56" customFormat="1" ht="18" customHeight="1">
      <c r="A177" s="114" t="s">
        <v>220</v>
      </c>
      <c r="B177" s="50">
        <v>1110000</v>
      </c>
      <c r="C177" s="50">
        <v>105000</v>
      </c>
      <c r="D177" s="50">
        <v>2000</v>
      </c>
      <c r="E177" s="50">
        <v>210200</v>
      </c>
      <c r="F177" s="50">
        <v>26300</v>
      </c>
      <c r="G177" s="50">
        <v>5000</v>
      </c>
      <c r="H177" s="50"/>
      <c r="I177" s="50"/>
      <c r="J177" s="50"/>
      <c r="K177" s="50"/>
      <c r="L177" s="50"/>
      <c r="M177" s="50"/>
      <c r="N177" s="50">
        <v>117000</v>
      </c>
      <c r="O177" s="50"/>
      <c r="P177" s="50">
        <v>4000</v>
      </c>
      <c r="Q177" s="50">
        <v>21000</v>
      </c>
      <c r="R177" s="50">
        <v>1300</v>
      </c>
      <c r="S177" s="50">
        <v>9000</v>
      </c>
      <c r="T177" s="50">
        <v>3000</v>
      </c>
      <c r="U177" s="50"/>
      <c r="V177" s="50">
        <v>8000</v>
      </c>
      <c r="W177" s="50">
        <v>500</v>
      </c>
      <c r="X177" s="50"/>
      <c r="Y177" s="50">
        <v>1800</v>
      </c>
      <c r="Z177" s="50">
        <f>70000+30438</f>
        <v>100438</v>
      </c>
      <c r="AA177" s="50"/>
      <c r="AB177" s="50">
        <v>1000</v>
      </c>
      <c r="AC177" s="50">
        <v>1000</v>
      </c>
      <c r="AD177" s="50">
        <v>3000</v>
      </c>
      <c r="AE177" s="50"/>
      <c r="AF177" s="193">
        <f t="shared" si="10"/>
        <v>1729538</v>
      </c>
      <c r="AI177" s="57"/>
    </row>
    <row r="178" spans="1:35" s="56" customFormat="1" ht="18" customHeight="1">
      <c r="A178" s="114" t="s">
        <v>221</v>
      </c>
      <c r="B178" s="50">
        <v>940000</v>
      </c>
      <c r="C178" s="50">
        <v>78000</v>
      </c>
      <c r="D178" s="50"/>
      <c r="E178" s="50">
        <v>176100</v>
      </c>
      <c r="F178" s="50">
        <v>22100</v>
      </c>
      <c r="G178" s="50">
        <v>2500</v>
      </c>
      <c r="H178" s="50"/>
      <c r="I178" s="50"/>
      <c r="J178" s="50"/>
      <c r="K178" s="50"/>
      <c r="L178" s="50"/>
      <c r="M178" s="50"/>
      <c r="N178" s="50">
        <v>8000</v>
      </c>
      <c r="O178" s="50"/>
      <c r="P178" s="50">
        <v>2000</v>
      </c>
      <c r="Q178" s="50">
        <v>87000</v>
      </c>
      <c r="R178" s="50">
        <v>1000</v>
      </c>
      <c r="S178" s="50">
        <v>6400</v>
      </c>
      <c r="T178" s="50">
        <v>2900</v>
      </c>
      <c r="U178" s="50"/>
      <c r="V178" s="50">
        <v>5600</v>
      </c>
      <c r="W178" s="50">
        <v>1000</v>
      </c>
      <c r="X178" s="50"/>
      <c r="Y178" s="50">
        <v>1200</v>
      </c>
      <c r="Z178" s="50">
        <f>57000+15219</f>
        <v>72219</v>
      </c>
      <c r="AA178" s="50"/>
      <c r="AB178" s="50">
        <v>1000</v>
      </c>
      <c r="AC178" s="50">
        <v>2500</v>
      </c>
      <c r="AD178" s="50">
        <v>2500</v>
      </c>
      <c r="AE178" s="50"/>
      <c r="AF178" s="193">
        <f t="shared" si="10"/>
        <v>1412019</v>
      </c>
      <c r="AI178" s="57"/>
    </row>
    <row r="179" spans="1:35" s="56" customFormat="1" ht="18" customHeight="1">
      <c r="A179" s="114" t="s">
        <v>212</v>
      </c>
      <c r="B179" s="50">
        <v>1320000</v>
      </c>
      <c r="C179" s="50">
        <v>110000</v>
      </c>
      <c r="D179" s="50">
        <v>2000</v>
      </c>
      <c r="E179" s="50">
        <v>247300</v>
      </c>
      <c r="F179" s="50">
        <v>31000</v>
      </c>
      <c r="G179" s="50">
        <v>4000</v>
      </c>
      <c r="H179" s="50"/>
      <c r="I179" s="50"/>
      <c r="J179" s="50"/>
      <c r="K179" s="50"/>
      <c r="L179" s="50"/>
      <c r="M179" s="50"/>
      <c r="N179" s="50">
        <v>12000</v>
      </c>
      <c r="O179" s="50"/>
      <c r="P179" s="50">
        <v>4000</v>
      </c>
      <c r="Q179" s="50">
        <v>84000</v>
      </c>
      <c r="R179" s="50">
        <v>4000</v>
      </c>
      <c r="S179" s="50">
        <v>7000</v>
      </c>
      <c r="T179" s="50">
        <v>7000</v>
      </c>
      <c r="U179" s="50"/>
      <c r="V179" s="50">
        <v>6500</v>
      </c>
      <c r="W179" s="50">
        <v>3000</v>
      </c>
      <c r="X179" s="50"/>
      <c r="Y179" s="50">
        <v>3000</v>
      </c>
      <c r="Z179" s="50">
        <f>81000+29637</f>
        <v>110637</v>
      </c>
      <c r="AA179" s="50"/>
      <c r="AB179" s="50">
        <v>2000</v>
      </c>
      <c r="AC179" s="50">
        <v>2000</v>
      </c>
      <c r="AD179" s="50">
        <v>2000</v>
      </c>
      <c r="AE179" s="50"/>
      <c r="AF179" s="193">
        <f t="shared" si="10"/>
        <v>1961437</v>
      </c>
      <c r="AI179" s="57"/>
    </row>
    <row r="180" spans="1:35" s="56" customFormat="1" ht="18" customHeight="1">
      <c r="A180" s="114" t="s">
        <v>213</v>
      </c>
      <c r="B180" s="50">
        <v>2160000</v>
      </c>
      <c r="C180" s="50">
        <v>181000</v>
      </c>
      <c r="D180" s="50">
        <v>1000</v>
      </c>
      <c r="E180" s="50">
        <v>404800</v>
      </c>
      <c r="F180" s="50">
        <v>50800</v>
      </c>
      <c r="G180" s="50">
        <v>8000</v>
      </c>
      <c r="H180" s="50"/>
      <c r="I180" s="50"/>
      <c r="J180" s="50"/>
      <c r="K180" s="50"/>
      <c r="L180" s="50"/>
      <c r="M180" s="50"/>
      <c r="N180" s="50">
        <v>17000</v>
      </c>
      <c r="O180" s="50"/>
      <c r="P180" s="50">
        <v>2000</v>
      </c>
      <c r="Q180" s="50">
        <v>101000</v>
      </c>
      <c r="R180" s="50">
        <v>1500</v>
      </c>
      <c r="S180" s="50">
        <v>13000</v>
      </c>
      <c r="T180" s="50">
        <v>2000</v>
      </c>
      <c r="U180" s="50">
        <v>1000</v>
      </c>
      <c r="V180" s="50">
        <v>6000</v>
      </c>
      <c r="W180" s="50">
        <v>2000</v>
      </c>
      <c r="X180" s="50"/>
      <c r="Y180" s="50">
        <v>1000</v>
      </c>
      <c r="Z180" s="50">
        <f>128000+36045</f>
        <v>164045</v>
      </c>
      <c r="AA180" s="50"/>
      <c r="AB180" s="50">
        <v>3000</v>
      </c>
      <c r="AC180" s="50">
        <v>5000</v>
      </c>
      <c r="AD180" s="50">
        <v>5000</v>
      </c>
      <c r="AE180" s="50"/>
      <c r="AF180" s="193">
        <f t="shared" si="10"/>
        <v>3129145</v>
      </c>
      <c r="AI180" s="57"/>
    </row>
    <row r="181" spans="1:35" s="56" customFormat="1" ht="18" customHeight="1">
      <c r="A181" s="114" t="s">
        <v>222</v>
      </c>
      <c r="B181" s="50">
        <v>2730000</v>
      </c>
      <c r="C181" s="50">
        <v>230000</v>
      </c>
      <c r="D181" s="50"/>
      <c r="E181" s="50">
        <v>512000</v>
      </c>
      <c r="F181" s="50">
        <v>64200</v>
      </c>
      <c r="G181" s="50">
        <v>9000</v>
      </c>
      <c r="H181" s="50"/>
      <c r="I181" s="50"/>
      <c r="J181" s="50"/>
      <c r="K181" s="50"/>
      <c r="L181" s="50"/>
      <c r="M181" s="50"/>
      <c r="N181" s="50">
        <v>25000</v>
      </c>
      <c r="O181" s="50"/>
      <c r="P181" s="50">
        <v>5000</v>
      </c>
      <c r="Q181" s="50">
        <v>280000</v>
      </c>
      <c r="R181" s="50">
        <v>3000</v>
      </c>
      <c r="S181" s="50">
        <v>25000</v>
      </c>
      <c r="T181" s="50">
        <v>2500</v>
      </c>
      <c r="U181" s="50">
        <v>990</v>
      </c>
      <c r="V181" s="50">
        <v>9000</v>
      </c>
      <c r="W181" s="50">
        <v>1000</v>
      </c>
      <c r="X181" s="50"/>
      <c r="Y181" s="50">
        <v>1900</v>
      </c>
      <c r="Z181" s="50">
        <f>153000+36846</f>
        <v>189846</v>
      </c>
      <c r="AA181" s="50"/>
      <c r="AB181" s="50">
        <v>600</v>
      </c>
      <c r="AC181" s="50">
        <v>7000</v>
      </c>
      <c r="AD181" s="50">
        <v>5000</v>
      </c>
      <c r="AE181" s="50"/>
      <c r="AF181" s="193">
        <f t="shared" si="10"/>
        <v>4101036</v>
      </c>
      <c r="AI181" s="57"/>
    </row>
    <row r="182" spans="1:35" s="56" customFormat="1" ht="18" customHeight="1">
      <c r="A182" s="114" t="s">
        <v>214</v>
      </c>
      <c r="B182" s="50">
        <v>1096000</v>
      </c>
      <c r="C182" s="50">
        <v>87000</v>
      </c>
      <c r="D182" s="50">
        <v>1500</v>
      </c>
      <c r="E182" s="50">
        <v>205300</v>
      </c>
      <c r="F182" s="50">
        <v>25700</v>
      </c>
      <c r="G182" s="50">
        <v>4500</v>
      </c>
      <c r="H182" s="50"/>
      <c r="I182" s="50"/>
      <c r="J182" s="50"/>
      <c r="K182" s="50"/>
      <c r="L182" s="50"/>
      <c r="M182" s="50"/>
      <c r="N182" s="50">
        <v>13000</v>
      </c>
      <c r="O182" s="50"/>
      <c r="P182" s="50">
        <v>4000</v>
      </c>
      <c r="Q182" s="50">
        <v>130000</v>
      </c>
      <c r="R182" s="50">
        <v>1200</v>
      </c>
      <c r="S182" s="50">
        <v>11000</v>
      </c>
      <c r="T182" s="50">
        <v>1200</v>
      </c>
      <c r="U182" s="50"/>
      <c r="V182" s="50">
        <v>4800</v>
      </c>
      <c r="W182" s="50">
        <v>1300</v>
      </c>
      <c r="X182" s="50"/>
      <c r="Y182" s="50">
        <v>1200</v>
      </c>
      <c r="Z182" s="50">
        <f>69000+23229</f>
        <v>92229</v>
      </c>
      <c r="AA182" s="50"/>
      <c r="AB182" s="50">
        <v>1200</v>
      </c>
      <c r="AC182" s="50">
        <v>1000</v>
      </c>
      <c r="AD182" s="50">
        <v>2000</v>
      </c>
      <c r="AE182" s="50"/>
      <c r="AF182" s="193">
        <f t="shared" si="10"/>
        <v>1684129</v>
      </c>
      <c r="AI182" s="57"/>
    </row>
    <row r="183" spans="1:35" s="56" customFormat="1" ht="18" customHeight="1">
      <c r="A183" s="114" t="s">
        <v>223</v>
      </c>
      <c r="B183" s="50">
        <v>1640000</v>
      </c>
      <c r="C183" s="50">
        <v>142000</v>
      </c>
      <c r="D183" s="50"/>
      <c r="E183" s="50">
        <v>308100</v>
      </c>
      <c r="F183" s="50">
        <v>38600</v>
      </c>
      <c r="G183" s="50">
        <v>2000</v>
      </c>
      <c r="H183" s="50"/>
      <c r="I183" s="50"/>
      <c r="J183" s="50"/>
      <c r="K183" s="50"/>
      <c r="L183" s="50"/>
      <c r="M183" s="50"/>
      <c r="N183" s="50">
        <v>15000</v>
      </c>
      <c r="O183" s="50"/>
      <c r="P183" s="50">
        <v>2000</v>
      </c>
      <c r="Q183" s="50">
        <v>123000</v>
      </c>
      <c r="R183" s="50">
        <v>2500</v>
      </c>
      <c r="S183" s="50">
        <v>11800</v>
      </c>
      <c r="T183" s="50">
        <v>5100</v>
      </c>
      <c r="U183" s="50"/>
      <c r="V183" s="50">
        <v>8400</v>
      </c>
      <c r="W183" s="50">
        <v>1500</v>
      </c>
      <c r="X183" s="50"/>
      <c r="Y183" s="50">
        <v>1650</v>
      </c>
      <c r="Z183" s="50">
        <f>107000+29637</f>
        <v>136637</v>
      </c>
      <c r="AA183" s="50"/>
      <c r="AB183" s="50">
        <v>800</v>
      </c>
      <c r="AC183" s="50">
        <v>2000</v>
      </c>
      <c r="AD183" s="50">
        <v>2500</v>
      </c>
      <c r="AE183" s="50"/>
      <c r="AF183" s="193">
        <f t="shared" si="10"/>
        <v>2443587</v>
      </c>
      <c r="AI183" s="57"/>
    </row>
    <row r="184" spans="1:35" s="56" customFormat="1" ht="18" customHeight="1">
      <c r="A184" s="114" t="s">
        <v>215</v>
      </c>
      <c r="B184" s="50">
        <v>1420000</v>
      </c>
      <c r="C184" s="50">
        <v>117000</v>
      </c>
      <c r="D184" s="50">
        <v>1000</v>
      </c>
      <c r="E184" s="50">
        <v>265900</v>
      </c>
      <c r="F184" s="50">
        <v>33300</v>
      </c>
      <c r="G184" s="50">
        <v>4000</v>
      </c>
      <c r="H184" s="50"/>
      <c r="I184" s="50"/>
      <c r="J184" s="50"/>
      <c r="K184" s="50"/>
      <c r="L184" s="50"/>
      <c r="M184" s="50"/>
      <c r="N184" s="50">
        <v>17000</v>
      </c>
      <c r="O184" s="50"/>
      <c r="P184" s="50">
        <v>4000</v>
      </c>
      <c r="Q184" s="50">
        <v>98000</v>
      </c>
      <c r="R184" s="50">
        <v>3000</v>
      </c>
      <c r="S184" s="50">
        <v>15900</v>
      </c>
      <c r="T184" s="50">
        <v>6100</v>
      </c>
      <c r="U184" s="50"/>
      <c r="V184" s="50">
        <v>9000</v>
      </c>
      <c r="W184" s="50">
        <v>2000</v>
      </c>
      <c r="X184" s="50"/>
      <c r="Y184" s="50">
        <v>2000</v>
      </c>
      <c r="Z184" s="50">
        <f>88000+18423</f>
        <v>106423</v>
      </c>
      <c r="AA184" s="50"/>
      <c r="AB184" s="50">
        <v>2000</v>
      </c>
      <c r="AC184" s="50">
        <v>3000</v>
      </c>
      <c r="AD184" s="50">
        <v>6500</v>
      </c>
      <c r="AE184" s="50"/>
      <c r="AF184" s="193">
        <f t="shared" si="10"/>
        <v>2116123</v>
      </c>
      <c r="AI184" s="57"/>
    </row>
    <row r="185" spans="1:35" s="56" customFormat="1" ht="18" customHeight="1" thickBot="1">
      <c r="A185" s="115" t="s">
        <v>228</v>
      </c>
      <c r="B185" s="108">
        <v>420000</v>
      </c>
      <c r="C185" s="108">
        <v>11200</v>
      </c>
      <c r="D185" s="108"/>
      <c r="E185" s="108">
        <v>74400</v>
      </c>
      <c r="F185" s="108">
        <v>9300</v>
      </c>
      <c r="G185" s="108">
        <v>2000</v>
      </c>
      <c r="H185" s="108"/>
      <c r="I185" s="108"/>
      <c r="J185" s="108"/>
      <c r="K185" s="108"/>
      <c r="L185" s="108"/>
      <c r="M185" s="108"/>
      <c r="N185" s="108">
        <v>10000</v>
      </c>
      <c r="O185" s="108"/>
      <c r="P185" s="108">
        <v>6000</v>
      </c>
      <c r="Q185" s="108">
        <v>70000</v>
      </c>
      <c r="R185" s="108">
        <v>1500</v>
      </c>
      <c r="S185" s="108">
        <v>10000</v>
      </c>
      <c r="T185" s="108">
        <v>5000</v>
      </c>
      <c r="U185" s="108">
        <v>1000</v>
      </c>
      <c r="V185" s="108">
        <v>7000</v>
      </c>
      <c r="W185" s="108">
        <v>1000</v>
      </c>
      <c r="X185" s="108"/>
      <c r="Y185" s="108">
        <v>2000</v>
      </c>
      <c r="Z185" s="108">
        <v>35000</v>
      </c>
      <c r="AA185" s="108"/>
      <c r="AB185" s="108"/>
      <c r="AC185" s="108">
        <v>1000</v>
      </c>
      <c r="AD185" s="108">
        <v>2000</v>
      </c>
      <c r="AE185" s="108"/>
      <c r="AF185" s="194">
        <f t="shared" si="10"/>
        <v>668400</v>
      </c>
      <c r="AI185" s="57"/>
    </row>
    <row r="186" spans="1:34" s="56" customFormat="1" ht="19.5" customHeight="1" thickBot="1">
      <c r="A186" s="112" t="s">
        <v>272</v>
      </c>
      <c r="B186" s="17">
        <f aca="true" t="shared" si="14" ref="B186:G186">SUM(B187:B190)</f>
        <v>3343000</v>
      </c>
      <c r="C186" s="17">
        <f t="shared" si="14"/>
        <v>280000</v>
      </c>
      <c r="D186" s="17">
        <f t="shared" si="14"/>
        <v>3000</v>
      </c>
      <c r="E186" s="17">
        <f t="shared" si="14"/>
        <v>623700</v>
      </c>
      <c r="F186" s="17">
        <f t="shared" si="14"/>
        <v>76300</v>
      </c>
      <c r="G186" s="17">
        <f t="shared" si="14"/>
        <v>4800</v>
      </c>
      <c r="H186" s="17"/>
      <c r="I186" s="17"/>
      <c r="J186" s="17"/>
      <c r="K186" s="17"/>
      <c r="L186" s="17"/>
      <c r="M186" s="205"/>
      <c r="N186" s="205">
        <f>SUM(N187:N190)</f>
        <v>11500</v>
      </c>
      <c r="O186" s="205"/>
      <c r="P186" s="205">
        <f aca="true" t="shared" si="15" ref="P186:W186">SUM(P187:P190)</f>
        <v>6800</v>
      </c>
      <c r="Q186" s="205">
        <f t="shared" si="15"/>
        <v>99500</v>
      </c>
      <c r="R186" s="205">
        <f t="shared" si="15"/>
        <v>2100</v>
      </c>
      <c r="S186" s="205">
        <f t="shared" si="15"/>
        <v>14530</v>
      </c>
      <c r="T186" s="205">
        <f t="shared" si="15"/>
        <v>2720</v>
      </c>
      <c r="U186" s="205">
        <f t="shared" si="15"/>
        <v>1500</v>
      </c>
      <c r="V186" s="205">
        <f t="shared" si="15"/>
        <v>7750</v>
      </c>
      <c r="W186" s="205">
        <f t="shared" si="15"/>
        <v>300</v>
      </c>
      <c r="X186" s="205"/>
      <c r="Y186" s="205">
        <f>SUM(Y187:Y190)</f>
        <v>1000</v>
      </c>
      <c r="Z186" s="205">
        <f>SUM(Z187:Z190)</f>
        <v>203411</v>
      </c>
      <c r="AA186" s="205"/>
      <c r="AB186" s="205">
        <f>SUM(AB187:AB190)</f>
        <v>900</v>
      </c>
      <c r="AC186" s="205">
        <f>SUM(AC187:AC190)</f>
        <v>6000</v>
      </c>
      <c r="AD186" s="205">
        <f>SUM(AD187:AD190)</f>
        <v>5000</v>
      </c>
      <c r="AE186" s="205"/>
      <c r="AF186" s="191">
        <f t="shared" si="10"/>
        <v>4693811</v>
      </c>
      <c r="AG186" s="51"/>
      <c r="AH186" s="51"/>
    </row>
    <row r="187" spans="1:34" s="56" customFormat="1" ht="18" customHeight="1">
      <c r="A187" s="113" t="s">
        <v>355</v>
      </c>
      <c r="B187" s="59">
        <v>1268000</v>
      </c>
      <c r="C187" s="59">
        <v>105100</v>
      </c>
      <c r="D187" s="59">
        <v>2000</v>
      </c>
      <c r="E187" s="59">
        <v>236500</v>
      </c>
      <c r="F187" s="59">
        <v>28900</v>
      </c>
      <c r="G187" s="59">
        <v>2500</v>
      </c>
      <c r="H187" s="59"/>
      <c r="I187" s="59"/>
      <c r="J187" s="59"/>
      <c r="K187" s="59"/>
      <c r="L187" s="59"/>
      <c r="M187" s="59"/>
      <c r="N187" s="59">
        <v>3000</v>
      </c>
      <c r="O187" s="59"/>
      <c r="P187" s="59">
        <v>2000</v>
      </c>
      <c r="Q187" s="59">
        <v>31000</v>
      </c>
      <c r="R187" s="59">
        <v>1000</v>
      </c>
      <c r="S187" s="59">
        <v>3000</v>
      </c>
      <c r="T187" s="59">
        <v>2500</v>
      </c>
      <c r="U187" s="59">
        <v>1000</v>
      </c>
      <c r="V187" s="59">
        <v>1800</v>
      </c>
      <c r="W187" s="59"/>
      <c r="X187" s="59"/>
      <c r="Y187" s="59"/>
      <c r="Z187" s="59">
        <f>68500+4806</f>
        <v>73306</v>
      </c>
      <c r="AA187" s="59"/>
      <c r="AB187" s="59">
        <v>500</v>
      </c>
      <c r="AC187" s="59">
        <v>1500</v>
      </c>
      <c r="AD187" s="59">
        <v>1000</v>
      </c>
      <c r="AE187" s="59"/>
      <c r="AF187" s="192">
        <f t="shared" si="10"/>
        <v>1764606</v>
      </c>
      <c r="AG187" s="51"/>
      <c r="AH187" s="51"/>
    </row>
    <row r="188" spans="1:34" s="56" customFormat="1" ht="25.5">
      <c r="A188" s="121" t="s">
        <v>356</v>
      </c>
      <c r="B188" s="60">
        <v>715000</v>
      </c>
      <c r="C188" s="60">
        <v>59100</v>
      </c>
      <c r="D188" s="60"/>
      <c r="E188" s="60">
        <v>133200</v>
      </c>
      <c r="F188" s="60">
        <v>16200</v>
      </c>
      <c r="G188" s="60">
        <v>1000</v>
      </c>
      <c r="H188" s="60"/>
      <c r="I188" s="60"/>
      <c r="J188" s="60"/>
      <c r="K188" s="60"/>
      <c r="L188" s="60"/>
      <c r="M188" s="207"/>
      <c r="N188" s="207">
        <v>2000</v>
      </c>
      <c r="O188" s="207"/>
      <c r="P188" s="207">
        <v>1700</v>
      </c>
      <c r="Q188" s="207">
        <v>9000</v>
      </c>
      <c r="R188" s="207"/>
      <c r="S188" s="207">
        <v>5430</v>
      </c>
      <c r="T188" s="207"/>
      <c r="U188" s="207"/>
      <c r="V188" s="207">
        <v>4000</v>
      </c>
      <c r="W188" s="207"/>
      <c r="X188" s="207"/>
      <c r="Y188" s="207"/>
      <c r="Z188" s="207">
        <v>42900</v>
      </c>
      <c r="AA188" s="207"/>
      <c r="AB188" s="207"/>
      <c r="AC188" s="207">
        <v>2500</v>
      </c>
      <c r="AD188" s="207">
        <v>1000</v>
      </c>
      <c r="AE188" s="207"/>
      <c r="AF188" s="193">
        <f t="shared" si="10"/>
        <v>993030</v>
      </c>
      <c r="AG188" s="51"/>
      <c r="AH188" s="51"/>
    </row>
    <row r="189" spans="1:34" s="56" customFormat="1" ht="25.5">
      <c r="A189" s="123" t="s">
        <v>69</v>
      </c>
      <c r="B189" s="50">
        <v>600000</v>
      </c>
      <c r="C189" s="50">
        <v>52600</v>
      </c>
      <c r="D189" s="50">
        <v>1000</v>
      </c>
      <c r="E189" s="50">
        <v>112400</v>
      </c>
      <c r="F189" s="50">
        <v>13800</v>
      </c>
      <c r="G189" s="50">
        <v>800</v>
      </c>
      <c r="H189" s="50"/>
      <c r="I189" s="50"/>
      <c r="J189" s="50"/>
      <c r="K189" s="50"/>
      <c r="L189" s="50"/>
      <c r="M189" s="50"/>
      <c r="N189" s="50">
        <v>2500</v>
      </c>
      <c r="O189" s="50"/>
      <c r="P189" s="50">
        <v>2500</v>
      </c>
      <c r="Q189" s="50">
        <v>15000</v>
      </c>
      <c r="R189" s="50">
        <v>700</v>
      </c>
      <c r="S189" s="50">
        <v>2100</v>
      </c>
      <c r="T189" s="50">
        <v>220</v>
      </c>
      <c r="U189" s="50"/>
      <c r="V189" s="50">
        <v>950</v>
      </c>
      <c r="W189" s="50">
        <v>300</v>
      </c>
      <c r="X189" s="50"/>
      <c r="Y189" s="50">
        <v>1000</v>
      </c>
      <c r="Z189" s="50">
        <f>39800+3204</f>
        <v>43004</v>
      </c>
      <c r="AA189" s="50"/>
      <c r="AB189" s="50">
        <v>400</v>
      </c>
      <c r="AC189" s="50">
        <v>1000</v>
      </c>
      <c r="AD189" s="50">
        <v>2000</v>
      </c>
      <c r="AE189" s="50"/>
      <c r="AF189" s="193">
        <f t="shared" si="10"/>
        <v>852274</v>
      </c>
      <c r="AG189" s="49"/>
      <c r="AH189" s="49"/>
    </row>
    <row r="190" spans="1:34" s="56" customFormat="1" ht="29.25" customHeight="1" thickBot="1">
      <c r="A190" s="143" t="s">
        <v>70</v>
      </c>
      <c r="B190" s="208">
        <v>760000</v>
      </c>
      <c r="C190" s="208">
        <v>63200</v>
      </c>
      <c r="D190" s="208"/>
      <c r="E190" s="208">
        <v>141600</v>
      </c>
      <c r="F190" s="208">
        <v>17400</v>
      </c>
      <c r="G190" s="208">
        <v>500</v>
      </c>
      <c r="H190" s="208"/>
      <c r="I190" s="208"/>
      <c r="J190" s="208"/>
      <c r="K190" s="208"/>
      <c r="L190" s="208"/>
      <c r="M190" s="208"/>
      <c r="N190" s="208">
        <v>4000</v>
      </c>
      <c r="O190" s="208"/>
      <c r="P190" s="208">
        <v>600</v>
      </c>
      <c r="Q190" s="208">
        <v>44500</v>
      </c>
      <c r="R190" s="208">
        <v>400</v>
      </c>
      <c r="S190" s="208">
        <v>4000</v>
      </c>
      <c r="T190" s="208"/>
      <c r="U190" s="208">
        <v>500</v>
      </c>
      <c r="V190" s="208">
        <v>1000</v>
      </c>
      <c r="W190" s="208"/>
      <c r="X190" s="208"/>
      <c r="Y190" s="208"/>
      <c r="Z190" s="208">
        <f>43400+801</f>
        <v>44201</v>
      </c>
      <c r="AA190" s="208"/>
      <c r="AB190" s="208"/>
      <c r="AC190" s="208">
        <v>1000</v>
      </c>
      <c r="AD190" s="208">
        <v>1000</v>
      </c>
      <c r="AE190" s="208"/>
      <c r="AF190" s="194">
        <f t="shared" si="10"/>
        <v>1083901</v>
      </c>
      <c r="AG190" s="49"/>
      <c r="AH190" s="49"/>
    </row>
    <row r="191" spans="1:34" s="56" customFormat="1" ht="18" customHeight="1" thickBot="1">
      <c r="A191" s="112" t="s">
        <v>273</v>
      </c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205"/>
      <c r="N191" s="205"/>
      <c r="O191" s="205"/>
      <c r="P191" s="205"/>
      <c r="Q191" s="205"/>
      <c r="R191" s="205"/>
      <c r="S191" s="205">
        <f>SUM(S192:S217)</f>
        <v>545000</v>
      </c>
      <c r="T191" s="205"/>
      <c r="U191" s="205"/>
      <c r="V191" s="205"/>
      <c r="W191" s="205"/>
      <c r="X191" s="205"/>
      <c r="Y191" s="205"/>
      <c r="Z191" s="205"/>
      <c r="AA191" s="205"/>
      <c r="AB191" s="205"/>
      <c r="AC191" s="205"/>
      <c r="AD191" s="205"/>
      <c r="AE191" s="205"/>
      <c r="AF191" s="191">
        <f t="shared" si="10"/>
        <v>545000</v>
      </c>
      <c r="AG191" s="51"/>
      <c r="AH191" s="51"/>
    </row>
    <row r="192" spans="1:34" s="56" customFormat="1" ht="18" customHeight="1">
      <c r="A192" s="113" t="s">
        <v>153</v>
      </c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209"/>
      <c r="N192" s="209"/>
      <c r="O192" s="209"/>
      <c r="P192" s="209"/>
      <c r="Q192" s="209"/>
      <c r="R192" s="209"/>
      <c r="S192" s="209">
        <v>9000</v>
      </c>
      <c r="T192" s="209"/>
      <c r="U192" s="209"/>
      <c r="V192" s="209"/>
      <c r="W192" s="209"/>
      <c r="X192" s="209"/>
      <c r="Y192" s="209"/>
      <c r="Z192" s="209"/>
      <c r="AA192" s="209"/>
      <c r="AB192" s="209"/>
      <c r="AC192" s="209"/>
      <c r="AD192" s="209"/>
      <c r="AE192" s="209"/>
      <c r="AF192" s="192">
        <f t="shared" si="10"/>
        <v>9000</v>
      </c>
      <c r="AG192" s="51"/>
      <c r="AH192" s="51"/>
    </row>
    <row r="193" spans="1:34" s="56" customFormat="1" ht="18" customHeight="1">
      <c r="A193" s="114" t="s">
        <v>154</v>
      </c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209"/>
      <c r="N193" s="209"/>
      <c r="O193" s="209"/>
      <c r="P193" s="209"/>
      <c r="Q193" s="209"/>
      <c r="R193" s="209"/>
      <c r="S193" s="209">
        <v>1700</v>
      </c>
      <c r="T193" s="209"/>
      <c r="U193" s="209"/>
      <c r="V193" s="209"/>
      <c r="W193" s="209"/>
      <c r="X193" s="209"/>
      <c r="Y193" s="209"/>
      <c r="Z193" s="209"/>
      <c r="AA193" s="209"/>
      <c r="AB193" s="209"/>
      <c r="AC193" s="209"/>
      <c r="AD193" s="209"/>
      <c r="AE193" s="209"/>
      <c r="AF193" s="193">
        <f t="shared" si="10"/>
        <v>1700</v>
      </c>
      <c r="AG193" s="51"/>
      <c r="AH193" s="51"/>
    </row>
    <row r="194" spans="1:32" s="56" customFormat="1" ht="18" customHeight="1">
      <c r="A194" s="114" t="s">
        <v>158</v>
      </c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207"/>
      <c r="N194" s="207"/>
      <c r="O194" s="207"/>
      <c r="P194" s="207"/>
      <c r="Q194" s="207"/>
      <c r="R194" s="207"/>
      <c r="S194" s="207">
        <v>21000</v>
      </c>
      <c r="T194" s="207"/>
      <c r="U194" s="207"/>
      <c r="V194" s="207"/>
      <c r="W194" s="207"/>
      <c r="X194" s="207"/>
      <c r="Y194" s="207"/>
      <c r="Z194" s="207"/>
      <c r="AA194" s="207"/>
      <c r="AB194" s="207"/>
      <c r="AC194" s="207"/>
      <c r="AD194" s="207"/>
      <c r="AE194" s="207"/>
      <c r="AF194" s="193">
        <f t="shared" si="10"/>
        <v>21000</v>
      </c>
    </row>
    <row r="195" spans="1:32" s="56" customFormat="1" ht="18" customHeight="1">
      <c r="A195" s="114" t="s">
        <v>160</v>
      </c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207"/>
      <c r="N195" s="207"/>
      <c r="O195" s="207"/>
      <c r="P195" s="207"/>
      <c r="Q195" s="207"/>
      <c r="R195" s="207"/>
      <c r="S195" s="207">
        <v>2600</v>
      </c>
      <c r="T195" s="207"/>
      <c r="U195" s="207"/>
      <c r="V195" s="207"/>
      <c r="W195" s="207"/>
      <c r="X195" s="207"/>
      <c r="Y195" s="207"/>
      <c r="Z195" s="207"/>
      <c r="AA195" s="207"/>
      <c r="AB195" s="207"/>
      <c r="AC195" s="207"/>
      <c r="AD195" s="207"/>
      <c r="AE195" s="207"/>
      <c r="AF195" s="193">
        <f t="shared" si="10"/>
        <v>2600</v>
      </c>
    </row>
    <row r="196" spans="1:32" s="56" customFormat="1" ht="18" customHeight="1">
      <c r="A196" s="114" t="s">
        <v>164</v>
      </c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207"/>
      <c r="N196" s="207"/>
      <c r="O196" s="207"/>
      <c r="P196" s="207"/>
      <c r="Q196" s="207"/>
      <c r="R196" s="207"/>
      <c r="S196" s="207">
        <v>11000</v>
      </c>
      <c r="T196" s="207"/>
      <c r="U196" s="207"/>
      <c r="V196" s="207"/>
      <c r="W196" s="207"/>
      <c r="X196" s="207"/>
      <c r="Y196" s="207"/>
      <c r="Z196" s="207"/>
      <c r="AA196" s="207"/>
      <c r="AB196" s="207"/>
      <c r="AC196" s="207"/>
      <c r="AD196" s="207"/>
      <c r="AE196" s="207"/>
      <c r="AF196" s="193">
        <f t="shared" si="10"/>
        <v>11000</v>
      </c>
    </row>
    <row r="197" spans="1:32" s="56" customFormat="1" ht="18" customHeight="1">
      <c r="A197" s="114" t="s">
        <v>165</v>
      </c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207"/>
      <c r="N197" s="207"/>
      <c r="O197" s="207"/>
      <c r="P197" s="207"/>
      <c r="Q197" s="207"/>
      <c r="R197" s="207"/>
      <c r="S197" s="207">
        <v>56000</v>
      </c>
      <c r="T197" s="207"/>
      <c r="U197" s="207"/>
      <c r="V197" s="207"/>
      <c r="W197" s="207"/>
      <c r="X197" s="207"/>
      <c r="Y197" s="207"/>
      <c r="Z197" s="207"/>
      <c r="AA197" s="207"/>
      <c r="AB197" s="207"/>
      <c r="AC197" s="207"/>
      <c r="AD197" s="207"/>
      <c r="AE197" s="207"/>
      <c r="AF197" s="193">
        <f t="shared" si="10"/>
        <v>56000</v>
      </c>
    </row>
    <row r="198" spans="1:32" s="56" customFormat="1" ht="18" customHeight="1">
      <c r="A198" s="114" t="s">
        <v>168</v>
      </c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207"/>
      <c r="N198" s="207"/>
      <c r="O198" s="207"/>
      <c r="P198" s="207"/>
      <c r="Q198" s="207"/>
      <c r="R198" s="207"/>
      <c r="S198" s="207">
        <v>36000</v>
      </c>
      <c r="T198" s="207"/>
      <c r="U198" s="207"/>
      <c r="V198" s="207"/>
      <c r="W198" s="207"/>
      <c r="X198" s="207"/>
      <c r="Y198" s="207"/>
      <c r="Z198" s="207"/>
      <c r="AA198" s="207"/>
      <c r="AB198" s="207"/>
      <c r="AC198" s="207"/>
      <c r="AD198" s="207"/>
      <c r="AE198" s="207"/>
      <c r="AF198" s="193">
        <f t="shared" si="10"/>
        <v>36000</v>
      </c>
    </row>
    <row r="199" spans="1:32" s="56" customFormat="1" ht="18" customHeight="1">
      <c r="A199" s="114" t="s">
        <v>169</v>
      </c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209"/>
      <c r="N199" s="209"/>
      <c r="O199" s="209"/>
      <c r="P199" s="209"/>
      <c r="Q199" s="209"/>
      <c r="R199" s="209"/>
      <c r="S199" s="209">
        <v>20000</v>
      </c>
      <c r="T199" s="209"/>
      <c r="U199" s="209"/>
      <c r="V199" s="209"/>
      <c r="W199" s="209"/>
      <c r="X199" s="209"/>
      <c r="Y199" s="209"/>
      <c r="Z199" s="209"/>
      <c r="AA199" s="209"/>
      <c r="AB199" s="209"/>
      <c r="AC199" s="209"/>
      <c r="AD199" s="209"/>
      <c r="AE199" s="209"/>
      <c r="AF199" s="193">
        <f t="shared" si="10"/>
        <v>20000</v>
      </c>
    </row>
    <row r="200" spans="1:32" s="56" customFormat="1" ht="18" customHeight="1">
      <c r="A200" s="114" t="s">
        <v>172</v>
      </c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209"/>
      <c r="N200" s="209"/>
      <c r="O200" s="209"/>
      <c r="P200" s="209"/>
      <c r="Q200" s="209"/>
      <c r="R200" s="209"/>
      <c r="S200" s="209">
        <v>2400</v>
      </c>
      <c r="T200" s="209"/>
      <c r="U200" s="209"/>
      <c r="V200" s="209"/>
      <c r="W200" s="209"/>
      <c r="X200" s="209"/>
      <c r="Y200" s="209"/>
      <c r="Z200" s="209"/>
      <c r="AA200" s="209"/>
      <c r="AB200" s="209"/>
      <c r="AC200" s="209"/>
      <c r="AD200" s="209"/>
      <c r="AE200" s="209"/>
      <c r="AF200" s="193">
        <f t="shared" si="10"/>
        <v>2400</v>
      </c>
    </row>
    <row r="201" spans="1:32" s="56" customFormat="1" ht="18" customHeight="1">
      <c r="A201" s="114" t="s">
        <v>13</v>
      </c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209"/>
      <c r="N201" s="209"/>
      <c r="O201" s="209"/>
      <c r="P201" s="209"/>
      <c r="Q201" s="209"/>
      <c r="R201" s="209"/>
      <c r="S201" s="209">
        <v>3000</v>
      </c>
      <c r="T201" s="209"/>
      <c r="U201" s="209"/>
      <c r="V201" s="209"/>
      <c r="W201" s="209"/>
      <c r="X201" s="209"/>
      <c r="Y201" s="209"/>
      <c r="Z201" s="209"/>
      <c r="AA201" s="209"/>
      <c r="AB201" s="209"/>
      <c r="AC201" s="209"/>
      <c r="AD201" s="209"/>
      <c r="AE201" s="209"/>
      <c r="AF201" s="193">
        <f t="shared" si="10"/>
        <v>3000</v>
      </c>
    </row>
    <row r="202" spans="1:32" s="56" customFormat="1" ht="18" customHeight="1">
      <c r="A202" s="114" t="s">
        <v>207</v>
      </c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209"/>
      <c r="N202" s="209"/>
      <c r="O202" s="209"/>
      <c r="P202" s="209"/>
      <c r="Q202" s="209"/>
      <c r="R202" s="209"/>
      <c r="S202" s="209">
        <v>10000</v>
      </c>
      <c r="T202" s="209"/>
      <c r="U202" s="209"/>
      <c r="V202" s="209"/>
      <c r="W202" s="209"/>
      <c r="X202" s="209"/>
      <c r="Y202" s="209"/>
      <c r="Z202" s="209"/>
      <c r="AA202" s="209"/>
      <c r="AB202" s="209"/>
      <c r="AC202" s="209"/>
      <c r="AD202" s="209"/>
      <c r="AE202" s="209"/>
      <c r="AF202" s="193">
        <f t="shared" si="10"/>
        <v>10000</v>
      </c>
    </row>
    <row r="203" spans="1:32" s="56" customFormat="1" ht="18" customHeight="1">
      <c r="A203" s="114" t="s">
        <v>208</v>
      </c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209"/>
      <c r="N203" s="209"/>
      <c r="O203" s="209"/>
      <c r="P203" s="209"/>
      <c r="Q203" s="209"/>
      <c r="R203" s="209"/>
      <c r="S203" s="209">
        <v>1600</v>
      </c>
      <c r="T203" s="209"/>
      <c r="U203" s="209"/>
      <c r="V203" s="209"/>
      <c r="W203" s="209"/>
      <c r="X203" s="209"/>
      <c r="Y203" s="209"/>
      <c r="Z203" s="209"/>
      <c r="AA203" s="209"/>
      <c r="AB203" s="209"/>
      <c r="AC203" s="209"/>
      <c r="AD203" s="209"/>
      <c r="AE203" s="209"/>
      <c r="AF203" s="193">
        <f t="shared" si="10"/>
        <v>1600</v>
      </c>
    </row>
    <row r="204" spans="1:32" s="56" customFormat="1" ht="18" customHeight="1">
      <c r="A204" s="114" t="s">
        <v>209</v>
      </c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209"/>
      <c r="N204" s="209"/>
      <c r="O204" s="209"/>
      <c r="P204" s="209"/>
      <c r="Q204" s="209"/>
      <c r="R204" s="209"/>
      <c r="S204" s="209">
        <v>1700</v>
      </c>
      <c r="T204" s="209"/>
      <c r="U204" s="209"/>
      <c r="V204" s="209"/>
      <c r="W204" s="209"/>
      <c r="X204" s="209"/>
      <c r="Y204" s="209"/>
      <c r="Z204" s="209"/>
      <c r="AA204" s="209"/>
      <c r="AB204" s="209"/>
      <c r="AC204" s="209"/>
      <c r="AD204" s="209"/>
      <c r="AE204" s="209"/>
      <c r="AF204" s="193">
        <f t="shared" si="10"/>
        <v>1700</v>
      </c>
    </row>
    <row r="205" spans="1:32" s="56" customFormat="1" ht="18" customHeight="1">
      <c r="A205" s="114" t="s">
        <v>216</v>
      </c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209"/>
      <c r="N205" s="209"/>
      <c r="O205" s="209"/>
      <c r="P205" s="209"/>
      <c r="Q205" s="209"/>
      <c r="R205" s="209"/>
      <c r="S205" s="209">
        <v>7000</v>
      </c>
      <c r="T205" s="209"/>
      <c r="U205" s="209"/>
      <c r="V205" s="209"/>
      <c r="W205" s="209"/>
      <c r="X205" s="209"/>
      <c r="Y205" s="209"/>
      <c r="Z205" s="209"/>
      <c r="AA205" s="209"/>
      <c r="AB205" s="209"/>
      <c r="AC205" s="209"/>
      <c r="AD205" s="209"/>
      <c r="AE205" s="209"/>
      <c r="AF205" s="193">
        <f t="shared" si="10"/>
        <v>7000</v>
      </c>
    </row>
    <row r="206" spans="1:32" s="56" customFormat="1" ht="18" customHeight="1">
      <c r="A206" s="114" t="s">
        <v>211</v>
      </c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209"/>
      <c r="N206" s="209"/>
      <c r="O206" s="209"/>
      <c r="P206" s="209"/>
      <c r="Q206" s="209"/>
      <c r="R206" s="209"/>
      <c r="S206" s="209">
        <v>102000</v>
      </c>
      <c r="T206" s="209"/>
      <c r="U206" s="209"/>
      <c r="V206" s="209"/>
      <c r="W206" s="209"/>
      <c r="X206" s="209"/>
      <c r="Y206" s="209"/>
      <c r="Z206" s="209"/>
      <c r="AA206" s="209"/>
      <c r="AB206" s="209"/>
      <c r="AC206" s="209"/>
      <c r="AD206" s="209"/>
      <c r="AE206" s="209"/>
      <c r="AF206" s="193">
        <f t="shared" si="10"/>
        <v>102000</v>
      </c>
    </row>
    <row r="207" spans="1:32" s="56" customFormat="1" ht="18" customHeight="1">
      <c r="A207" s="114" t="s">
        <v>219</v>
      </c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209"/>
      <c r="N207" s="209"/>
      <c r="O207" s="209"/>
      <c r="P207" s="209"/>
      <c r="Q207" s="209"/>
      <c r="R207" s="209"/>
      <c r="S207" s="209">
        <v>19000</v>
      </c>
      <c r="T207" s="209"/>
      <c r="U207" s="209"/>
      <c r="V207" s="209"/>
      <c r="W207" s="209"/>
      <c r="X207" s="209"/>
      <c r="Y207" s="209"/>
      <c r="Z207" s="209"/>
      <c r="AA207" s="209"/>
      <c r="AB207" s="209"/>
      <c r="AC207" s="209"/>
      <c r="AD207" s="209"/>
      <c r="AE207" s="209"/>
      <c r="AF207" s="193">
        <f aca="true" t="shared" si="16" ref="AF207:AF270">SUM(B207:AE207)</f>
        <v>19000</v>
      </c>
    </row>
    <row r="208" spans="1:32" s="56" customFormat="1" ht="18" customHeight="1">
      <c r="A208" s="114" t="s">
        <v>221</v>
      </c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209"/>
      <c r="N208" s="209"/>
      <c r="O208" s="209"/>
      <c r="P208" s="209"/>
      <c r="Q208" s="209"/>
      <c r="R208" s="209"/>
      <c r="S208" s="209">
        <v>400</v>
      </c>
      <c r="T208" s="209"/>
      <c r="U208" s="209"/>
      <c r="V208" s="209"/>
      <c r="W208" s="209"/>
      <c r="X208" s="209"/>
      <c r="Y208" s="209"/>
      <c r="Z208" s="209"/>
      <c r="AA208" s="209"/>
      <c r="AB208" s="209"/>
      <c r="AC208" s="209"/>
      <c r="AD208" s="209"/>
      <c r="AE208" s="209"/>
      <c r="AF208" s="193">
        <f t="shared" si="16"/>
        <v>400</v>
      </c>
    </row>
    <row r="209" spans="1:32" s="56" customFormat="1" ht="18" customHeight="1">
      <c r="A209" s="114" t="s">
        <v>212</v>
      </c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209"/>
      <c r="N209" s="209"/>
      <c r="O209" s="209"/>
      <c r="P209" s="209"/>
      <c r="Q209" s="209"/>
      <c r="R209" s="209"/>
      <c r="S209" s="209">
        <v>32000</v>
      </c>
      <c r="T209" s="209"/>
      <c r="U209" s="209"/>
      <c r="V209" s="209"/>
      <c r="W209" s="209"/>
      <c r="X209" s="209"/>
      <c r="Y209" s="209"/>
      <c r="Z209" s="209"/>
      <c r="AA209" s="209"/>
      <c r="AB209" s="209"/>
      <c r="AC209" s="209"/>
      <c r="AD209" s="209"/>
      <c r="AE209" s="209"/>
      <c r="AF209" s="193">
        <f t="shared" si="16"/>
        <v>32000</v>
      </c>
    </row>
    <row r="210" spans="1:32" s="56" customFormat="1" ht="18" customHeight="1">
      <c r="A210" s="114" t="s">
        <v>213</v>
      </c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209"/>
      <c r="N210" s="209"/>
      <c r="O210" s="209"/>
      <c r="P210" s="209"/>
      <c r="Q210" s="209"/>
      <c r="R210" s="209"/>
      <c r="S210" s="209">
        <v>39000</v>
      </c>
      <c r="T210" s="209"/>
      <c r="U210" s="209"/>
      <c r="V210" s="209"/>
      <c r="W210" s="209"/>
      <c r="X210" s="209"/>
      <c r="Y210" s="209"/>
      <c r="Z210" s="209"/>
      <c r="AA210" s="209"/>
      <c r="AB210" s="209"/>
      <c r="AC210" s="209"/>
      <c r="AD210" s="209"/>
      <c r="AE210" s="209"/>
      <c r="AF210" s="193">
        <f t="shared" si="16"/>
        <v>39000</v>
      </c>
    </row>
    <row r="211" spans="1:32" s="56" customFormat="1" ht="18" customHeight="1">
      <c r="A211" s="114" t="s">
        <v>214</v>
      </c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209"/>
      <c r="N211" s="209"/>
      <c r="O211" s="209"/>
      <c r="P211" s="209"/>
      <c r="Q211" s="209"/>
      <c r="R211" s="209"/>
      <c r="S211" s="209">
        <v>7000</v>
      </c>
      <c r="T211" s="209"/>
      <c r="U211" s="209"/>
      <c r="V211" s="209"/>
      <c r="W211" s="209"/>
      <c r="X211" s="209"/>
      <c r="Y211" s="209"/>
      <c r="Z211" s="209"/>
      <c r="AA211" s="209"/>
      <c r="AB211" s="209"/>
      <c r="AC211" s="209"/>
      <c r="AD211" s="209"/>
      <c r="AE211" s="209"/>
      <c r="AF211" s="193">
        <f t="shared" si="16"/>
        <v>7000</v>
      </c>
    </row>
    <row r="212" spans="1:32" s="56" customFormat="1" ht="18" customHeight="1">
      <c r="A212" s="114" t="s">
        <v>223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209"/>
      <c r="N212" s="209"/>
      <c r="O212" s="209"/>
      <c r="P212" s="209"/>
      <c r="Q212" s="209"/>
      <c r="R212" s="209"/>
      <c r="S212" s="209">
        <v>13000</v>
      </c>
      <c r="T212" s="209"/>
      <c r="U212" s="209"/>
      <c r="V212" s="209"/>
      <c r="W212" s="209"/>
      <c r="X212" s="209"/>
      <c r="Y212" s="209"/>
      <c r="Z212" s="209"/>
      <c r="AA212" s="209"/>
      <c r="AB212" s="209"/>
      <c r="AC212" s="209"/>
      <c r="AD212" s="209"/>
      <c r="AE212" s="209"/>
      <c r="AF212" s="193">
        <f t="shared" si="16"/>
        <v>13000</v>
      </c>
    </row>
    <row r="213" spans="1:32" s="56" customFormat="1" ht="18" customHeight="1">
      <c r="A213" s="114" t="s">
        <v>215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209"/>
      <c r="N213" s="209"/>
      <c r="O213" s="209"/>
      <c r="P213" s="209"/>
      <c r="Q213" s="209"/>
      <c r="R213" s="209"/>
      <c r="S213" s="209">
        <v>21300</v>
      </c>
      <c r="T213" s="209"/>
      <c r="U213" s="209"/>
      <c r="V213" s="209"/>
      <c r="W213" s="209"/>
      <c r="X213" s="209"/>
      <c r="Y213" s="209"/>
      <c r="Z213" s="209"/>
      <c r="AA213" s="209"/>
      <c r="AB213" s="209"/>
      <c r="AC213" s="209"/>
      <c r="AD213" s="209"/>
      <c r="AE213" s="209"/>
      <c r="AF213" s="193">
        <f t="shared" si="16"/>
        <v>21300</v>
      </c>
    </row>
    <row r="214" spans="1:32" s="56" customFormat="1" ht="18" customHeight="1">
      <c r="A214" s="114" t="s">
        <v>351</v>
      </c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209"/>
      <c r="N214" s="209"/>
      <c r="O214" s="209"/>
      <c r="P214" s="209"/>
      <c r="Q214" s="209"/>
      <c r="R214" s="209"/>
      <c r="S214" s="209">
        <v>3000</v>
      </c>
      <c r="T214" s="209"/>
      <c r="U214" s="209"/>
      <c r="V214" s="209"/>
      <c r="W214" s="209"/>
      <c r="X214" s="209"/>
      <c r="Y214" s="209"/>
      <c r="Z214" s="209"/>
      <c r="AA214" s="209"/>
      <c r="AB214" s="209"/>
      <c r="AC214" s="209"/>
      <c r="AD214" s="209"/>
      <c r="AE214" s="209"/>
      <c r="AF214" s="193">
        <f t="shared" si="16"/>
        <v>3000</v>
      </c>
    </row>
    <row r="215" spans="1:32" s="56" customFormat="1" ht="18" customHeight="1">
      <c r="A215" s="114" t="s">
        <v>327</v>
      </c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209"/>
      <c r="N215" s="209"/>
      <c r="O215" s="209"/>
      <c r="P215" s="209"/>
      <c r="Q215" s="209"/>
      <c r="R215" s="209"/>
      <c r="S215" s="209">
        <v>4500</v>
      </c>
      <c r="T215" s="209"/>
      <c r="U215" s="209"/>
      <c r="V215" s="209"/>
      <c r="W215" s="209"/>
      <c r="X215" s="209"/>
      <c r="Y215" s="209"/>
      <c r="Z215" s="209"/>
      <c r="AA215" s="209"/>
      <c r="AB215" s="209"/>
      <c r="AC215" s="209"/>
      <c r="AD215" s="209"/>
      <c r="AE215" s="209"/>
      <c r="AF215" s="193">
        <f t="shared" si="16"/>
        <v>4500</v>
      </c>
    </row>
    <row r="216" spans="1:32" s="56" customFormat="1" ht="25.5">
      <c r="A216" s="121" t="s">
        <v>76</v>
      </c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206"/>
      <c r="N216" s="206"/>
      <c r="O216" s="206"/>
      <c r="P216" s="206"/>
      <c r="Q216" s="206"/>
      <c r="R216" s="206"/>
      <c r="S216" s="206">
        <v>800</v>
      </c>
      <c r="T216" s="206"/>
      <c r="U216" s="206"/>
      <c r="V216" s="206"/>
      <c r="W216" s="206"/>
      <c r="X216" s="206"/>
      <c r="Y216" s="206"/>
      <c r="Z216" s="206"/>
      <c r="AA216" s="206"/>
      <c r="AB216" s="206"/>
      <c r="AC216" s="206"/>
      <c r="AD216" s="206"/>
      <c r="AE216" s="206"/>
      <c r="AF216" s="193">
        <f t="shared" si="16"/>
        <v>800</v>
      </c>
    </row>
    <row r="217" spans="1:32" s="56" customFormat="1" ht="18" customHeight="1" thickBot="1">
      <c r="A217" s="115" t="s">
        <v>193</v>
      </c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208"/>
      <c r="N217" s="208"/>
      <c r="O217" s="208"/>
      <c r="P217" s="208"/>
      <c r="Q217" s="208"/>
      <c r="R217" s="208"/>
      <c r="S217" s="208">
        <v>120000</v>
      </c>
      <c r="T217" s="208"/>
      <c r="U217" s="208"/>
      <c r="V217" s="208"/>
      <c r="W217" s="208"/>
      <c r="X217" s="208"/>
      <c r="Y217" s="208"/>
      <c r="Z217" s="208"/>
      <c r="AA217" s="208"/>
      <c r="AB217" s="208"/>
      <c r="AC217" s="208"/>
      <c r="AD217" s="208"/>
      <c r="AE217" s="208"/>
      <c r="AF217" s="194">
        <f t="shared" si="16"/>
        <v>120000</v>
      </c>
    </row>
    <row r="218" spans="1:34" s="56" customFormat="1" ht="19.5" customHeight="1" thickBot="1">
      <c r="A218" s="112" t="s">
        <v>77</v>
      </c>
      <c r="B218" s="17">
        <f aca="true" t="shared" si="17" ref="B218:G218">SUM(B219:B239)</f>
        <v>31234700</v>
      </c>
      <c r="C218" s="17">
        <f t="shared" si="17"/>
        <v>2513700</v>
      </c>
      <c r="D218" s="17">
        <f t="shared" si="17"/>
        <v>16500</v>
      </c>
      <c r="E218" s="17">
        <f t="shared" si="17"/>
        <v>5807580</v>
      </c>
      <c r="F218" s="17">
        <f t="shared" si="17"/>
        <v>742840</v>
      </c>
      <c r="G218" s="17">
        <f t="shared" si="17"/>
        <v>79800</v>
      </c>
      <c r="H218" s="17"/>
      <c r="I218" s="17"/>
      <c r="J218" s="17"/>
      <c r="K218" s="17"/>
      <c r="L218" s="17"/>
      <c r="M218" s="205">
        <f>SUM(M219:M239)</f>
        <v>28400</v>
      </c>
      <c r="N218" s="205">
        <f>SUM(N219:N239)</f>
        <v>229900</v>
      </c>
      <c r="O218" s="205"/>
      <c r="P218" s="205">
        <f aca="true" t="shared" si="18" ref="P218:Z218">SUM(P219:P239)</f>
        <v>78710</v>
      </c>
      <c r="Q218" s="205">
        <f t="shared" si="18"/>
        <v>1975200</v>
      </c>
      <c r="R218" s="205">
        <f t="shared" si="18"/>
        <v>33000</v>
      </c>
      <c r="S218" s="205">
        <f t="shared" si="18"/>
        <v>218090</v>
      </c>
      <c r="T218" s="205">
        <f t="shared" si="18"/>
        <v>55200</v>
      </c>
      <c r="U218" s="205">
        <f t="shared" si="18"/>
        <v>6200</v>
      </c>
      <c r="V218" s="205">
        <f t="shared" si="18"/>
        <v>109900</v>
      </c>
      <c r="W218" s="205">
        <f t="shared" si="18"/>
        <v>35800</v>
      </c>
      <c r="X218" s="205">
        <f t="shared" si="18"/>
        <v>35000</v>
      </c>
      <c r="Y218" s="205">
        <f t="shared" si="18"/>
        <v>145400</v>
      </c>
      <c r="Z218" s="205">
        <f t="shared" si="18"/>
        <v>2226721</v>
      </c>
      <c r="AA218" s="205"/>
      <c r="AB218" s="205">
        <f>SUM(AB219:AB239)</f>
        <v>2500</v>
      </c>
      <c r="AC218" s="205">
        <f>SUM(AC219:AC239)</f>
        <v>21300</v>
      </c>
      <c r="AD218" s="205">
        <f>SUM(AD219:AD239)</f>
        <v>16800</v>
      </c>
      <c r="AE218" s="205">
        <f>SUM(AE219:AE239)</f>
        <v>31000</v>
      </c>
      <c r="AF218" s="191">
        <f t="shared" si="16"/>
        <v>45644241</v>
      </c>
      <c r="AG218" s="51"/>
      <c r="AH218" s="51"/>
    </row>
    <row r="219" spans="1:34" s="56" customFormat="1" ht="18" customHeight="1">
      <c r="A219" s="144" t="s">
        <v>144</v>
      </c>
      <c r="B219" s="61">
        <v>2100000</v>
      </c>
      <c r="C219" s="61">
        <v>175000</v>
      </c>
      <c r="D219" s="61">
        <v>1000</v>
      </c>
      <c r="E219" s="61">
        <v>391300</v>
      </c>
      <c r="F219" s="61">
        <v>50050</v>
      </c>
      <c r="G219" s="61">
        <v>5000</v>
      </c>
      <c r="H219" s="61"/>
      <c r="I219" s="61"/>
      <c r="J219" s="61"/>
      <c r="K219" s="61"/>
      <c r="L219" s="61"/>
      <c r="M219" s="209"/>
      <c r="N219" s="209">
        <v>11000</v>
      </c>
      <c r="O219" s="209"/>
      <c r="P219" s="209">
        <v>7000</v>
      </c>
      <c r="Q219" s="209">
        <v>134000</v>
      </c>
      <c r="R219" s="209">
        <v>2000</v>
      </c>
      <c r="S219" s="209">
        <v>18000</v>
      </c>
      <c r="T219" s="209">
        <v>6000</v>
      </c>
      <c r="U219" s="209"/>
      <c r="V219" s="209">
        <v>8000</v>
      </c>
      <c r="W219" s="209">
        <v>5000</v>
      </c>
      <c r="X219" s="209">
        <v>16000</v>
      </c>
      <c r="Y219" s="209">
        <v>90000</v>
      </c>
      <c r="Z219" s="209">
        <f>132100+32841</f>
        <v>164941</v>
      </c>
      <c r="AA219" s="209"/>
      <c r="AB219" s="209"/>
      <c r="AC219" s="209">
        <v>1500</v>
      </c>
      <c r="AD219" s="209"/>
      <c r="AE219" s="209"/>
      <c r="AF219" s="192">
        <f t="shared" si="16"/>
        <v>3185791</v>
      </c>
      <c r="AG219" s="51"/>
      <c r="AH219" s="51"/>
    </row>
    <row r="220" spans="1:34" s="56" customFormat="1" ht="18" customHeight="1">
      <c r="A220" s="124" t="s">
        <v>145</v>
      </c>
      <c r="B220" s="60">
        <v>2180000</v>
      </c>
      <c r="C220" s="60">
        <v>176500</v>
      </c>
      <c r="D220" s="60">
        <v>1000</v>
      </c>
      <c r="E220" s="61">
        <v>405320</v>
      </c>
      <c r="F220" s="61">
        <v>51840</v>
      </c>
      <c r="G220" s="60">
        <v>4000</v>
      </c>
      <c r="H220" s="60"/>
      <c r="I220" s="60"/>
      <c r="J220" s="60"/>
      <c r="K220" s="60"/>
      <c r="L220" s="60"/>
      <c r="M220" s="207"/>
      <c r="N220" s="207">
        <v>23000</v>
      </c>
      <c r="O220" s="207"/>
      <c r="P220" s="207">
        <v>5000</v>
      </c>
      <c r="Q220" s="207">
        <v>153700</v>
      </c>
      <c r="R220" s="207">
        <v>2000</v>
      </c>
      <c r="S220" s="207">
        <v>19000</v>
      </c>
      <c r="T220" s="207">
        <v>4000</v>
      </c>
      <c r="U220" s="207">
        <v>3000</v>
      </c>
      <c r="V220" s="207">
        <v>8000</v>
      </c>
      <c r="W220" s="207">
        <v>1000</v>
      </c>
      <c r="X220" s="207">
        <v>2500</v>
      </c>
      <c r="Y220" s="207">
        <v>7000</v>
      </c>
      <c r="Z220" s="207">
        <f>132200+28836</f>
        <v>161036</v>
      </c>
      <c r="AA220" s="207"/>
      <c r="AB220" s="207"/>
      <c r="AC220" s="207">
        <v>2000</v>
      </c>
      <c r="AD220" s="207"/>
      <c r="AE220" s="207">
        <v>6000</v>
      </c>
      <c r="AF220" s="193">
        <f t="shared" si="16"/>
        <v>3215896</v>
      </c>
      <c r="AG220" s="51"/>
      <c r="AH220" s="51"/>
    </row>
    <row r="221" spans="1:32" s="56" customFormat="1" ht="18" customHeight="1">
      <c r="A221" s="124" t="s">
        <v>146</v>
      </c>
      <c r="B221" s="60">
        <v>2050000</v>
      </c>
      <c r="C221" s="60">
        <v>170000</v>
      </c>
      <c r="D221" s="60"/>
      <c r="E221" s="61">
        <v>381840</v>
      </c>
      <c r="F221" s="61">
        <v>48840</v>
      </c>
      <c r="G221" s="60">
        <v>9000</v>
      </c>
      <c r="H221" s="60"/>
      <c r="I221" s="60"/>
      <c r="J221" s="60"/>
      <c r="K221" s="60"/>
      <c r="L221" s="60"/>
      <c r="M221" s="207">
        <v>9500</v>
      </c>
      <c r="N221" s="207">
        <v>13000</v>
      </c>
      <c r="O221" s="207"/>
      <c r="P221" s="207">
        <v>4000</v>
      </c>
      <c r="Q221" s="207">
        <v>111800</v>
      </c>
      <c r="R221" s="207">
        <v>2000</v>
      </c>
      <c r="S221" s="207">
        <v>9500</v>
      </c>
      <c r="T221" s="207">
        <v>6500</v>
      </c>
      <c r="U221" s="207"/>
      <c r="V221" s="207">
        <v>8000</v>
      </c>
      <c r="W221" s="207">
        <v>1500</v>
      </c>
      <c r="X221" s="207">
        <v>4000</v>
      </c>
      <c r="Y221" s="207">
        <v>4000</v>
      </c>
      <c r="Z221" s="207">
        <f>149000+29637</f>
        <v>178637</v>
      </c>
      <c r="AA221" s="207"/>
      <c r="AB221" s="207"/>
      <c r="AC221" s="207"/>
      <c r="AD221" s="207"/>
      <c r="AE221" s="207"/>
      <c r="AF221" s="193">
        <f t="shared" si="16"/>
        <v>3012117</v>
      </c>
    </row>
    <row r="222" spans="1:32" s="56" customFormat="1" ht="20.25" customHeight="1">
      <c r="A222" s="124" t="s">
        <v>140</v>
      </c>
      <c r="B222" s="60">
        <v>1650000</v>
      </c>
      <c r="C222" s="60">
        <v>134000</v>
      </c>
      <c r="D222" s="60">
        <v>1000</v>
      </c>
      <c r="E222" s="61">
        <v>307020</v>
      </c>
      <c r="F222" s="61">
        <v>39270</v>
      </c>
      <c r="G222" s="60">
        <v>5000</v>
      </c>
      <c r="H222" s="60"/>
      <c r="I222" s="60"/>
      <c r="J222" s="60"/>
      <c r="K222" s="60"/>
      <c r="L222" s="60"/>
      <c r="M222" s="207"/>
      <c r="N222" s="207">
        <v>12000</v>
      </c>
      <c r="O222" s="207"/>
      <c r="P222" s="207">
        <v>7000</v>
      </c>
      <c r="Q222" s="207">
        <v>87100</v>
      </c>
      <c r="R222" s="207">
        <v>3300</v>
      </c>
      <c r="S222" s="207">
        <v>7340</v>
      </c>
      <c r="T222" s="207">
        <v>5500</v>
      </c>
      <c r="U222" s="207"/>
      <c r="V222" s="207">
        <v>8000</v>
      </c>
      <c r="W222" s="207">
        <v>2500</v>
      </c>
      <c r="X222" s="207"/>
      <c r="Y222" s="207">
        <v>3000</v>
      </c>
      <c r="Z222" s="207">
        <f>99000+15219</f>
        <v>114219</v>
      </c>
      <c r="AA222" s="207"/>
      <c r="AB222" s="207"/>
      <c r="AC222" s="207">
        <v>2000</v>
      </c>
      <c r="AD222" s="207">
        <v>2000</v>
      </c>
      <c r="AE222" s="207">
        <v>8000</v>
      </c>
      <c r="AF222" s="193">
        <f t="shared" si="16"/>
        <v>2398249</v>
      </c>
    </row>
    <row r="223" spans="1:32" s="56" customFormat="1" ht="18" customHeight="1">
      <c r="A223" s="124" t="s">
        <v>297</v>
      </c>
      <c r="B223" s="60">
        <v>2050000</v>
      </c>
      <c r="C223" s="60">
        <v>165000</v>
      </c>
      <c r="D223" s="60"/>
      <c r="E223" s="61">
        <v>380980</v>
      </c>
      <c r="F223" s="61">
        <v>48730</v>
      </c>
      <c r="G223" s="60">
        <v>7000</v>
      </c>
      <c r="H223" s="60"/>
      <c r="I223" s="60"/>
      <c r="J223" s="60"/>
      <c r="K223" s="60"/>
      <c r="L223" s="60"/>
      <c r="M223" s="207"/>
      <c r="N223" s="207">
        <v>11000</v>
      </c>
      <c r="O223" s="207"/>
      <c r="P223" s="207">
        <v>3000</v>
      </c>
      <c r="Q223" s="207">
        <v>127100</v>
      </c>
      <c r="R223" s="207">
        <v>2000</v>
      </c>
      <c r="S223" s="207">
        <v>17000</v>
      </c>
      <c r="T223" s="207">
        <v>3600</v>
      </c>
      <c r="U223" s="207"/>
      <c r="V223" s="207">
        <v>5000</v>
      </c>
      <c r="W223" s="207">
        <v>2000</v>
      </c>
      <c r="X223" s="207">
        <v>2000</v>
      </c>
      <c r="Y223" s="207">
        <v>5000</v>
      </c>
      <c r="Z223" s="207">
        <f>121300+36846</f>
        <v>158146</v>
      </c>
      <c r="AA223" s="207"/>
      <c r="AB223" s="207"/>
      <c r="AC223" s="207"/>
      <c r="AD223" s="207"/>
      <c r="AE223" s="207"/>
      <c r="AF223" s="193">
        <f t="shared" si="16"/>
        <v>2987556</v>
      </c>
    </row>
    <row r="224" spans="1:32" s="56" customFormat="1" ht="18" customHeight="1">
      <c r="A224" s="124" t="s">
        <v>141</v>
      </c>
      <c r="B224" s="60">
        <v>1890000</v>
      </c>
      <c r="C224" s="60">
        <v>148000</v>
      </c>
      <c r="D224" s="60">
        <v>1000</v>
      </c>
      <c r="E224" s="61">
        <v>350540</v>
      </c>
      <c r="F224" s="61">
        <v>44840</v>
      </c>
      <c r="G224" s="60">
        <v>3000</v>
      </c>
      <c r="H224" s="60"/>
      <c r="I224" s="60"/>
      <c r="J224" s="60"/>
      <c r="K224" s="60"/>
      <c r="L224" s="60"/>
      <c r="M224" s="207"/>
      <c r="N224" s="207">
        <v>13000</v>
      </c>
      <c r="O224" s="207"/>
      <c r="P224" s="207">
        <v>3000</v>
      </c>
      <c r="Q224" s="207">
        <v>109300</v>
      </c>
      <c r="R224" s="207">
        <v>2000</v>
      </c>
      <c r="S224" s="207">
        <v>17000</v>
      </c>
      <c r="T224" s="207">
        <v>1600</v>
      </c>
      <c r="U224" s="207"/>
      <c r="V224" s="207">
        <v>8000</v>
      </c>
      <c r="W224" s="207">
        <v>3000</v>
      </c>
      <c r="X224" s="207">
        <v>2000</v>
      </c>
      <c r="Y224" s="207">
        <v>3500</v>
      </c>
      <c r="Z224" s="207">
        <f>111500+21627</f>
        <v>133127</v>
      </c>
      <c r="AA224" s="207"/>
      <c r="AB224" s="207"/>
      <c r="AC224" s="207"/>
      <c r="AD224" s="207"/>
      <c r="AE224" s="207"/>
      <c r="AF224" s="193">
        <f t="shared" si="16"/>
        <v>2732907</v>
      </c>
    </row>
    <row r="225" spans="1:32" s="56" customFormat="1" ht="18" customHeight="1">
      <c r="A225" s="124" t="s">
        <v>142</v>
      </c>
      <c r="B225" s="60">
        <v>1950000</v>
      </c>
      <c r="C225" s="60">
        <v>151100</v>
      </c>
      <c r="D225" s="60"/>
      <c r="E225" s="61">
        <v>361390</v>
      </c>
      <c r="F225" s="61">
        <v>46220</v>
      </c>
      <c r="G225" s="60">
        <v>5000</v>
      </c>
      <c r="H225" s="60"/>
      <c r="I225" s="60"/>
      <c r="J225" s="60"/>
      <c r="K225" s="60"/>
      <c r="L225" s="60"/>
      <c r="M225" s="207"/>
      <c r="N225" s="207">
        <v>13000</v>
      </c>
      <c r="O225" s="207"/>
      <c r="P225" s="207"/>
      <c r="Q225" s="207">
        <v>112000</v>
      </c>
      <c r="R225" s="207">
        <v>2000</v>
      </c>
      <c r="S225" s="207">
        <v>20000</v>
      </c>
      <c r="T225" s="207">
        <v>2000</v>
      </c>
      <c r="U225" s="207"/>
      <c r="V225" s="207">
        <v>5000</v>
      </c>
      <c r="W225" s="207">
        <v>1000</v>
      </c>
      <c r="X225" s="207">
        <v>3500</v>
      </c>
      <c r="Y225" s="207">
        <v>3500</v>
      </c>
      <c r="Z225" s="207">
        <f>100100+20826</f>
        <v>120926</v>
      </c>
      <c r="AA225" s="207"/>
      <c r="AB225" s="207">
        <v>1000</v>
      </c>
      <c r="AC225" s="207">
        <v>2500</v>
      </c>
      <c r="AD225" s="207">
        <v>5000</v>
      </c>
      <c r="AE225" s="207"/>
      <c r="AF225" s="193">
        <f t="shared" si="16"/>
        <v>2805136</v>
      </c>
    </row>
    <row r="226" spans="1:32" s="56" customFormat="1" ht="18" customHeight="1">
      <c r="A226" s="124" t="s">
        <v>78</v>
      </c>
      <c r="B226" s="60">
        <v>1960000</v>
      </c>
      <c r="C226" s="60">
        <v>160700</v>
      </c>
      <c r="D226" s="60"/>
      <c r="E226" s="61">
        <v>365620</v>
      </c>
      <c r="F226" s="61">
        <v>46770</v>
      </c>
      <c r="G226" s="60">
        <v>5000</v>
      </c>
      <c r="H226" s="60"/>
      <c r="I226" s="60"/>
      <c r="J226" s="60"/>
      <c r="K226" s="60"/>
      <c r="L226" s="60"/>
      <c r="M226" s="207">
        <v>5000</v>
      </c>
      <c r="N226" s="207">
        <v>12000</v>
      </c>
      <c r="O226" s="207"/>
      <c r="P226" s="207">
        <v>5000</v>
      </c>
      <c r="Q226" s="207">
        <v>89300</v>
      </c>
      <c r="R226" s="207">
        <v>2000</v>
      </c>
      <c r="S226" s="207">
        <v>8300</v>
      </c>
      <c r="T226" s="207">
        <v>5000</v>
      </c>
      <c r="U226" s="207"/>
      <c r="V226" s="207">
        <v>8000</v>
      </c>
      <c r="W226" s="207">
        <v>2800</v>
      </c>
      <c r="X226" s="207"/>
      <c r="Y226" s="207">
        <v>3400</v>
      </c>
      <c r="Z226" s="207">
        <f>114200+20025</f>
        <v>134225</v>
      </c>
      <c r="AA226" s="207"/>
      <c r="AB226" s="207"/>
      <c r="AC226" s="207">
        <v>2000</v>
      </c>
      <c r="AD226" s="207">
        <v>2000</v>
      </c>
      <c r="AE226" s="207"/>
      <c r="AF226" s="193">
        <f t="shared" si="16"/>
        <v>2817115</v>
      </c>
    </row>
    <row r="227" spans="1:32" s="56" customFormat="1" ht="18" customHeight="1">
      <c r="A227" s="124" t="s">
        <v>143</v>
      </c>
      <c r="B227" s="60">
        <v>2050000</v>
      </c>
      <c r="C227" s="60">
        <v>169000</v>
      </c>
      <c r="D227" s="60">
        <v>1000</v>
      </c>
      <c r="E227" s="61">
        <v>381670</v>
      </c>
      <c r="F227" s="61">
        <v>48820</v>
      </c>
      <c r="G227" s="60">
        <v>5000</v>
      </c>
      <c r="H227" s="60"/>
      <c r="I227" s="60"/>
      <c r="J227" s="60"/>
      <c r="K227" s="60"/>
      <c r="L227" s="60"/>
      <c r="M227" s="207"/>
      <c r="N227" s="207">
        <v>12000</v>
      </c>
      <c r="O227" s="207"/>
      <c r="P227" s="207">
        <v>5000</v>
      </c>
      <c r="Q227" s="207">
        <v>126100</v>
      </c>
      <c r="R227" s="207">
        <v>1500</v>
      </c>
      <c r="S227" s="207">
        <v>7500</v>
      </c>
      <c r="T227" s="207">
        <v>4000</v>
      </c>
      <c r="U227" s="207"/>
      <c r="V227" s="207">
        <v>8000</v>
      </c>
      <c r="W227" s="207">
        <v>3000</v>
      </c>
      <c r="X227" s="207"/>
      <c r="Y227" s="207">
        <v>1100</v>
      </c>
      <c r="Z227" s="207">
        <f>119100+23229</f>
        <v>142329</v>
      </c>
      <c r="AA227" s="207"/>
      <c r="AB227" s="207"/>
      <c r="AC227" s="207"/>
      <c r="AD227" s="207"/>
      <c r="AE227" s="207">
        <v>5000</v>
      </c>
      <c r="AF227" s="193">
        <f t="shared" si="16"/>
        <v>2971019</v>
      </c>
    </row>
    <row r="228" spans="1:32" s="56" customFormat="1" ht="18" customHeight="1">
      <c r="A228" s="124" t="s">
        <v>205</v>
      </c>
      <c r="B228" s="60">
        <v>1052700</v>
      </c>
      <c r="C228" s="60">
        <v>84400</v>
      </c>
      <c r="D228" s="60">
        <v>3300</v>
      </c>
      <c r="E228" s="61">
        <v>196150</v>
      </c>
      <c r="F228" s="61">
        <v>25090</v>
      </c>
      <c r="G228" s="60">
        <v>2000</v>
      </c>
      <c r="H228" s="60"/>
      <c r="I228" s="60"/>
      <c r="J228" s="60"/>
      <c r="K228" s="60"/>
      <c r="L228" s="60"/>
      <c r="M228" s="207">
        <v>1800</v>
      </c>
      <c r="N228" s="207">
        <v>10000</v>
      </c>
      <c r="O228" s="207"/>
      <c r="P228" s="207">
        <v>5000</v>
      </c>
      <c r="Q228" s="207">
        <v>71200</v>
      </c>
      <c r="R228" s="207">
        <v>1200</v>
      </c>
      <c r="S228" s="207">
        <v>8500</v>
      </c>
      <c r="T228" s="207">
        <v>1200</v>
      </c>
      <c r="U228" s="207"/>
      <c r="V228" s="207">
        <v>3800</v>
      </c>
      <c r="W228" s="207">
        <v>800</v>
      </c>
      <c r="X228" s="207"/>
      <c r="Y228" s="207">
        <v>2200</v>
      </c>
      <c r="Z228" s="207">
        <f>52200</f>
        <v>52200</v>
      </c>
      <c r="AA228" s="207"/>
      <c r="AB228" s="207"/>
      <c r="AC228" s="207">
        <v>1200</v>
      </c>
      <c r="AD228" s="207">
        <v>2000</v>
      </c>
      <c r="AE228" s="207"/>
      <c r="AF228" s="193">
        <f t="shared" si="16"/>
        <v>1524740</v>
      </c>
    </row>
    <row r="229" spans="1:32" s="56" customFormat="1" ht="25.5">
      <c r="A229" s="124" t="s">
        <v>319</v>
      </c>
      <c r="B229" s="60">
        <v>600000</v>
      </c>
      <c r="C229" s="60">
        <v>46400</v>
      </c>
      <c r="D229" s="60"/>
      <c r="E229" s="61">
        <v>111180</v>
      </c>
      <c r="F229" s="61">
        <v>14220</v>
      </c>
      <c r="G229" s="60">
        <v>3000</v>
      </c>
      <c r="H229" s="60"/>
      <c r="I229" s="60"/>
      <c r="J229" s="60"/>
      <c r="K229" s="60"/>
      <c r="L229" s="60"/>
      <c r="M229" s="207"/>
      <c r="N229" s="207">
        <v>13000</v>
      </c>
      <c r="O229" s="207"/>
      <c r="P229" s="207">
        <v>2000</v>
      </c>
      <c r="Q229" s="207">
        <v>55100</v>
      </c>
      <c r="R229" s="207">
        <v>1100</v>
      </c>
      <c r="S229" s="207">
        <v>4000</v>
      </c>
      <c r="T229" s="207">
        <v>1300</v>
      </c>
      <c r="U229" s="207"/>
      <c r="V229" s="207">
        <v>3500</v>
      </c>
      <c r="W229" s="207">
        <v>900</v>
      </c>
      <c r="X229" s="207"/>
      <c r="Y229" s="207">
        <v>700</v>
      </c>
      <c r="Z229" s="207">
        <v>48500</v>
      </c>
      <c r="AA229" s="207"/>
      <c r="AB229" s="207"/>
      <c r="AC229" s="207"/>
      <c r="AD229" s="207"/>
      <c r="AE229" s="207"/>
      <c r="AF229" s="193">
        <f t="shared" si="16"/>
        <v>904900</v>
      </c>
    </row>
    <row r="230" spans="1:32" s="56" customFormat="1" ht="25.5">
      <c r="A230" s="124" t="s">
        <v>79</v>
      </c>
      <c r="B230" s="60">
        <v>1300000</v>
      </c>
      <c r="C230" s="60">
        <v>105800</v>
      </c>
      <c r="D230" s="60"/>
      <c r="E230" s="61">
        <v>241800</v>
      </c>
      <c r="F230" s="61">
        <v>30930</v>
      </c>
      <c r="G230" s="60">
        <v>3500</v>
      </c>
      <c r="H230" s="60"/>
      <c r="I230" s="60"/>
      <c r="J230" s="60"/>
      <c r="K230" s="60"/>
      <c r="L230" s="60"/>
      <c r="M230" s="207"/>
      <c r="N230" s="207">
        <v>12000</v>
      </c>
      <c r="O230" s="207"/>
      <c r="P230" s="207">
        <v>2000</v>
      </c>
      <c r="Q230" s="207">
        <v>86200</v>
      </c>
      <c r="R230" s="207">
        <v>1500</v>
      </c>
      <c r="S230" s="207">
        <v>12500</v>
      </c>
      <c r="T230" s="207">
        <v>3000</v>
      </c>
      <c r="U230" s="207"/>
      <c r="V230" s="207">
        <v>2500</v>
      </c>
      <c r="W230" s="207">
        <v>300</v>
      </c>
      <c r="X230" s="207"/>
      <c r="Y230" s="207">
        <v>1500</v>
      </c>
      <c r="Z230" s="207">
        <f>91000+28035</f>
        <v>119035</v>
      </c>
      <c r="AA230" s="207"/>
      <c r="AB230" s="207"/>
      <c r="AC230" s="207">
        <v>2000</v>
      </c>
      <c r="AD230" s="207"/>
      <c r="AE230" s="207"/>
      <c r="AF230" s="193">
        <f t="shared" si="16"/>
        <v>1924565</v>
      </c>
    </row>
    <row r="231" spans="1:32" s="56" customFormat="1" ht="18" customHeight="1">
      <c r="A231" s="124" t="s">
        <v>329</v>
      </c>
      <c r="B231" s="60">
        <v>1302000</v>
      </c>
      <c r="C231" s="60">
        <v>103000</v>
      </c>
      <c r="D231" s="60">
        <v>1500</v>
      </c>
      <c r="E231" s="61">
        <v>241920</v>
      </c>
      <c r="F231" s="61">
        <v>30940</v>
      </c>
      <c r="G231" s="60">
        <v>3500</v>
      </c>
      <c r="H231" s="60"/>
      <c r="I231" s="60"/>
      <c r="J231" s="60"/>
      <c r="K231" s="60"/>
      <c r="L231" s="60"/>
      <c r="M231" s="207"/>
      <c r="N231" s="207">
        <v>12000</v>
      </c>
      <c r="O231" s="207"/>
      <c r="P231" s="207">
        <v>5000</v>
      </c>
      <c r="Q231" s="207">
        <v>127300</v>
      </c>
      <c r="R231" s="207">
        <v>1200</v>
      </c>
      <c r="S231" s="207">
        <v>6470</v>
      </c>
      <c r="T231" s="207">
        <v>1200</v>
      </c>
      <c r="U231" s="207"/>
      <c r="V231" s="207">
        <v>2000</v>
      </c>
      <c r="W231" s="207">
        <v>2150</v>
      </c>
      <c r="X231" s="207"/>
      <c r="Y231" s="207">
        <v>2800</v>
      </c>
      <c r="Z231" s="207">
        <f>71500+801</f>
        <v>72301</v>
      </c>
      <c r="AA231" s="207"/>
      <c r="AB231" s="207"/>
      <c r="AC231" s="207"/>
      <c r="AD231" s="207"/>
      <c r="AE231" s="207"/>
      <c r="AF231" s="193">
        <f t="shared" si="16"/>
        <v>1915281</v>
      </c>
    </row>
    <row r="232" spans="1:32" s="56" customFormat="1" ht="18" customHeight="1">
      <c r="A232" s="124" t="s">
        <v>180</v>
      </c>
      <c r="B232" s="60">
        <v>1050000</v>
      </c>
      <c r="C232" s="60">
        <v>86000</v>
      </c>
      <c r="D232" s="60">
        <v>1000</v>
      </c>
      <c r="E232" s="61">
        <v>195390</v>
      </c>
      <c r="F232" s="61">
        <v>24990</v>
      </c>
      <c r="G232" s="60">
        <v>1000</v>
      </c>
      <c r="H232" s="60"/>
      <c r="I232" s="60"/>
      <c r="J232" s="60"/>
      <c r="K232" s="60"/>
      <c r="L232" s="60"/>
      <c r="M232" s="207"/>
      <c r="N232" s="207">
        <v>12000</v>
      </c>
      <c r="O232" s="207"/>
      <c r="P232" s="207">
        <v>5000</v>
      </c>
      <c r="Q232" s="207">
        <v>51600</v>
      </c>
      <c r="R232" s="207">
        <v>2000</v>
      </c>
      <c r="S232" s="207">
        <v>8000</v>
      </c>
      <c r="T232" s="207"/>
      <c r="U232" s="207"/>
      <c r="V232" s="207">
        <v>2000</v>
      </c>
      <c r="W232" s="207">
        <v>2000</v>
      </c>
      <c r="X232" s="207"/>
      <c r="Y232" s="207"/>
      <c r="Z232" s="207">
        <f>70600+6408</f>
        <v>77008</v>
      </c>
      <c r="AA232" s="207"/>
      <c r="AB232" s="207"/>
      <c r="AC232" s="207"/>
      <c r="AD232" s="207"/>
      <c r="AE232" s="207"/>
      <c r="AF232" s="193">
        <f t="shared" si="16"/>
        <v>1517988</v>
      </c>
    </row>
    <row r="233" spans="1:32" s="56" customFormat="1" ht="18" customHeight="1">
      <c r="A233" s="124" t="s">
        <v>206</v>
      </c>
      <c r="B233" s="60">
        <v>1250000</v>
      </c>
      <c r="C233" s="60">
        <v>89000</v>
      </c>
      <c r="D233" s="60"/>
      <c r="E233" s="61">
        <v>230310</v>
      </c>
      <c r="F233" s="61">
        <v>29460</v>
      </c>
      <c r="G233" s="60">
        <v>2300</v>
      </c>
      <c r="H233" s="60"/>
      <c r="I233" s="60"/>
      <c r="J233" s="60"/>
      <c r="K233" s="60"/>
      <c r="L233" s="60"/>
      <c r="M233" s="207"/>
      <c r="N233" s="207">
        <v>5100</v>
      </c>
      <c r="O233" s="207"/>
      <c r="P233" s="207">
        <v>3600</v>
      </c>
      <c r="Q233" s="207">
        <v>47100</v>
      </c>
      <c r="R233" s="207">
        <v>1000</v>
      </c>
      <c r="S233" s="207">
        <v>5000</v>
      </c>
      <c r="T233" s="207">
        <v>1300</v>
      </c>
      <c r="U233" s="207">
        <v>2000</v>
      </c>
      <c r="V233" s="207">
        <v>3000</v>
      </c>
      <c r="W233" s="207">
        <v>1000</v>
      </c>
      <c r="X233" s="207"/>
      <c r="Y233" s="207">
        <v>2000</v>
      </c>
      <c r="Z233" s="207">
        <f>58600+13617</f>
        <v>72217</v>
      </c>
      <c r="AA233" s="207"/>
      <c r="AB233" s="207"/>
      <c r="AC233" s="207">
        <v>800</v>
      </c>
      <c r="AD233" s="207">
        <v>2000</v>
      </c>
      <c r="AE233" s="207"/>
      <c r="AF233" s="193">
        <f t="shared" si="16"/>
        <v>1747187</v>
      </c>
    </row>
    <row r="234" spans="1:32" s="56" customFormat="1" ht="18" customHeight="1">
      <c r="A234" s="124" t="s">
        <v>80</v>
      </c>
      <c r="B234" s="60">
        <v>600000</v>
      </c>
      <c r="C234" s="60">
        <v>48000</v>
      </c>
      <c r="D234" s="60"/>
      <c r="E234" s="61">
        <v>111460</v>
      </c>
      <c r="F234" s="61">
        <v>14260</v>
      </c>
      <c r="G234" s="60">
        <v>900</v>
      </c>
      <c r="H234" s="60"/>
      <c r="I234" s="60"/>
      <c r="J234" s="60"/>
      <c r="K234" s="60"/>
      <c r="L234" s="60"/>
      <c r="M234" s="207"/>
      <c r="N234" s="207">
        <v>5000</v>
      </c>
      <c r="O234" s="207"/>
      <c r="P234" s="207">
        <v>800</v>
      </c>
      <c r="Q234" s="207">
        <v>41800</v>
      </c>
      <c r="R234" s="207">
        <v>600</v>
      </c>
      <c r="S234" s="207">
        <v>3620</v>
      </c>
      <c r="T234" s="207">
        <v>900</v>
      </c>
      <c r="U234" s="207"/>
      <c r="V234" s="207">
        <v>1000</v>
      </c>
      <c r="W234" s="207">
        <v>600</v>
      </c>
      <c r="X234" s="207"/>
      <c r="Y234" s="207">
        <v>2500</v>
      </c>
      <c r="Z234" s="207">
        <f>34000+1602</f>
        <v>35602</v>
      </c>
      <c r="AA234" s="207"/>
      <c r="AB234" s="207"/>
      <c r="AC234" s="207"/>
      <c r="AD234" s="207"/>
      <c r="AE234" s="207"/>
      <c r="AF234" s="193">
        <f t="shared" si="16"/>
        <v>867042</v>
      </c>
    </row>
    <row r="235" spans="1:32" s="56" customFormat="1" ht="18" customHeight="1">
      <c r="A235" s="124" t="s">
        <v>81</v>
      </c>
      <c r="B235" s="60">
        <v>1400000</v>
      </c>
      <c r="C235" s="60">
        <v>109900</v>
      </c>
      <c r="D235" s="60">
        <v>1200</v>
      </c>
      <c r="E235" s="61">
        <v>259910</v>
      </c>
      <c r="F235" s="61">
        <v>33240</v>
      </c>
      <c r="G235" s="60">
        <v>7000</v>
      </c>
      <c r="H235" s="60"/>
      <c r="I235" s="60"/>
      <c r="J235" s="60"/>
      <c r="K235" s="60"/>
      <c r="L235" s="60"/>
      <c r="M235" s="207">
        <v>6000</v>
      </c>
      <c r="N235" s="207">
        <v>12000</v>
      </c>
      <c r="O235" s="207"/>
      <c r="P235" s="207">
        <v>5000</v>
      </c>
      <c r="Q235" s="207">
        <v>116700</v>
      </c>
      <c r="R235" s="207">
        <v>1500</v>
      </c>
      <c r="S235" s="207">
        <v>12000</v>
      </c>
      <c r="T235" s="207">
        <v>3000</v>
      </c>
      <c r="U235" s="207">
        <v>1200</v>
      </c>
      <c r="V235" s="207">
        <v>8000</v>
      </c>
      <c r="W235" s="207">
        <v>1000</v>
      </c>
      <c r="X235" s="207"/>
      <c r="Y235" s="207">
        <v>1500</v>
      </c>
      <c r="Z235" s="207">
        <f>85800+39249</f>
        <v>125049</v>
      </c>
      <c r="AA235" s="207"/>
      <c r="AB235" s="207"/>
      <c r="AC235" s="207">
        <v>2000</v>
      </c>
      <c r="AD235" s="207"/>
      <c r="AE235" s="207"/>
      <c r="AF235" s="193">
        <f t="shared" si="16"/>
        <v>2106199</v>
      </c>
    </row>
    <row r="236" spans="1:32" s="56" customFormat="1" ht="18" customHeight="1">
      <c r="A236" s="124" t="s">
        <v>82</v>
      </c>
      <c r="B236" s="60">
        <v>1000000</v>
      </c>
      <c r="C236" s="60">
        <v>78000</v>
      </c>
      <c r="D236" s="60"/>
      <c r="E236" s="61">
        <v>185420</v>
      </c>
      <c r="F236" s="61">
        <v>23720</v>
      </c>
      <c r="G236" s="60">
        <v>2000</v>
      </c>
      <c r="H236" s="60"/>
      <c r="I236" s="60"/>
      <c r="J236" s="60"/>
      <c r="K236" s="60"/>
      <c r="L236" s="60"/>
      <c r="M236" s="207"/>
      <c r="N236" s="207">
        <v>6800</v>
      </c>
      <c r="O236" s="207"/>
      <c r="P236" s="207">
        <v>3200</v>
      </c>
      <c r="Q236" s="207">
        <v>56000</v>
      </c>
      <c r="R236" s="207">
        <v>900</v>
      </c>
      <c r="S236" s="207">
        <v>8300</v>
      </c>
      <c r="T236" s="207"/>
      <c r="U236" s="207"/>
      <c r="V236" s="207">
        <v>700</v>
      </c>
      <c r="W236" s="207">
        <v>1000</v>
      </c>
      <c r="X236" s="207">
        <v>1000</v>
      </c>
      <c r="Y236" s="207">
        <v>1500</v>
      </c>
      <c r="Z236" s="207">
        <f>45000+3204</f>
        <v>48204</v>
      </c>
      <c r="AA236" s="207"/>
      <c r="AB236" s="207"/>
      <c r="AC236" s="207">
        <v>800</v>
      </c>
      <c r="AD236" s="207">
        <v>800</v>
      </c>
      <c r="AE236" s="207"/>
      <c r="AF236" s="193">
        <f t="shared" si="16"/>
        <v>1418344</v>
      </c>
    </row>
    <row r="237" spans="1:32" s="56" customFormat="1" ht="18" customHeight="1">
      <c r="A237" s="124" t="s">
        <v>83</v>
      </c>
      <c r="B237" s="60">
        <v>550000</v>
      </c>
      <c r="C237" s="60">
        <v>45000</v>
      </c>
      <c r="D237" s="60"/>
      <c r="E237" s="61">
        <v>102340</v>
      </c>
      <c r="F237" s="61">
        <v>13090</v>
      </c>
      <c r="G237" s="60">
        <v>1100</v>
      </c>
      <c r="H237" s="60"/>
      <c r="I237" s="60"/>
      <c r="J237" s="60"/>
      <c r="K237" s="60"/>
      <c r="L237" s="60"/>
      <c r="M237" s="207"/>
      <c r="N237" s="207">
        <v>4500</v>
      </c>
      <c r="O237" s="207"/>
      <c r="P237" s="207">
        <v>330</v>
      </c>
      <c r="Q237" s="207">
        <v>48000</v>
      </c>
      <c r="R237" s="207">
        <v>300</v>
      </c>
      <c r="S237" s="207">
        <v>5460</v>
      </c>
      <c r="T237" s="207">
        <v>500</v>
      </c>
      <c r="U237" s="207"/>
      <c r="V237" s="207">
        <v>4000</v>
      </c>
      <c r="W237" s="207">
        <v>1000</v>
      </c>
      <c r="X237" s="207"/>
      <c r="Y237" s="207">
        <v>1600</v>
      </c>
      <c r="Z237" s="207">
        <f>25100</f>
        <v>25100</v>
      </c>
      <c r="AA237" s="207"/>
      <c r="AB237" s="207"/>
      <c r="AC237" s="207">
        <v>500</v>
      </c>
      <c r="AD237" s="207"/>
      <c r="AE237" s="207"/>
      <c r="AF237" s="193">
        <f t="shared" si="16"/>
        <v>802820</v>
      </c>
    </row>
    <row r="238" spans="1:32" s="56" customFormat="1" ht="17.25" customHeight="1">
      <c r="A238" s="124" t="s">
        <v>357</v>
      </c>
      <c r="B238" s="60">
        <v>2200000</v>
      </c>
      <c r="C238" s="60">
        <v>184000</v>
      </c>
      <c r="D238" s="60">
        <v>4500</v>
      </c>
      <c r="E238" s="61">
        <v>410820</v>
      </c>
      <c r="F238" s="61">
        <v>52550</v>
      </c>
      <c r="G238" s="60">
        <v>4000</v>
      </c>
      <c r="H238" s="60"/>
      <c r="I238" s="60"/>
      <c r="J238" s="60"/>
      <c r="K238" s="60"/>
      <c r="L238" s="60"/>
      <c r="M238" s="207">
        <v>4600</v>
      </c>
      <c r="N238" s="207">
        <v>12000</v>
      </c>
      <c r="O238" s="207"/>
      <c r="P238" s="207">
        <v>4500</v>
      </c>
      <c r="Q238" s="207">
        <v>134000</v>
      </c>
      <c r="R238" s="207">
        <v>2000</v>
      </c>
      <c r="S238" s="207">
        <v>17000</v>
      </c>
      <c r="T238" s="207">
        <v>3000</v>
      </c>
      <c r="U238" s="207"/>
      <c r="V238" s="207">
        <v>8000</v>
      </c>
      <c r="W238" s="207">
        <v>3000</v>
      </c>
      <c r="X238" s="207">
        <v>4000</v>
      </c>
      <c r="Y238" s="207">
        <v>8000</v>
      </c>
      <c r="Z238" s="207">
        <f>165200+13617</f>
        <v>178817</v>
      </c>
      <c r="AA238" s="207"/>
      <c r="AB238" s="207">
        <v>1500</v>
      </c>
      <c r="AC238" s="207">
        <v>2000</v>
      </c>
      <c r="AD238" s="207">
        <v>2000</v>
      </c>
      <c r="AE238" s="207">
        <v>12000</v>
      </c>
      <c r="AF238" s="193">
        <f t="shared" si="16"/>
        <v>3252287</v>
      </c>
    </row>
    <row r="239" spans="1:32" s="56" customFormat="1" ht="18" customHeight="1" thickBot="1">
      <c r="A239" s="145" t="s">
        <v>301</v>
      </c>
      <c r="B239" s="63">
        <v>1050000</v>
      </c>
      <c r="C239" s="63">
        <v>84900</v>
      </c>
      <c r="D239" s="63"/>
      <c r="E239" s="62">
        <v>195200</v>
      </c>
      <c r="F239" s="62">
        <v>24970</v>
      </c>
      <c r="G239" s="63">
        <v>1500</v>
      </c>
      <c r="H239" s="63"/>
      <c r="I239" s="63"/>
      <c r="J239" s="63"/>
      <c r="K239" s="63"/>
      <c r="L239" s="63"/>
      <c r="M239" s="208">
        <v>1500</v>
      </c>
      <c r="N239" s="208">
        <v>5500</v>
      </c>
      <c r="O239" s="208"/>
      <c r="P239" s="208">
        <v>3280</v>
      </c>
      <c r="Q239" s="208">
        <v>89800</v>
      </c>
      <c r="R239" s="208">
        <v>900</v>
      </c>
      <c r="S239" s="208">
        <v>3600</v>
      </c>
      <c r="T239" s="208">
        <v>1600</v>
      </c>
      <c r="U239" s="208"/>
      <c r="V239" s="208">
        <v>5400</v>
      </c>
      <c r="W239" s="208">
        <v>250</v>
      </c>
      <c r="X239" s="208"/>
      <c r="Y239" s="208">
        <v>600</v>
      </c>
      <c r="Z239" s="208">
        <f>63500+1602</f>
        <v>65102</v>
      </c>
      <c r="AA239" s="208"/>
      <c r="AB239" s="208"/>
      <c r="AC239" s="208">
        <v>2000</v>
      </c>
      <c r="AD239" s="208">
        <v>1000</v>
      </c>
      <c r="AE239" s="208"/>
      <c r="AF239" s="194">
        <f t="shared" si="16"/>
        <v>1537102</v>
      </c>
    </row>
    <row r="240" spans="1:34" s="56" customFormat="1" ht="19.5" customHeight="1" thickBot="1">
      <c r="A240" s="112" t="s">
        <v>97</v>
      </c>
      <c r="B240" s="17">
        <f aca="true" t="shared" si="19" ref="B240:G240">SUM(B241:B242)</f>
        <v>437000</v>
      </c>
      <c r="C240" s="17">
        <f t="shared" si="19"/>
        <v>53100</v>
      </c>
      <c r="D240" s="17">
        <f t="shared" si="19"/>
        <v>900</v>
      </c>
      <c r="E240" s="17">
        <f t="shared" si="19"/>
        <v>82400</v>
      </c>
      <c r="F240" s="17">
        <f t="shared" si="19"/>
        <v>10000</v>
      </c>
      <c r="G240" s="17">
        <f t="shared" si="19"/>
        <v>1800</v>
      </c>
      <c r="H240" s="17"/>
      <c r="I240" s="17"/>
      <c r="J240" s="17"/>
      <c r="K240" s="17"/>
      <c r="L240" s="17"/>
      <c r="M240" s="205"/>
      <c r="N240" s="205">
        <f>SUM(N241:N242)</f>
        <v>4250</v>
      </c>
      <c r="O240" s="205"/>
      <c r="P240" s="205">
        <f>SUM(P241:P242)</f>
        <v>2500</v>
      </c>
      <c r="Q240" s="205">
        <f>SUM(Q241:Q242)</f>
        <v>23000</v>
      </c>
      <c r="R240" s="205">
        <f>SUM(R241:R242)</f>
        <v>300</v>
      </c>
      <c r="S240" s="205">
        <f>SUM(S241:S242)</f>
        <v>4300</v>
      </c>
      <c r="T240" s="205">
        <f>SUM(T241:T242)</f>
        <v>200</v>
      </c>
      <c r="U240" s="205"/>
      <c r="V240" s="205">
        <f>SUM(V241:V242)</f>
        <v>3350</v>
      </c>
      <c r="W240" s="205">
        <f>SUM(W241:W242)</f>
        <v>100</v>
      </c>
      <c r="X240" s="205"/>
      <c r="Y240" s="205">
        <f>SUM(Y241:Y242)</f>
        <v>3700</v>
      </c>
      <c r="Z240" s="205">
        <f>SUM(Z241:Z242)</f>
        <v>24907</v>
      </c>
      <c r="AA240" s="205"/>
      <c r="AB240" s="205">
        <f>SUM(AB241:AB242)</f>
        <v>500</v>
      </c>
      <c r="AC240" s="205">
        <f>SUM(AC241:AC242)</f>
        <v>1800</v>
      </c>
      <c r="AD240" s="205">
        <f>SUM(AD241:AD242)</f>
        <v>2500</v>
      </c>
      <c r="AE240" s="205"/>
      <c r="AF240" s="191">
        <f t="shared" si="16"/>
        <v>656607</v>
      </c>
      <c r="AG240" s="51"/>
      <c r="AH240" s="51"/>
    </row>
    <row r="241" spans="1:34" s="56" customFormat="1" ht="18" customHeight="1">
      <c r="A241" s="113" t="s">
        <v>316</v>
      </c>
      <c r="B241" s="61">
        <v>138000</v>
      </c>
      <c r="C241" s="61">
        <v>23400</v>
      </c>
      <c r="D241" s="61"/>
      <c r="E241" s="61">
        <v>27300</v>
      </c>
      <c r="F241" s="61">
        <v>3400</v>
      </c>
      <c r="G241" s="61">
        <v>1300</v>
      </c>
      <c r="H241" s="61"/>
      <c r="I241" s="61"/>
      <c r="J241" s="61"/>
      <c r="K241" s="61"/>
      <c r="L241" s="61"/>
      <c r="M241" s="209"/>
      <c r="N241" s="209">
        <v>2250</v>
      </c>
      <c r="O241" s="209"/>
      <c r="P241" s="209">
        <v>500</v>
      </c>
      <c r="Q241" s="209">
        <v>9000</v>
      </c>
      <c r="R241" s="209"/>
      <c r="S241" s="209">
        <v>2000</v>
      </c>
      <c r="T241" s="209"/>
      <c r="U241" s="209"/>
      <c r="V241" s="209">
        <v>1950</v>
      </c>
      <c r="W241" s="209"/>
      <c r="X241" s="209"/>
      <c r="Y241" s="209">
        <v>3000</v>
      </c>
      <c r="Z241" s="209">
        <f>3700+1602</f>
        <v>5302</v>
      </c>
      <c r="AA241" s="209"/>
      <c r="AB241" s="209"/>
      <c r="AC241" s="209">
        <v>500</v>
      </c>
      <c r="AD241" s="209">
        <v>500</v>
      </c>
      <c r="AE241" s="209"/>
      <c r="AF241" s="192">
        <f t="shared" si="16"/>
        <v>218402</v>
      </c>
      <c r="AG241" s="51"/>
      <c r="AH241" s="51"/>
    </row>
    <row r="242" spans="1:34" s="56" customFormat="1" ht="26.25" thickBot="1">
      <c r="A242" s="145" t="s">
        <v>84</v>
      </c>
      <c r="B242" s="63">
        <v>299000</v>
      </c>
      <c r="C242" s="63">
        <v>29700</v>
      </c>
      <c r="D242" s="63">
        <v>900</v>
      </c>
      <c r="E242" s="63">
        <v>55100</v>
      </c>
      <c r="F242" s="63">
        <v>6600</v>
      </c>
      <c r="G242" s="63">
        <v>500</v>
      </c>
      <c r="H242" s="63"/>
      <c r="I242" s="63"/>
      <c r="J242" s="63"/>
      <c r="K242" s="63"/>
      <c r="L242" s="63"/>
      <c r="M242" s="208"/>
      <c r="N242" s="208">
        <v>2000</v>
      </c>
      <c r="O242" s="208"/>
      <c r="P242" s="208">
        <v>2000</v>
      </c>
      <c r="Q242" s="208">
        <v>14000</v>
      </c>
      <c r="R242" s="208">
        <v>300</v>
      </c>
      <c r="S242" s="208">
        <v>2300</v>
      </c>
      <c r="T242" s="208">
        <v>200</v>
      </c>
      <c r="U242" s="208"/>
      <c r="V242" s="208">
        <v>1400</v>
      </c>
      <c r="W242" s="208">
        <v>100</v>
      </c>
      <c r="X242" s="208"/>
      <c r="Y242" s="208">
        <v>700</v>
      </c>
      <c r="Z242" s="208">
        <f>15600+4005</f>
        <v>19605</v>
      </c>
      <c r="AA242" s="208"/>
      <c r="AB242" s="208">
        <v>500</v>
      </c>
      <c r="AC242" s="208">
        <v>1300</v>
      </c>
      <c r="AD242" s="208">
        <v>2000</v>
      </c>
      <c r="AE242" s="208"/>
      <c r="AF242" s="194">
        <f t="shared" si="16"/>
        <v>438205</v>
      </c>
      <c r="AG242" s="51"/>
      <c r="AH242" s="51"/>
    </row>
    <row r="243" spans="1:34" s="56" customFormat="1" ht="19.5" customHeight="1" thickBot="1">
      <c r="A243" s="146" t="s">
        <v>304</v>
      </c>
      <c r="B243" s="17">
        <f>SUM(B244:B256)</f>
        <v>5547700</v>
      </c>
      <c r="C243" s="17">
        <f>SUM(C244:C256)</f>
        <v>477300</v>
      </c>
      <c r="D243" s="17"/>
      <c r="E243" s="17">
        <f>SUM(E244:E256)</f>
        <v>1029760</v>
      </c>
      <c r="F243" s="17">
        <f>SUM(F244:F256)</f>
        <v>136360</v>
      </c>
      <c r="G243" s="17">
        <f>SUM(G244:G256)</f>
        <v>9600</v>
      </c>
      <c r="H243" s="17"/>
      <c r="I243" s="17"/>
      <c r="J243" s="17"/>
      <c r="K243" s="17"/>
      <c r="L243" s="17"/>
      <c r="M243" s="205">
        <f>SUM(M244:M256)</f>
        <v>3000</v>
      </c>
      <c r="N243" s="205">
        <f>SUM(N244:N256)</f>
        <v>37600</v>
      </c>
      <c r="O243" s="205"/>
      <c r="P243" s="205">
        <f aca="true" t="shared" si="20" ref="P243:W243">SUM(P244:P256)</f>
        <v>10200</v>
      </c>
      <c r="Q243" s="205">
        <f t="shared" si="20"/>
        <v>206300</v>
      </c>
      <c r="R243" s="205">
        <f t="shared" si="20"/>
        <v>5730</v>
      </c>
      <c r="S243" s="205">
        <f t="shared" si="20"/>
        <v>33750</v>
      </c>
      <c r="T243" s="205">
        <f t="shared" si="20"/>
        <v>6500</v>
      </c>
      <c r="U243" s="205">
        <f t="shared" si="20"/>
        <v>500</v>
      </c>
      <c r="V243" s="205">
        <f t="shared" si="20"/>
        <v>14650</v>
      </c>
      <c r="W243" s="205">
        <f t="shared" si="20"/>
        <v>1650</v>
      </c>
      <c r="X243" s="205"/>
      <c r="Y243" s="205">
        <f>SUM(Y244:Y256)</f>
        <v>3550</v>
      </c>
      <c r="Z243" s="205">
        <f>SUM(Z244:Z256)</f>
        <v>337200</v>
      </c>
      <c r="AA243" s="205"/>
      <c r="AB243" s="205"/>
      <c r="AC243" s="205">
        <f>SUM(AC244:AC256)</f>
        <v>4700</v>
      </c>
      <c r="AD243" s="205">
        <f>SUM(AD244:AD256)</f>
        <v>3300</v>
      </c>
      <c r="AE243" s="205"/>
      <c r="AF243" s="191">
        <f t="shared" si="16"/>
        <v>7869350</v>
      </c>
      <c r="AG243" s="51"/>
      <c r="AH243" s="51"/>
    </row>
    <row r="244" spans="1:34" s="56" customFormat="1" ht="18" customHeight="1">
      <c r="A244" s="113" t="s">
        <v>305</v>
      </c>
      <c r="B244" s="64">
        <v>150000</v>
      </c>
      <c r="C244" s="64">
        <v>13300</v>
      </c>
      <c r="D244" s="64"/>
      <c r="E244" s="64">
        <v>28250</v>
      </c>
      <c r="F244" s="64">
        <v>3700</v>
      </c>
      <c r="G244" s="64"/>
      <c r="H244" s="64"/>
      <c r="I244" s="64"/>
      <c r="J244" s="64"/>
      <c r="K244" s="64"/>
      <c r="L244" s="64"/>
      <c r="M244" s="210"/>
      <c r="N244" s="210">
        <v>4000</v>
      </c>
      <c r="O244" s="210"/>
      <c r="P244" s="210">
        <v>1000</v>
      </c>
      <c r="Q244" s="210">
        <v>4000</v>
      </c>
      <c r="R244" s="210"/>
      <c r="S244" s="210">
        <v>1500</v>
      </c>
      <c r="T244" s="210"/>
      <c r="U244" s="210"/>
      <c r="V244" s="210">
        <v>500</v>
      </c>
      <c r="W244" s="210"/>
      <c r="X244" s="210"/>
      <c r="Y244" s="210"/>
      <c r="Z244" s="210">
        <f>11000</f>
        <v>11000</v>
      </c>
      <c r="AA244" s="210"/>
      <c r="AB244" s="210"/>
      <c r="AC244" s="210"/>
      <c r="AD244" s="210"/>
      <c r="AE244" s="210"/>
      <c r="AF244" s="192">
        <f t="shared" si="16"/>
        <v>217250</v>
      </c>
      <c r="AG244" s="51"/>
      <c r="AH244" s="51"/>
    </row>
    <row r="245" spans="1:34" s="47" customFormat="1" ht="16.5" customHeight="1">
      <c r="A245" s="121" t="s">
        <v>306</v>
      </c>
      <c r="B245" s="50">
        <v>418000</v>
      </c>
      <c r="C245" s="50">
        <v>34700</v>
      </c>
      <c r="D245" s="50"/>
      <c r="E245" s="50">
        <v>77680</v>
      </c>
      <c r="F245" s="50">
        <v>10400</v>
      </c>
      <c r="G245" s="50">
        <v>1100</v>
      </c>
      <c r="H245" s="50"/>
      <c r="I245" s="50"/>
      <c r="J245" s="50"/>
      <c r="K245" s="50"/>
      <c r="L245" s="50"/>
      <c r="M245" s="50"/>
      <c r="N245" s="50">
        <v>3200</v>
      </c>
      <c r="O245" s="50"/>
      <c r="P245" s="50">
        <v>1000</v>
      </c>
      <c r="Q245" s="50">
        <v>10000</v>
      </c>
      <c r="R245" s="50">
        <v>330</v>
      </c>
      <c r="S245" s="50">
        <v>1000</v>
      </c>
      <c r="T245" s="50">
        <v>500</v>
      </c>
      <c r="U245" s="50"/>
      <c r="V245" s="50">
        <v>500</v>
      </c>
      <c r="W245" s="50">
        <v>400</v>
      </c>
      <c r="X245" s="50"/>
      <c r="Y245" s="50">
        <v>400</v>
      </c>
      <c r="Z245" s="50">
        <f>29580</f>
        <v>29580</v>
      </c>
      <c r="AA245" s="50"/>
      <c r="AB245" s="50"/>
      <c r="AC245" s="50"/>
      <c r="AD245" s="50"/>
      <c r="AE245" s="50"/>
      <c r="AF245" s="193">
        <f t="shared" si="16"/>
        <v>588790</v>
      </c>
      <c r="AG245" s="51"/>
      <c r="AH245" s="51"/>
    </row>
    <row r="246" spans="1:32" s="56" customFormat="1" ht="18" customHeight="1">
      <c r="A246" s="114" t="s">
        <v>332</v>
      </c>
      <c r="B246" s="64">
        <v>110000</v>
      </c>
      <c r="C246" s="64">
        <v>7600</v>
      </c>
      <c r="D246" s="64"/>
      <c r="E246" s="64">
        <v>20300</v>
      </c>
      <c r="F246" s="64">
        <v>2700</v>
      </c>
      <c r="G246" s="64"/>
      <c r="H246" s="64"/>
      <c r="I246" s="64"/>
      <c r="J246" s="64"/>
      <c r="K246" s="64"/>
      <c r="L246" s="64"/>
      <c r="M246" s="210">
        <v>1000</v>
      </c>
      <c r="N246" s="210">
        <v>1000</v>
      </c>
      <c r="O246" s="210"/>
      <c r="P246" s="210">
        <v>500</v>
      </c>
      <c r="Q246" s="210">
        <v>5000</v>
      </c>
      <c r="R246" s="210"/>
      <c r="S246" s="210">
        <v>5000</v>
      </c>
      <c r="T246" s="210">
        <v>1000</v>
      </c>
      <c r="U246" s="210"/>
      <c r="V246" s="210">
        <v>800</v>
      </c>
      <c r="W246" s="210"/>
      <c r="X246" s="210"/>
      <c r="Y246" s="210"/>
      <c r="Z246" s="210">
        <f>8790+801</f>
        <v>9591</v>
      </c>
      <c r="AA246" s="210"/>
      <c r="AB246" s="210"/>
      <c r="AC246" s="210"/>
      <c r="AD246" s="210"/>
      <c r="AE246" s="210"/>
      <c r="AF246" s="193">
        <f t="shared" si="16"/>
        <v>164491</v>
      </c>
    </row>
    <row r="247" spans="1:32" s="56" customFormat="1" ht="18" customHeight="1">
      <c r="A247" s="121" t="s">
        <v>307</v>
      </c>
      <c r="B247" s="50">
        <v>650000</v>
      </c>
      <c r="C247" s="50">
        <v>44300</v>
      </c>
      <c r="D247" s="50"/>
      <c r="E247" s="50">
        <v>120100</v>
      </c>
      <c r="F247" s="50">
        <v>16000</v>
      </c>
      <c r="G247" s="50">
        <v>1000</v>
      </c>
      <c r="H247" s="50"/>
      <c r="I247" s="50"/>
      <c r="J247" s="50"/>
      <c r="K247" s="50"/>
      <c r="L247" s="50"/>
      <c r="M247" s="50"/>
      <c r="N247" s="50">
        <v>3300</v>
      </c>
      <c r="O247" s="50"/>
      <c r="P247" s="50">
        <v>1000</v>
      </c>
      <c r="Q247" s="50">
        <v>25000</v>
      </c>
      <c r="R247" s="50">
        <v>400</v>
      </c>
      <c r="S247" s="50">
        <v>2700</v>
      </c>
      <c r="T247" s="50">
        <v>1300</v>
      </c>
      <c r="U247" s="50">
        <v>500</v>
      </c>
      <c r="V247" s="50">
        <v>1000</v>
      </c>
      <c r="W247" s="50">
        <v>300</v>
      </c>
      <c r="X247" s="50"/>
      <c r="Y247" s="50">
        <v>500</v>
      </c>
      <c r="Z247" s="50">
        <f>35000+9612</f>
        <v>44612</v>
      </c>
      <c r="AA247" s="50"/>
      <c r="AB247" s="50"/>
      <c r="AC247" s="50">
        <v>300</v>
      </c>
      <c r="AD247" s="50">
        <v>400</v>
      </c>
      <c r="AE247" s="50"/>
      <c r="AF247" s="193">
        <f t="shared" si="16"/>
        <v>912712</v>
      </c>
    </row>
    <row r="248" spans="1:32" s="47" customFormat="1" ht="25.5">
      <c r="A248" s="121" t="s">
        <v>85</v>
      </c>
      <c r="B248" s="64">
        <v>444300</v>
      </c>
      <c r="C248" s="64">
        <v>39500</v>
      </c>
      <c r="D248" s="64"/>
      <c r="E248" s="64">
        <v>76000</v>
      </c>
      <c r="F248" s="64">
        <v>10100</v>
      </c>
      <c r="G248" s="64">
        <v>1000</v>
      </c>
      <c r="H248" s="64"/>
      <c r="I248" s="64"/>
      <c r="J248" s="64"/>
      <c r="K248" s="64"/>
      <c r="L248" s="64"/>
      <c r="M248" s="210"/>
      <c r="N248" s="210">
        <v>4000</v>
      </c>
      <c r="O248" s="210"/>
      <c r="P248" s="210">
        <v>1000</v>
      </c>
      <c r="Q248" s="210">
        <v>22000</v>
      </c>
      <c r="R248" s="210">
        <v>1300</v>
      </c>
      <c r="S248" s="210">
        <v>8000</v>
      </c>
      <c r="T248" s="210">
        <v>1000</v>
      </c>
      <c r="U248" s="210"/>
      <c r="V248" s="210">
        <v>3000</v>
      </c>
      <c r="W248" s="210">
        <v>300</v>
      </c>
      <c r="X248" s="210"/>
      <c r="Y248" s="210">
        <v>1200</v>
      </c>
      <c r="Z248" s="210">
        <f>21310+9612</f>
        <v>30922</v>
      </c>
      <c r="AA248" s="210"/>
      <c r="AB248" s="210"/>
      <c r="AC248" s="210"/>
      <c r="AD248" s="210"/>
      <c r="AE248" s="210"/>
      <c r="AF248" s="193">
        <f t="shared" si="16"/>
        <v>643622</v>
      </c>
    </row>
    <row r="249" spans="1:32" s="56" customFormat="1" ht="18" customHeight="1">
      <c r="A249" s="121" t="s">
        <v>308</v>
      </c>
      <c r="B249" s="50">
        <v>378820</v>
      </c>
      <c r="C249" s="50">
        <v>42600</v>
      </c>
      <c r="D249" s="50"/>
      <c r="E249" s="50">
        <v>73630</v>
      </c>
      <c r="F249" s="50">
        <v>9600</v>
      </c>
      <c r="G249" s="50">
        <v>1000</v>
      </c>
      <c r="H249" s="50"/>
      <c r="I249" s="50"/>
      <c r="J249" s="50"/>
      <c r="K249" s="50"/>
      <c r="L249" s="50"/>
      <c r="M249" s="50">
        <v>2000</v>
      </c>
      <c r="N249" s="50">
        <v>3800</v>
      </c>
      <c r="O249" s="50"/>
      <c r="P249" s="50">
        <v>1000</v>
      </c>
      <c r="Q249" s="50">
        <v>45000</v>
      </c>
      <c r="R249" s="50">
        <v>600</v>
      </c>
      <c r="S249" s="50">
        <v>1300</v>
      </c>
      <c r="T249" s="50">
        <v>1000</v>
      </c>
      <c r="U249" s="50"/>
      <c r="V249" s="50">
        <v>1500</v>
      </c>
      <c r="W249" s="50">
        <v>150</v>
      </c>
      <c r="X249" s="50"/>
      <c r="Y249" s="50">
        <v>1100</v>
      </c>
      <c r="Z249" s="50">
        <f>21260</f>
        <v>21260</v>
      </c>
      <c r="AA249" s="50"/>
      <c r="AB249" s="50"/>
      <c r="AC249" s="50">
        <v>2000</v>
      </c>
      <c r="AD249" s="50"/>
      <c r="AE249" s="50"/>
      <c r="AF249" s="193">
        <f t="shared" si="16"/>
        <v>586360</v>
      </c>
    </row>
    <row r="250" spans="1:32" s="47" customFormat="1" ht="18" customHeight="1">
      <c r="A250" s="114" t="s">
        <v>309</v>
      </c>
      <c r="B250" s="64">
        <v>150000</v>
      </c>
      <c r="C250" s="64">
        <v>13200</v>
      </c>
      <c r="D250" s="64"/>
      <c r="E250" s="64">
        <v>25000</v>
      </c>
      <c r="F250" s="64">
        <v>3750</v>
      </c>
      <c r="G250" s="64">
        <v>500</v>
      </c>
      <c r="H250" s="64"/>
      <c r="I250" s="64"/>
      <c r="J250" s="64"/>
      <c r="K250" s="64"/>
      <c r="L250" s="64"/>
      <c r="M250" s="210"/>
      <c r="N250" s="210">
        <v>2000</v>
      </c>
      <c r="O250" s="210"/>
      <c r="P250" s="210">
        <v>1000</v>
      </c>
      <c r="Q250" s="210">
        <v>5600</v>
      </c>
      <c r="R250" s="210"/>
      <c r="S250" s="210">
        <v>2200</v>
      </c>
      <c r="T250" s="210"/>
      <c r="U250" s="210"/>
      <c r="V250" s="210">
        <v>800</v>
      </c>
      <c r="W250" s="210">
        <v>300</v>
      </c>
      <c r="X250" s="210"/>
      <c r="Y250" s="210">
        <v>350</v>
      </c>
      <c r="Z250" s="210">
        <f>2840</f>
        <v>2840</v>
      </c>
      <c r="AA250" s="210"/>
      <c r="AB250" s="210"/>
      <c r="AC250" s="210"/>
      <c r="AD250" s="210"/>
      <c r="AE250" s="210"/>
      <c r="AF250" s="193">
        <f t="shared" si="16"/>
        <v>207540</v>
      </c>
    </row>
    <row r="251" spans="1:32" s="56" customFormat="1" ht="17.25" customHeight="1">
      <c r="A251" s="121" t="s">
        <v>310</v>
      </c>
      <c r="B251" s="50">
        <v>514250</v>
      </c>
      <c r="C251" s="50">
        <v>53300</v>
      </c>
      <c r="D251" s="50"/>
      <c r="E251" s="50">
        <v>95350</v>
      </c>
      <c r="F251" s="50">
        <v>12980</v>
      </c>
      <c r="G251" s="50">
        <v>1400</v>
      </c>
      <c r="H251" s="50"/>
      <c r="I251" s="50"/>
      <c r="J251" s="50"/>
      <c r="K251" s="50"/>
      <c r="L251" s="50"/>
      <c r="M251" s="50"/>
      <c r="N251" s="50">
        <v>4000</v>
      </c>
      <c r="O251" s="50"/>
      <c r="P251" s="50">
        <v>1000</v>
      </c>
      <c r="Q251" s="50">
        <v>22500</v>
      </c>
      <c r="R251" s="50"/>
      <c r="S251" s="50">
        <v>4900</v>
      </c>
      <c r="T251" s="50">
        <v>1300</v>
      </c>
      <c r="U251" s="50"/>
      <c r="V251" s="50">
        <v>2400</v>
      </c>
      <c r="W251" s="50">
        <v>200</v>
      </c>
      <c r="X251" s="50"/>
      <c r="Y251" s="50"/>
      <c r="Z251" s="50">
        <f>28320</f>
        <v>28320</v>
      </c>
      <c r="AA251" s="50"/>
      <c r="AB251" s="50"/>
      <c r="AC251" s="50"/>
      <c r="AD251" s="50"/>
      <c r="AE251" s="50"/>
      <c r="AF251" s="193">
        <f t="shared" si="16"/>
        <v>741900</v>
      </c>
    </row>
    <row r="252" spans="1:32" s="47" customFormat="1" ht="18" customHeight="1">
      <c r="A252" s="121" t="s">
        <v>311</v>
      </c>
      <c r="B252" s="64">
        <v>1730000</v>
      </c>
      <c r="C252" s="64">
        <v>156000</v>
      </c>
      <c r="D252" s="64"/>
      <c r="E252" s="64">
        <v>332000</v>
      </c>
      <c r="F252" s="64">
        <v>43000</v>
      </c>
      <c r="G252" s="64">
        <v>2000</v>
      </c>
      <c r="H252" s="64"/>
      <c r="I252" s="64"/>
      <c r="J252" s="64"/>
      <c r="K252" s="64"/>
      <c r="L252" s="64"/>
      <c r="M252" s="210"/>
      <c r="N252" s="210">
        <v>3000</v>
      </c>
      <c r="O252" s="210"/>
      <c r="P252" s="210">
        <v>1000</v>
      </c>
      <c r="Q252" s="210">
        <v>42000</v>
      </c>
      <c r="R252" s="210">
        <v>2000</v>
      </c>
      <c r="S252" s="210">
        <v>4000</v>
      </c>
      <c r="T252" s="210"/>
      <c r="U252" s="210"/>
      <c r="V252" s="210">
        <v>2000</v>
      </c>
      <c r="W252" s="210"/>
      <c r="X252" s="210"/>
      <c r="Y252" s="210"/>
      <c r="Z252" s="210">
        <f>105060+4005</f>
        <v>109065</v>
      </c>
      <c r="AA252" s="210"/>
      <c r="AB252" s="210"/>
      <c r="AC252" s="210">
        <v>1000</v>
      </c>
      <c r="AD252" s="210">
        <v>1000</v>
      </c>
      <c r="AE252" s="210"/>
      <c r="AF252" s="193">
        <f t="shared" si="16"/>
        <v>2428065</v>
      </c>
    </row>
    <row r="253" spans="1:32" s="56" customFormat="1" ht="20.25" customHeight="1">
      <c r="A253" s="121" t="s">
        <v>352</v>
      </c>
      <c r="B253" s="50">
        <v>215000</v>
      </c>
      <c r="C253" s="50">
        <v>13300</v>
      </c>
      <c r="D253" s="50"/>
      <c r="E253" s="50">
        <v>40200</v>
      </c>
      <c r="F253" s="50">
        <v>5200</v>
      </c>
      <c r="G253" s="50">
        <v>500</v>
      </c>
      <c r="H253" s="50"/>
      <c r="I253" s="50"/>
      <c r="J253" s="50"/>
      <c r="K253" s="50"/>
      <c r="L253" s="50"/>
      <c r="M253" s="50"/>
      <c r="N253" s="50">
        <v>1800</v>
      </c>
      <c r="O253" s="50"/>
      <c r="P253" s="50"/>
      <c r="Q253" s="50">
        <v>5000</v>
      </c>
      <c r="R253" s="50">
        <v>200</v>
      </c>
      <c r="S253" s="50">
        <v>400</v>
      </c>
      <c r="T253" s="50"/>
      <c r="U253" s="50"/>
      <c r="V253" s="50">
        <v>1500</v>
      </c>
      <c r="W253" s="50"/>
      <c r="X253" s="50"/>
      <c r="Y253" s="50"/>
      <c r="Z253" s="50">
        <f>11000</f>
        <v>11000</v>
      </c>
      <c r="AA253" s="50"/>
      <c r="AB253" s="50"/>
      <c r="AC253" s="50"/>
      <c r="AD253" s="50"/>
      <c r="AE253" s="50"/>
      <c r="AF253" s="193">
        <f t="shared" si="16"/>
        <v>294100</v>
      </c>
    </row>
    <row r="254" spans="1:32" s="47" customFormat="1" ht="18" customHeight="1">
      <c r="A254" s="121" t="s">
        <v>312</v>
      </c>
      <c r="B254" s="64">
        <v>350000</v>
      </c>
      <c r="C254" s="64">
        <v>30800</v>
      </c>
      <c r="D254" s="64"/>
      <c r="E254" s="64">
        <v>65800</v>
      </c>
      <c r="F254" s="64">
        <v>8700</v>
      </c>
      <c r="G254" s="64">
        <v>200</v>
      </c>
      <c r="H254" s="64"/>
      <c r="I254" s="64"/>
      <c r="J254" s="64"/>
      <c r="K254" s="64"/>
      <c r="L254" s="64"/>
      <c r="M254" s="210"/>
      <c r="N254" s="210">
        <v>4000</v>
      </c>
      <c r="O254" s="210"/>
      <c r="P254" s="210"/>
      <c r="Q254" s="210">
        <v>4000</v>
      </c>
      <c r="R254" s="210"/>
      <c r="S254" s="210"/>
      <c r="T254" s="210"/>
      <c r="U254" s="210"/>
      <c r="V254" s="210"/>
      <c r="W254" s="210"/>
      <c r="X254" s="210"/>
      <c r="Y254" s="210"/>
      <c r="Z254" s="210">
        <f>15190</f>
        <v>15190</v>
      </c>
      <c r="AA254" s="210"/>
      <c r="AB254" s="210"/>
      <c r="AC254" s="210"/>
      <c r="AD254" s="210"/>
      <c r="AE254" s="210"/>
      <c r="AF254" s="193">
        <f t="shared" si="16"/>
        <v>478690</v>
      </c>
    </row>
    <row r="255" spans="1:32" s="56" customFormat="1" ht="18" customHeight="1">
      <c r="A255" s="121" t="s">
        <v>313</v>
      </c>
      <c r="B255" s="50">
        <v>187330</v>
      </c>
      <c r="C255" s="50">
        <v>12500</v>
      </c>
      <c r="D255" s="50"/>
      <c r="E255" s="50">
        <v>29450</v>
      </c>
      <c r="F255" s="50">
        <v>4130</v>
      </c>
      <c r="G255" s="50">
        <v>700</v>
      </c>
      <c r="H255" s="50"/>
      <c r="I255" s="50"/>
      <c r="J255" s="50"/>
      <c r="K255" s="50"/>
      <c r="L255" s="50"/>
      <c r="M255" s="50"/>
      <c r="N255" s="50">
        <v>2500</v>
      </c>
      <c r="O255" s="50"/>
      <c r="P255" s="50">
        <v>700</v>
      </c>
      <c r="Q255" s="50">
        <v>3000</v>
      </c>
      <c r="R255" s="50">
        <v>600</v>
      </c>
      <c r="S255" s="50">
        <v>2000</v>
      </c>
      <c r="T255" s="50"/>
      <c r="U255" s="50"/>
      <c r="V255" s="50">
        <v>200</v>
      </c>
      <c r="W255" s="50"/>
      <c r="X255" s="50"/>
      <c r="Y255" s="50"/>
      <c r="Z255" s="50">
        <f>11820</f>
        <v>11820</v>
      </c>
      <c r="AA255" s="50"/>
      <c r="AB255" s="50"/>
      <c r="AC255" s="50">
        <v>1000</v>
      </c>
      <c r="AD255" s="50">
        <v>500</v>
      </c>
      <c r="AE255" s="50"/>
      <c r="AF255" s="193">
        <f t="shared" si="16"/>
        <v>256430</v>
      </c>
    </row>
    <row r="256" spans="1:32" s="56" customFormat="1" ht="18" customHeight="1" thickBot="1">
      <c r="A256" s="115" t="s">
        <v>314</v>
      </c>
      <c r="B256" s="147">
        <v>250000</v>
      </c>
      <c r="C256" s="147">
        <v>16200</v>
      </c>
      <c r="D256" s="147"/>
      <c r="E256" s="147">
        <v>46000</v>
      </c>
      <c r="F256" s="147">
        <v>6100</v>
      </c>
      <c r="G256" s="147">
        <v>200</v>
      </c>
      <c r="H256" s="147"/>
      <c r="I256" s="147"/>
      <c r="J256" s="147"/>
      <c r="K256" s="147"/>
      <c r="L256" s="147"/>
      <c r="M256" s="211"/>
      <c r="N256" s="211">
        <v>1000</v>
      </c>
      <c r="O256" s="211"/>
      <c r="P256" s="211">
        <v>1000</v>
      </c>
      <c r="Q256" s="211">
        <v>13200</v>
      </c>
      <c r="R256" s="211">
        <v>300</v>
      </c>
      <c r="S256" s="211">
        <v>750</v>
      </c>
      <c r="T256" s="211">
        <v>400</v>
      </c>
      <c r="U256" s="211"/>
      <c r="V256" s="211">
        <v>450</v>
      </c>
      <c r="W256" s="211"/>
      <c r="X256" s="211"/>
      <c r="Y256" s="211"/>
      <c r="Z256" s="211">
        <f>12000</f>
        <v>12000</v>
      </c>
      <c r="AA256" s="211"/>
      <c r="AB256" s="211"/>
      <c r="AC256" s="211">
        <v>400</v>
      </c>
      <c r="AD256" s="211">
        <v>1400</v>
      </c>
      <c r="AE256" s="211"/>
      <c r="AF256" s="194">
        <f t="shared" si="16"/>
        <v>349400</v>
      </c>
    </row>
    <row r="257" spans="1:34" s="56" customFormat="1" ht="18" customHeight="1" thickBot="1">
      <c r="A257" s="112" t="s">
        <v>96</v>
      </c>
      <c r="B257" s="17">
        <f>SUM(B258:B258)</f>
        <v>509210</v>
      </c>
      <c r="C257" s="17">
        <f>SUM(C258:C258)</f>
        <v>36790</v>
      </c>
      <c r="D257" s="17"/>
      <c r="E257" s="17">
        <f>SUM(E258:E258)</f>
        <v>90700</v>
      </c>
      <c r="F257" s="17">
        <f>SUM(F258:F258)</f>
        <v>13000</v>
      </c>
      <c r="G257" s="17">
        <f>SUM(G258:G258)</f>
        <v>280</v>
      </c>
      <c r="H257" s="17"/>
      <c r="I257" s="17"/>
      <c r="J257" s="17"/>
      <c r="K257" s="17"/>
      <c r="L257" s="17"/>
      <c r="M257" s="205"/>
      <c r="N257" s="205">
        <f>SUM(N258:N258)</f>
        <v>3500</v>
      </c>
      <c r="O257" s="205"/>
      <c r="P257" s="205">
        <f>SUM(P258:P258)</f>
        <v>1000</v>
      </c>
      <c r="Q257" s="205">
        <f>SUM(Q258:Q258)</f>
        <v>16000</v>
      </c>
      <c r="R257" s="205"/>
      <c r="S257" s="205">
        <f>SUM(S258:S258)</f>
        <v>3000</v>
      </c>
      <c r="T257" s="205">
        <f>SUM(T258:T258)</f>
        <v>500</v>
      </c>
      <c r="U257" s="205">
        <f>SUM(U258:U258)</f>
        <v>500</v>
      </c>
      <c r="V257" s="205">
        <f>SUM(V258:V258)</f>
        <v>500</v>
      </c>
      <c r="W257" s="205"/>
      <c r="X257" s="205"/>
      <c r="Y257" s="205"/>
      <c r="Z257" s="205">
        <f>SUM(Z258:Z258)</f>
        <v>24020</v>
      </c>
      <c r="AA257" s="205"/>
      <c r="AB257" s="205"/>
      <c r="AC257" s="205">
        <f>SUM(AC258:AC258)</f>
        <v>500</v>
      </c>
      <c r="AD257" s="205">
        <f>SUM(AD258:AD258)</f>
        <v>500</v>
      </c>
      <c r="AE257" s="205">
        <f>SUM(AE258:AE258)</f>
        <v>5000</v>
      </c>
      <c r="AF257" s="191">
        <f t="shared" si="16"/>
        <v>705000</v>
      </c>
      <c r="AG257" s="51"/>
      <c r="AH257" s="51"/>
    </row>
    <row r="258" spans="1:34" s="56" customFormat="1" ht="51.75" thickBot="1">
      <c r="A258" s="148" t="s">
        <v>86</v>
      </c>
      <c r="B258" s="149">
        <v>509210</v>
      </c>
      <c r="C258" s="149">
        <v>36790</v>
      </c>
      <c r="D258" s="149"/>
      <c r="E258" s="149">
        <v>90700</v>
      </c>
      <c r="F258" s="149">
        <v>13000</v>
      </c>
      <c r="G258" s="149">
        <v>280</v>
      </c>
      <c r="H258" s="149"/>
      <c r="I258" s="149"/>
      <c r="J258" s="149"/>
      <c r="K258" s="149"/>
      <c r="L258" s="149"/>
      <c r="M258" s="212"/>
      <c r="N258" s="212">
        <v>3500</v>
      </c>
      <c r="O258" s="212"/>
      <c r="P258" s="212">
        <v>1000</v>
      </c>
      <c r="Q258" s="212">
        <v>16000</v>
      </c>
      <c r="R258" s="212"/>
      <c r="S258" s="212">
        <v>3000</v>
      </c>
      <c r="T258" s="212">
        <v>500</v>
      </c>
      <c r="U258" s="212">
        <v>500</v>
      </c>
      <c r="V258" s="212">
        <v>500</v>
      </c>
      <c r="W258" s="212"/>
      <c r="X258" s="212"/>
      <c r="Y258" s="212"/>
      <c r="Z258" s="212">
        <v>24020</v>
      </c>
      <c r="AA258" s="212"/>
      <c r="AB258" s="212"/>
      <c r="AC258" s="212">
        <v>500</v>
      </c>
      <c r="AD258" s="212">
        <v>500</v>
      </c>
      <c r="AE258" s="212">
        <v>5000</v>
      </c>
      <c r="AF258" s="190">
        <f t="shared" si="16"/>
        <v>705000</v>
      </c>
      <c r="AG258" s="51"/>
      <c r="AH258" s="51"/>
    </row>
    <row r="259" spans="1:34" s="56" customFormat="1" ht="19.5" customHeight="1" thickBot="1">
      <c r="A259" s="112" t="s">
        <v>95</v>
      </c>
      <c r="B259" s="17">
        <f aca="true" t="shared" si="21" ref="B259:G259">SUM(B260:B271)</f>
        <v>23625700</v>
      </c>
      <c r="C259" s="17">
        <f t="shared" si="21"/>
        <v>1858800</v>
      </c>
      <c r="D259" s="17">
        <f t="shared" si="21"/>
        <v>15500</v>
      </c>
      <c r="E259" s="17">
        <f t="shared" si="21"/>
        <v>4462500</v>
      </c>
      <c r="F259" s="17">
        <f t="shared" si="21"/>
        <v>586510</v>
      </c>
      <c r="G259" s="17">
        <f t="shared" si="21"/>
        <v>73800</v>
      </c>
      <c r="H259" s="17"/>
      <c r="I259" s="17"/>
      <c r="J259" s="17"/>
      <c r="K259" s="17"/>
      <c r="L259" s="17"/>
      <c r="M259" s="205">
        <f>SUM(M260:M271)</f>
        <v>28050</v>
      </c>
      <c r="N259" s="205">
        <f>SUM(N260:N271)</f>
        <v>636000</v>
      </c>
      <c r="O259" s="205"/>
      <c r="P259" s="205">
        <f aca="true" t="shared" si="22" ref="P259:Z259">SUM(P260:P271)</f>
        <v>58400</v>
      </c>
      <c r="Q259" s="205">
        <f t="shared" si="22"/>
        <v>1275000</v>
      </c>
      <c r="R259" s="205">
        <f t="shared" si="22"/>
        <v>23900</v>
      </c>
      <c r="S259" s="205">
        <f t="shared" si="22"/>
        <v>272700</v>
      </c>
      <c r="T259" s="205">
        <f t="shared" si="22"/>
        <v>52360</v>
      </c>
      <c r="U259" s="205">
        <f t="shared" si="22"/>
        <v>5200</v>
      </c>
      <c r="V259" s="205">
        <f t="shared" si="22"/>
        <v>94600</v>
      </c>
      <c r="W259" s="205">
        <f t="shared" si="22"/>
        <v>23500</v>
      </c>
      <c r="X259" s="205">
        <f t="shared" si="22"/>
        <v>3000</v>
      </c>
      <c r="Y259" s="205">
        <f t="shared" si="22"/>
        <v>57900</v>
      </c>
      <c r="Z259" s="205">
        <f t="shared" si="22"/>
        <v>2013273</v>
      </c>
      <c r="AA259" s="205"/>
      <c r="AB259" s="205"/>
      <c r="AC259" s="205">
        <f>SUM(AC260:AC271)</f>
        <v>19500</v>
      </c>
      <c r="AD259" s="205">
        <f>SUM(AD260:AD271)</f>
        <v>16900</v>
      </c>
      <c r="AE259" s="205"/>
      <c r="AF259" s="191">
        <f t="shared" si="16"/>
        <v>35203093</v>
      </c>
      <c r="AG259" s="51"/>
      <c r="AH259" s="51"/>
    </row>
    <row r="260" spans="1:34" s="56" customFormat="1" ht="18" customHeight="1">
      <c r="A260" s="125" t="s">
        <v>326</v>
      </c>
      <c r="B260" s="61">
        <v>2650000</v>
      </c>
      <c r="C260" s="61">
        <v>198400</v>
      </c>
      <c r="D260" s="61"/>
      <c r="E260" s="61">
        <v>498470</v>
      </c>
      <c r="F260" s="61">
        <v>65510</v>
      </c>
      <c r="G260" s="61">
        <v>9000</v>
      </c>
      <c r="H260" s="61"/>
      <c r="I260" s="61"/>
      <c r="J260" s="61"/>
      <c r="K260" s="61"/>
      <c r="L260" s="61"/>
      <c r="M260" s="209"/>
      <c r="N260" s="209">
        <v>30000</v>
      </c>
      <c r="O260" s="209"/>
      <c r="P260" s="209">
        <v>6000</v>
      </c>
      <c r="Q260" s="209">
        <v>142000</v>
      </c>
      <c r="R260" s="209">
        <v>3100</v>
      </c>
      <c r="S260" s="209">
        <v>20600</v>
      </c>
      <c r="T260" s="209">
        <v>4100</v>
      </c>
      <c r="U260" s="209"/>
      <c r="V260" s="209">
        <v>9000</v>
      </c>
      <c r="W260" s="209">
        <v>3700</v>
      </c>
      <c r="X260" s="209"/>
      <c r="Y260" s="209">
        <v>1700</v>
      </c>
      <c r="Z260" s="209">
        <f>83304+171340</f>
        <v>254644</v>
      </c>
      <c r="AA260" s="209"/>
      <c r="AB260" s="209"/>
      <c r="AC260" s="209">
        <v>5000</v>
      </c>
      <c r="AD260" s="209">
        <v>4000</v>
      </c>
      <c r="AE260" s="209"/>
      <c r="AF260" s="192">
        <f t="shared" si="16"/>
        <v>3905224</v>
      </c>
      <c r="AG260" s="51"/>
      <c r="AH260" s="51"/>
    </row>
    <row r="261" spans="1:34" s="56" customFormat="1" ht="18" customHeight="1">
      <c r="A261" s="125" t="s">
        <v>186</v>
      </c>
      <c r="B261" s="61">
        <v>1500000</v>
      </c>
      <c r="C261" s="61">
        <v>124260</v>
      </c>
      <c r="D261" s="61">
        <v>2000</v>
      </c>
      <c r="E261" s="61">
        <v>284600</v>
      </c>
      <c r="F261" s="61">
        <v>37400</v>
      </c>
      <c r="G261" s="61">
        <v>10000</v>
      </c>
      <c r="H261" s="61"/>
      <c r="I261" s="61"/>
      <c r="J261" s="61"/>
      <c r="K261" s="61"/>
      <c r="L261" s="61"/>
      <c r="M261" s="209"/>
      <c r="N261" s="209">
        <v>15000</v>
      </c>
      <c r="O261" s="209"/>
      <c r="P261" s="209">
        <v>2500</v>
      </c>
      <c r="Q261" s="209">
        <v>78500</v>
      </c>
      <c r="R261" s="209">
        <v>1300</v>
      </c>
      <c r="S261" s="209">
        <v>10500</v>
      </c>
      <c r="T261" s="209">
        <v>5000</v>
      </c>
      <c r="U261" s="209"/>
      <c r="V261" s="209">
        <v>7000</v>
      </c>
      <c r="W261" s="209">
        <v>1800</v>
      </c>
      <c r="X261" s="209"/>
      <c r="Y261" s="209">
        <v>8000</v>
      </c>
      <c r="Z261" s="209">
        <f>40851+91070</f>
        <v>131921</v>
      </c>
      <c r="AA261" s="209"/>
      <c r="AB261" s="209"/>
      <c r="AC261" s="209"/>
      <c r="AD261" s="209"/>
      <c r="AE261" s="209"/>
      <c r="AF261" s="193">
        <f t="shared" si="16"/>
        <v>2219781</v>
      </c>
      <c r="AG261" s="51"/>
      <c r="AH261" s="51"/>
    </row>
    <row r="262" spans="1:32" s="56" customFormat="1" ht="18" customHeight="1">
      <c r="A262" s="125" t="s">
        <v>188</v>
      </c>
      <c r="B262" s="61">
        <v>1736600</v>
      </c>
      <c r="C262" s="61">
        <v>154200</v>
      </c>
      <c r="D262" s="61"/>
      <c r="E262" s="61">
        <v>330890</v>
      </c>
      <c r="F262" s="61">
        <v>43490</v>
      </c>
      <c r="G262" s="61">
        <v>6500</v>
      </c>
      <c r="H262" s="61"/>
      <c r="I262" s="61"/>
      <c r="J262" s="61"/>
      <c r="K262" s="61"/>
      <c r="L262" s="61"/>
      <c r="M262" s="209"/>
      <c r="N262" s="209">
        <v>20000</v>
      </c>
      <c r="O262" s="209"/>
      <c r="P262" s="209">
        <v>6000</v>
      </c>
      <c r="Q262" s="209">
        <v>68000</v>
      </c>
      <c r="R262" s="209">
        <v>2200</v>
      </c>
      <c r="S262" s="209">
        <v>31800</v>
      </c>
      <c r="T262" s="209">
        <v>3000</v>
      </c>
      <c r="U262" s="209">
        <v>4000</v>
      </c>
      <c r="V262" s="209">
        <v>7000</v>
      </c>
      <c r="W262" s="209">
        <v>2500</v>
      </c>
      <c r="X262" s="209"/>
      <c r="Y262" s="209">
        <v>7000</v>
      </c>
      <c r="Z262" s="209">
        <f>27234+102030</f>
        <v>129264</v>
      </c>
      <c r="AA262" s="209"/>
      <c r="AB262" s="209"/>
      <c r="AC262" s="209">
        <v>4000</v>
      </c>
      <c r="AD262" s="209">
        <v>4000</v>
      </c>
      <c r="AE262" s="209"/>
      <c r="AF262" s="193">
        <f t="shared" si="16"/>
        <v>2560444</v>
      </c>
    </row>
    <row r="263" spans="1:32" s="56" customFormat="1" ht="18" customHeight="1">
      <c r="A263" s="125" t="s">
        <v>185</v>
      </c>
      <c r="B263" s="61">
        <v>1234100</v>
      </c>
      <c r="C263" s="61">
        <v>79330</v>
      </c>
      <c r="D263" s="61">
        <v>6000</v>
      </c>
      <c r="E263" s="61">
        <v>230900</v>
      </c>
      <c r="F263" s="61">
        <v>30350</v>
      </c>
      <c r="G263" s="61">
        <v>5400</v>
      </c>
      <c r="H263" s="61"/>
      <c r="I263" s="61"/>
      <c r="J263" s="61"/>
      <c r="K263" s="61"/>
      <c r="L263" s="61"/>
      <c r="M263" s="209">
        <v>2500</v>
      </c>
      <c r="N263" s="209">
        <v>20000</v>
      </c>
      <c r="O263" s="209"/>
      <c r="P263" s="209">
        <v>6000</v>
      </c>
      <c r="Q263" s="209">
        <v>173500</v>
      </c>
      <c r="R263" s="209">
        <v>1500</v>
      </c>
      <c r="S263" s="209">
        <v>10000</v>
      </c>
      <c r="T263" s="209">
        <v>1600</v>
      </c>
      <c r="U263" s="209"/>
      <c r="V263" s="209">
        <v>5400</v>
      </c>
      <c r="W263" s="209">
        <v>1000</v>
      </c>
      <c r="X263" s="209"/>
      <c r="Y263" s="209">
        <v>800</v>
      </c>
      <c r="Z263" s="209">
        <f>52065+70400</f>
        <v>122465</v>
      </c>
      <c r="AA263" s="209"/>
      <c r="AB263" s="209"/>
      <c r="AC263" s="209">
        <v>1500</v>
      </c>
      <c r="AD263" s="209">
        <v>4000</v>
      </c>
      <c r="AE263" s="209"/>
      <c r="AF263" s="193">
        <f t="shared" si="16"/>
        <v>1936345</v>
      </c>
    </row>
    <row r="264" spans="1:32" s="56" customFormat="1" ht="18" customHeight="1">
      <c r="A264" s="125" t="s">
        <v>189</v>
      </c>
      <c r="B264" s="61">
        <v>2001500</v>
      </c>
      <c r="C264" s="61">
        <v>168050</v>
      </c>
      <c r="D264" s="61">
        <v>2000</v>
      </c>
      <c r="E264" s="61">
        <v>380020</v>
      </c>
      <c r="F264" s="61">
        <v>49950</v>
      </c>
      <c r="G264" s="61">
        <v>6500</v>
      </c>
      <c r="H264" s="61"/>
      <c r="I264" s="61"/>
      <c r="J264" s="61"/>
      <c r="K264" s="61"/>
      <c r="L264" s="61"/>
      <c r="M264" s="209">
        <v>19000</v>
      </c>
      <c r="N264" s="209">
        <v>30000</v>
      </c>
      <c r="O264" s="209"/>
      <c r="P264" s="209">
        <v>3000</v>
      </c>
      <c r="Q264" s="209">
        <v>203000</v>
      </c>
      <c r="R264" s="209">
        <v>1500</v>
      </c>
      <c r="S264" s="209">
        <v>30000</v>
      </c>
      <c r="T264" s="209">
        <v>5000</v>
      </c>
      <c r="U264" s="209"/>
      <c r="V264" s="209">
        <v>7000</v>
      </c>
      <c r="W264" s="209">
        <v>2500</v>
      </c>
      <c r="X264" s="209"/>
      <c r="Y264" s="209">
        <v>6600</v>
      </c>
      <c r="Z264" s="209">
        <f>56070+121980</f>
        <v>178050</v>
      </c>
      <c r="AA264" s="209"/>
      <c r="AB264" s="209"/>
      <c r="AC264" s="209"/>
      <c r="AD264" s="209"/>
      <c r="AE264" s="209"/>
      <c r="AF264" s="193">
        <f t="shared" si="16"/>
        <v>3093670</v>
      </c>
    </row>
    <row r="265" spans="1:32" s="56" customFormat="1" ht="18" customHeight="1">
      <c r="A265" s="125" t="s">
        <v>315</v>
      </c>
      <c r="B265" s="61">
        <v>2143000</v>
      </c>
      <c r="C265" s="61">
        <v>168680</v>
      </c>
      <c r="D265" s="61">
        <v>2500</v>
      </c>
      <c r="E265" s="61">
        <v>404980</v>
      </c>
      <c r="F265" s="61">
        <v>53230</v>
      </c>
      <c r="G265" s="61">
        <v>5000</v>
      </c>
      <c r="H265" s="61"/>
      <c r="I265" s="61"/>
      <c r="J265" s="61"/>
      <c r="K265" s="61"/>
      <c r="L265" s="61"/>
      <c r="M265" s="209"/>
      <c r="N265" s="209">
        <v>380000</v>
      </c>
      <c r="O265" s="209"/>
      <c r="P265" s="209">
        <v>6000</v>
      </c>
      <c r="Q265" s="209">
        <v>61500</v>
      </c>
      <c r="R265" s="209">
        <v>4000</v>
      </c>
      <c r="S265" s="209">
        <v>40000</v>
      </c>
      <c r="T265" s="209">
        <v>6000</v>
      </c>
      <c r="U265" s="209"/>
      <c r="V265" s="209">
        <v>9000</v>
      </c>
      <c r="W265" s="209">
        <v>1000</v>
      </c>
      <c r="X265" s="209"/>
      <c r="Y265" s="209">
        <v>3000</v>
      </c>
      <c r="Z265" s="209">
        <f>32841+130770</f>
        <v>163611</v>
      </c>
      <c r="AA265" s="209"/>
      <c r="AB265" s="209"/>
      <c r="AC265" s="209"/>
      <c r="AD265" s="209"/>
      <c r="AE265" s="209"/>
      <c r="AF265" s="193">
        <f t="shared" si="16"/>
        <v>3451501</v>
      </c>
    </row>
    <row r="266" spans="1:32" s="13" customFormat="1" ht="18" customHeight="1">
      <c r="A266" s="125" t="s">
        <v>147</v>
      </c>
      <c r="B266" s="61">
        <v>1538000</v>
      </c>
      <c r="C266" s="61">
        <v>104000</v>
      </c>
      <c r="D266" s="61">
        <v>1000</v>
      </c>
      <c r="E266" s="61">
        <v>287530</v>
      </c>
      <c r="F266" s="61">
        <v>37790</v>
      </c>
      <c r="G266" s="61">
        <v>4000</v>
      </c>
      <c r="H266" s="61"/>
      <c r="I266" s="61"/>
      <c r="J266" s="61"/>
      <c r="K266" s="61"/>
      <c r="L266" s="61"/>
      <c r="M266" s="209"/>
      <c r="N266" s="209">
        <v>16000</v>
      </c>
      <c r="O266" s="209"/>
      <c r="P266" s="209">
        <v>6000</v>
      </c>
      <c r="Q266" s="209">
        <v>32500</v>
      </c>
      <c r="R266" s="209">
        <v>1000</v>
      </c>
      <c r="S266" s="209">
        <v>12800</v>
      </c>
      <c r="T266" s="209">
        <v>4800</v>
      </c>
      <c r="U266" s="209"/>
      <c r="V266" s="209">
        <v>7200</v>
      </c>
      <c r="W266" s="209">
        <v>800</v>
      </c>
      <c r="X266" s="209"/>
      <c r="Y266" s="209"/>
      <c r="Z266" s="209">
        <f>31239+92760</f>
        <v>123999</v>
      </c>
      <c r="AA266" s="209"/>
      <c r="AB266" s="209"/>
      <c r="AC266" s="209">
        <v>2000</v>
      </c>
      <c r="AD266" s="209">
        <v>900</v>
      </c>
      <c r="AE266" s="209"/>
      <c r="AF266" s="193">
        <f t="shared" si="16"/>
        <v>2180319</v>
      </c>
    </row>
    <row r="267" spans="1:32" s="49" customFormat="1" ht="18" customHeight="1">
      <c r="A267" s="125" t="s">
        <v>87</v>
      </c>
      <c r="B267" s="61">
        <v>2500000</v>
      </c>
      <c r="C267" s="61">
        <v>206000</v>
      </c>
      <c r="D267" s="61"/>
      <c r="E267" s="61">
        <v>473550</v>
      </c>
      <c r="F267" s="61">
        <v>62240</v>
      </c>
      <c r="G267" s="61">
        <v>5000</v>
      </c>
      <c r="H267" s="61"/>
      <c r="I267" s="61"/>
      <c r="J267" s="61"/>
      <c r="K267" s="61"/>
      <c r="L267" s="61"/>
      <c r="M267" s="209"/>
      <c r="N267" s="209">
        <v>30000</v>
      </c>
      <c r="O267" s="209"/>
      <c r="P267" s="209">
        <v>6000</v>
      </c>
      <c r="Q267" s="209">
        <v>100000</v>
      </c>
      <c r="R267" s="209">
        <v>4000</v>
      </c>
      <c r="S267" s="209">
        <v>15000</v>
      </c>
      <c r="T267" s="209">
        <v>3360</v>
      </c>
      <c r="U267" s="209"/>
      <c r="V267" s="209">
        <v>8000</v>
      </c>
      <c r="W267" s="209">
        <v>3200</v>
      </c>
      <c r="X267" s="209"/>
      <c r="Y267" s="209">
        <v>3000</v>
      </c>
      <c r="Z267" s="209">
        <f>53667+178270</f>
        <v>231937</v>
      </c>
      <c r="AA267" s="209"/>
      <c r="AB267" s="209"/>
      <c r="AC267" s="209"/>
      <c r="AD267" s="209"/>
      <c r="AE267" s="209"/>
      <c r="AF267" s="193">
        <f t="shared" si="16"/>
        <v>3651287</v>
      </c>
    </row>
    <row r="268" spans="1:32" s="49" customFormat="1" ht="18" customHeight="1">
      <c r="A268" s="125" t="s">
        <v>88</v>
      </c>
      <c r="B268" s="61">
        <v>3218700</v>
      </c>
      <c r="C268" s="61">
        <v>270000</v>
      </c>
      <c r="D268" s="61"/>
      <c r="E268" s="61">
        <v>610520</v>
      </c>
      <c r="F268" s="61">
        <v>80240</v>
      </c>
      <c r="G268" s="61">
        <v>15000</v>
      </c>
      <c r="H268" s="61"/>
      <c r="I268" s="61"/>
      <c r="J268" s="61"/>
      <c r="K268" s="61"/>
      <c r="L268" s="61"/>
      <c r="M268" s="209"/>
      <c r="N268" s="209">
        <v>35000</v>
      </c>
      <c r="O268" s="209"/>
      <c r="P268" s="209">
        <v>2400</v>
      </c>
      <c r="Q268" s="209">
        <v>128500</v>
      </c>
      <c r="R268" s="209"/>
      <c r="S268" s="209">
        <v>30000</v>
      </c>
      <c r="T268" s="209">
        <v>5500</v>
      </c>
      <c r="U268" s="209"/>
      <c r="V268" s="209">
        <v>8000</v>
      </c>
      <c r="W268" s="209">
        <v>1300</v>
      </c>
      <c r="X268" s="209"/>
      <c r="Y268" s="209">
        <v>7800</v>
      </c>
      <c r="Z268" s="209">
        <f>76896+203100</f>
        <v>279996</v>
      </c>
      <c r="AA268" s="209"/>
      <c r="AB268" s="209"/>
      <c r="AC268" s="209"/>
      <c r="AD268" s="209"/>
      <c r="AE268" s="209"/>
      <c r="AF268" s="193">
        <f t="shared" si="16"/>
        <v>4692956</v>
      </c>
    </row>
    <row r="269" spans="1:32" s="49" customFormat="1" ht="18" customHeight="1">
      <c r="A269" s="125" t="s">
        <v>190</v>
      </c>
      <c r="B269" s="61">
        <v>1900000</v>
      </c>
      <c r="C269" s="61">
        <v>146000</v>
      </c>
      <c r="D269" s="61"/>
      <c r="E269" s="61">
        <v>358050</v>
      </c>
      <c r="F269" s="61">
        <v>47060</v>
      </c>
      <c r="G269" s="61">
        <v>5000</v>
      </c>
      <c r="H269" s="61"/>
      <c r="I269" s="61"/>
      <c r="J269" s="61"/>
      <c r="K269" s="61"/>
      <c r="L269" s="61"/>
      <c r="M269" s="209"/>
      <c r="N269" s="209">
        <v>30000</v>
      </c>
      <c r="O269" s="209"/>
      <c r="P269" s="209">
        <v>6000</v>
      </c>
      <c r="Q269" s="209">
        <v>86500</v>
      </c>
      <c r="R269" s="209">
        <v>3000</v>
      </c>
      <c r="S269" s="209">
        <v>20000</v>
      </c>
      <c r="T269" s="209">
        <v>3000</v>
      </c>
      <c r="U269" s="209">
        <v>1200</v>
      </c>
      <c r="V269" s="209">
        <v>9000</v>
      </c>
      <c r="W269" s="209">
        <v>4000</v>
      </c>
      <c r="X269" s="209"/>
      <c r="Y269" s="209">
        <v>10000</v>
      </c>
      <c r="Z269" s="209">
        <f>17622+121630</f>
        <v>139252</v>
      </c>
      <c r="AA269" s="209"/>
      <c r="AB269" s="209"/>
      <c r="AC269" s="209"/>
      <c r="AD269" s="209"/>
      <c r="AE269" s="209"/>
      <c r="AF269" s="193">
        <f t="shared" si="16"/>
        <v>2768062</v>
      </c>
    </row>
    <row r="270" spans="1:32" s="14" customFormat="1" ht="18" customHeight="1">
      <c r="A270" s="125" t="s">
        <v>298</v>
      </c>
      <c r="B270" s="61">
        <v>2754200</v>
      </c>
      <c r="C270" s="61">
        <v>197800</v>
      </c>
      <c r="D270" s="61"/>
      <c r="E270" s="61">
        <v>516600</v>
      </c>
      <c r="F270" s="61">
        <v>67900</v>
      </c>
      <c r="G270" s="61">
        <v>2000</v>
      </c>
      <c r="H270" s="61"/>
      <c r="I270" s="61"/>
      <c r="J270" s="61"/>
      <c r="K270" s="61"/>
      <c r="L270" s="61"/>
      <c r="M270" s="209">
        <v>3300</v>
      </c>
      <c r="N270" s="209">
        <v>20000</v>
      </c>
      <c r="O270" s="209"/>
      <c r="P270" s="209">
        <v>6000</v>
      </c>
      <c r="Q270" s="209">
        <v>143000</v>
      </c>
      <c r="R270" s="209">
        <v>1800</v>
      </c>
      <c r="S270" s="209">
        <v>45000</v>
      </c>
      <c r="T270" s="209">
        <v>9000</v>
      </c>
      <c r="U270" s="209"/>
      <c r="V270" s="209">
        <v>15000</v>
      </c>
      <c r="W270" s="209">
        <v>1200</v>
      </c>
      <c r="X270" s="209">
        <v>3000</v>
      </c>
      <c r="Y270" s="209">
        <v>8000</v>
      </c>
      <c r="Z270" s="209">
        <f>64881+150020</f>
        <v>214901</v>
      </c>
      <c r="AA270" s="209"/>
      <c r="AB270" s="209"/>
      <c r="AC270" s="209">
        <v>5000</v>
      </c>
      <c r="AD270" s="209">
        <v>4000</v>
      </c>
      <c r="AE270" s="209"/>
      <c r="AF270" s="193">
        <f t="shared" si="16"/>
        <v>4017701</v>
      </c>
    </row>
    <row r="271" spans="1:32" s="14" customFormat="1" ht="18" customHeight="1" thickBot="1">
      <c r="A271" s="150" t="s">
        <v>303</v>
      </c>
      <c r="B271" s="62">
        <v>449600</v>
      </c>
      <c r="C271" s="62">
        <v>42080</v>
      </c>
      <c r="D271" s="62">
        <v>2000</v>
      </c>
      <c r="E271" s="62">
        <v>86390</v>
      </c>
      <c r="F271" s="62">
        <v>11350</v>
      </c>
      <c r="G271" s="62">
        <v>400</v>
      </c>
      <c r="H271" s="62"/>
      <c r="I271" s="62"/>
      <c r="J271" s="62"/>
      <c r="K271" s="62"/>
      <c r="L271" s="62"/>
      <c r="M271" s="206">
        <v>3250</v>
      </c>
      <c r="N271" s="206">
        <v>10000</v>
      </c>
      <c r="O271" s="206"/>
      <c r="P271" s="206">
        <v>2500</v>
      </c>
      <c r="Q271" s="206">
        <v>58000</v>
      </c>
      <c r="R271" s="206">
        <v>500</v>
      </c>
      <c r="S271" s="206">
        <v>7000</v>
      </c>
      <c r="T271" s="206">
        <v>2000</v>
      </c>
      <c r="U271" s="206"/>
      <c r="V271" s="206">
        <v>3000</v>
      </c>
      <c r="W271" s="206">
        <v>500</v>
      </c>
      <c r="X271" s="206"/>
      <c r="Y271" s="206">
        <v>2000</v>
      </c>
      <c r="Z271" s="206">
        <f>18423+24810</f>
        <v>43233</v>
      </c>
      <c r="AA271" s="206"/>
      <c r="AB271" s="206"/>
      <c r="AC271" s="206">
        <v>2000</v>
      </c>
      <c r="AD271" s="206"/>
      <c r="AE271" s="206"/>
      <c r="AF271" s="194">
        <f aca="true" t="shared" si="23" ref="AF271:AF281">SUM(B271:AE271)</f>
        <v>725803</v>
      </c>
    </row>
    <row r="272" spans="1:34" s="56" customFormat="1" ht="19.5" customHeight="1" thickBot="1">
      <c r="A272" s="112" t="s">
        <v>336</v>
      </c>
      <c r="B272" s="17">
        <f aca="true" t="shared" si="24" ref="B272:G272">SUM(B273:B273)</f>
        <v>2792000</v>
      </c>
      <c r="C272" s="17">
        <f t="shared" si="24"/>
        <v>213000</v>
      </c>
      <c r="D272" s="17">
        <f t="shared" si="24"/>
        <v>5000</v>
      </c>
      <c r="E272" s="17">
        <f t="shared" si="24"/>
        <v>516000</v>
      </c>
      <c r="F272" s="17">
        <f t="shared" si="24"/>
        <v>74000</v>
      </c>
      <c r="G272" s="17">
        <f t="shared" si="24"/>
        <v>6000</v>
      </c>
      <c r="H272" s="17"/>
      <c r="I272" s="17"/>
      <c r="J272" s="17"/>
      <c r="K272" s="17"/>
      <c r="L272" s="17"/>
      <c r="M272" s="205"/>
      <c r="N272" s="205">
        <f>SUM(N273:N273)</f>
        <v>5000</v>
      </c>
      <c r="O272" s="205"/>
      <c r="P272" s="205">
        <f>SUM(P273:P273)</f>
        <v>16500</v>
      </c>
      <c r="Q272" s="205">
        <f>SUM(Q273:Q273)</f>
        <v>45000</v>
      </c>
      <c r="R272" s="205">
        <f>SUM(R273:R273)</f>
        <v>4000</v>
      </c>
      <c r="S272" s="205">
        <f>SUM(S273:S273)</f>
        <v>25000</v>
      </c>
      <c r="T272" s="205"/>
      <c r="U272" s="205"/>
      <c r="V272" s="205">
        <f>SUM(V273:V273)</f>
        <v>10000</v>
      </c>
      <c r="W272" s="205">
        <f>SUM(W273:W273)</f>
        <v>2000</v>
      </c>
      <c r="X272" s="205"/>
      <c r="Y272" s="205">
        <f>SUM(Y273:Y273)</f>
        <v>3000</v>
      </c>
      <c r="Z272" s="205">
        <f>SUM(Z273:Z273)</f>
        <v>182112</v>
      </c>
      <c r="AA272" s="205"/>
      <c r="AB272" s="205"/>
      <c r="AC272" s="205">
        <f>SUM(AC273:AC273)</f>
        <v>3000</v>
      </c>
      <c r="AD272" s="205">
        <f>SUM(AD273:AD273)</f>
        <v>3000</v>
      </c>
      <c r="AE272" s="205">
        <f>SUM(AE273:AE273)</f>
        <v>5000</v>
      </c>
      <c r="AF272" s="191">
        <f t="shared" si="23"/>
        <v>3909612</v>
      </c>
      <c r="AG272" s="51"/>
      <c r="AH272" s="51"/>
    </row>
    <row r="273" spans="1:34" s="56" customFormat="1" ht="18" customHeight="1" thickBot="1">
      <c r="A273" s="148" t="s">
        <v>337</v>
      </c>
      <c r="B273" s="62">
        <v>2792000</v>
      </c>
      <c r="C273" s="62">
        <v>213000</v>
      </c>
      <c r="D273" s="62">
        <v>5000</v>
      </c>
      <c r="E273" s="62">
        <v>516000</v>
      </c>
      <c r="F273" s="62">
        <v>74000</v>
      </c>
      <c r="G273" s="62">
        <v>6000</v>
      </c>
      <c r="H273" s="62"/>
      <c r="I273" s="62"/>
      <c r="J273" s="62"/>
      <c r="K273" s="62"/>
      <c r="L273" s="62"/>
      <c r="M273" s="206"/>
      <c r="N273" s="206">
        <v>5000</v>
      </c>
      <c r="O273" s="206"/>
      <c r="P273" s="206">
        <v>16500</v>
      </c>
      <c r="Q273" s="206">
        <v>45000</v>
      </c>
      <c r="R273" s="206">
        <v>4000</v>
      </c>
      <c r="S273" s="206">
        <v>25000</v>
      </c>
      <c r="T273" s="206"/>
      <c r="U273" s="206"/>
      <c r="V273" s="206">
        <v>10000</v>
      </c>
      <c r="W273" s="206">
        <v>2000</v>
      </c>
      <c r="X273" s="206"/>
      <c r="Y273" s="206">
        <v>3000</v>
      </c>
      <c r="Z273" s="206">
        <f>9612+172500</f>
        <v>182112</v>
      </c>
      <c r="AA273" s="206"/>
      <c r="AB273" s="206"/>
      <c r="AC273" s="206">
        <v>3000</v>
      </c>
      <c r="AD273" s="206">
        <v>3000</v>
      </c>
      <c r="AE273" s="206">
        <v>5000</v>
      </c>
      <c r="AF273" s="190">
        <f t="shared" si="23"/>
        <v>3909612</v>
      </c>
      <c r="AG273" s="51"/>
      <c r="AH273" s="51"/>
    </row>
    <row r="274" spans="1:32" ht="17.25" customHeight="1" thickBot="1">
      <c r="A274" s="112" t="s">
        <v>299</v>
      </c>
      <c r="B274" s="55">
        <f aca="true" t="shared" si="25" ref="B274:G274">SUM(B275:B276)</f>
        <v>4190000</v>
      </c>
      <c r="C274" s="55">
        <f t="shared" si="25"/>
        <v>310000</v>
      </c>
      <c r="D274" s="55">
        <f t="shared" si="25"/>
        <v>3000</v>
      </c>
      <c r="E274" s="55">
        <f t="shared" si="25"/>
        <v>788100</v>
      </c>
      <c r="F274" s="55">
        <f t="shared" si="25"/>
        <v>101900</v>
      </c>
      <c r="G274" s="55">
        <f t="shared" si="25"/>
        <v>13000</v>
      </c>
      <c r="H274" s="55"/>
      <c r="I274" s="55"/>
      <c r="J274" s="55"/>
      <c r="K274" s="55"/>
      <c r="L274" s="55"/>
      <c r="M274" s="195"/>
      <c r="N274" s="195">
        <f>SUM(N275:N276)</f>
        <v>23800</v>
      </c>
      <c r="O274" s="195"/>
      <c r="P274" s="195">
        <f>SUM(P275:P276)</f>
        <v>5000</v>
      </c>
      <c r="Q274" s="195">
        <f>SUM(Q275:Q276)</f>
        <v>208600</v>
      </c>
      <c r="R274" s="195">
        <f>SUM(R275:R276)</f>
        <v>6000</v>
      </c>
      <c r="S274" s="195">
        <f>SUM(S275:S276)</f>
        <v>12000</v>
      </c>
      <c r="T274" s="195">
        <f>SUM(T275:T276)</f>
        <v>3000</v>
      </c>
      <c r="U274" s="195"/>
      <c r="V274" s="195">
        <f>SUM(V275:V276)</f>
        <v>10000</v>
      </c>
      <c r="W274" s="195">
        <f>SUM(W275:W276)</f>
        <v>500</v>
      </c>
      <c r="X274" s="195"/>
      <c r="Y274" s="195">
        <f>SUM(Y275:Y276)</f>
        <v>1000</v>
      </c>
      <c r="Z274" s="195">
        <f>SUM(Z275:Z276)</f>
        <v>288772</v>
      </c>
      <c r="AA274" s="195"/>
      <c r="AB274" s="195"/>
      <c r="AC274" s="195">
        <f>SUM(AC275:AC276)</f>
        <v>6000</v>
      </c>
      <c r="AD274" s="195">
        <f>SUM(AD275:AD276)</f>
        <v>6000</v>
      </c>
      <c r="AE274" s="195"/>
      <c r="AF274" s="191">
        <f t="shared" si="23"/>
        <v>5976672</v>
      </c>
    </row>
    <row r="275" spans="1:32" ht="18" customHeight="1">
      <c r="A275" s="113" t="s">
        <v>192</v>
      </c>
      <c r="B275" s="65">
        <v>3490000</v>
      </c>
      <c r="C275" s="65">
        <v>274000</v>
      </c>
      <c r="D275" s="65">
        <v>3000</v>
      </c>
      <c r="E275" s="65">
        <v>659300</v>
      </c>
      <c r="F275" s="65">
        <v>85200</v>
      </c>
      <c r="G275" s="65">
        <v>11000</v>
      </c>
      <c r="H275" s="65"/>
      <c r="I275" s="65"/>
      <c r="J275" s="65"/>
      <c r="K275" s="65"/>
      <c r="L275" s="65"/>
      <c r="M275" s="65"/>
      <c r="N275" s="65">
        <v>15800</v>
      </c>
      <c r="O275" s="65"/>
      <c r="P275" s="65">
        <v>3000</v>
      </c>
      <c r="Q275" s="65">
        <v>150000</v>
      </c>
      <c r="R275" s="65">
        <v>2000</v>
      </c>
      <c r="S275" s="65">
        <v>6000</v>
      </c>
      <c r="T275" s="65">
        <v>1000</v>
      </c>
      <c r="U275" s="65"/>
      <c r="V275" s="65">
        <v>8000</v>
      </c>
      <c r="W275" s="65">
        <v>500</v>
      </c>
      <c r="X275" s="65"/>
      <c r="Y275" s="65">
        <v>1000</v>
      </c>
      <c r="Z275" s="65">
        <f>28836+183400</f>
        <v>212236</v>
      </c>
      <c r="AA275" s="65"/>
      <c r="AB275" s="65"/>
      <c r="AC275" s="65">
        <v>5000</v>
      </c>
      <c r="AD275" s="65">
        <v>5000</v>
      </c>
      <c r="AE275" s="65"/>
      <c r="AF275" s="192">
        <f t="shared" si="23"/>
        <v>4932036</v>
      </c>
    </row>
    <row r="276" spans="1:34" s="56" customFormat="1" ht="18" customHeight="1" thickBot="1">
      <c r="A276" s="151" t="s">
        <v>302</v>
      </c>
      <c r="B276" s="63">
        <v>700000</v>
      </c>
      <c r="C276" s="63">
        <v>36000</v>
      </c>
      <c r="D276" s="63"/>
      <c r="E276" s="63">
        <v>128800</v>
      </c>
      <c r="F276" s="63">
        <v>16700</v>
      </c>
      <c r="G276" s="63">
        <v>2000</v>
      </c>
      <c r="H276" s="63"/>
      <c r="I276" s="63"/>
      <c r="J276" s="63"/>
      <c r="K276" s="63"/>
      <c r="L276" s="63"/>
      <c r="M276" s="208"/>
      <c r="N276" s="208">
        <v>8000</v>
      </c>
      <c r="O276" s="208"/>
      <c r="P276" s="208">
        <v>2000</v>
      </c>
      <c r="Q276" s="208">
        <v>58600</v>
      </c>
      <c r="R276" s="208">
        <v>4000</v>
      </c>
      <c r="S276" s="208">
        <v>6000</v>
      </c>
      <c r="T276" s="208">
        <v>2000</v>
      </c>
      <c r="U276" s="208"/>
      <c r="V276" s="208">
        <v>2000</v>
      </c>
      <c r="W276" s="208"/>
      <c r="X276" s="208"/>
      <c r="Y276" s="208"/>
      <c r="Z276" s="208">
        <f>28836+47700</f>
        <v>76536</v>
      </c>
      <c r="AA276" s="208"/>
      <c r="AB276" s="208"/>
      <c r="AC276" s="208">
        <v>1000</v>
      </c>
      <c r="AD276" s="208">
        <v>1000</v>
      </c>
      <c r="AE276" s="208"/>
      <c r="AF276" s="194">
        <f t="shared" si="23"/>
        <v>1044636</v>
      </c>
      <c r="AG276" s="51"/>
      <c r="AH276" s="51"/>
    </row>
    <row r="277" spans="1:32" ht="26.25" thickBot="1">
      <c r="A277" s="116" t="s">
        <v>62</v>
      </c>
      <c r="B277" s="55">
        <f aca="true" t="shared" si="26" ref="B277:G277">SUM(B278:B281)</f>
        <v>7482900</v>
      </c>
      <c r="C277" s="55">
        <f t="shared" si="26"/>
        <v>627100</v>
      </c>
      <c r="D277" s="55">
        <f t="shared" si="26"/>
        <v>30000</v>
      </c>
      <c r="E277" s="55">
        <f t="shared" si="26"/>
        <v>1406600</v>
      </c>
      <c r="F277" s="55">
        <f t="shared" si="26"/>
        <v>198400</v>
      </c>
      <c r="G277" s="55">
        <f t="shared" si="26"/>
        <v>11500</v>
      </c>
      <c r="H277" s="55"/>
      <c r="I277" s="55"/>
      <c r="J277" s="55"/>
      <c r="K277" s="55"/>
      <c r="L277" s="55"/>
      <c r="M277" s="195"/>
      <c r="N277" s="195">
        <f>SUM(N278:N281)</f>
        <v>157200</v>
      </c>
      <c r="O277" s="195"/>
      <c r="P277" s="195">
        <f>SUM(P278:P281)</f>
        <v>14000</v>
      </c>
      <c r="Q277" s="195">
        <f>SUM(Q278:Q281)</f>
        <v>415600</v>
      </c>
      <c r="R277" s="195">
        <f>SUM(R278:R281)</f>
        <v>7000</v>
      </c>
      <c r="S277" s="195">
        <f>SUM(S278:S281)</f>
        <v>56300</v>
      </c>
      <c r="T277" s="195">
        <f>SUM(T278:T281)</f>
        <v>11500</v>
      </c>
      <c r="U277" s="195"/>
      <c r="V277" s="195">
        <f>SUM(V278:V281)</f>
        <v>20000</v>
      </c>
      <c r="W277" s="195">
        <f>SUM(W278:W281)</f>
        <v>4500</v>
      </c>
      <c r="X277" s="195"/>
      <c r="Y277" s="195">
        <f>SUM(Y278:Y281)</f>
        <v>13000</v>
      </c>
      <c r="Z277" s="195">
        <f>SUM(Z278:Z281)</f>
        <v>583061</v>
      </c>
      <c r="AA277" s="195"/>
      <c r="AB277" s="195">
        <f>SUM(AB278:AB281)</f>
        <v>800</v>
      </c>
      <c r="AC277" s="195">
        <f>SUM(AC278:AC281)</f>
        <v>4500</v>
      </c>
      <c r="AD277" s="195">
        <f>SUM(AD278:AD281)</f>
        <v>5000</v>
      </c>
      <c r="AE277" s="195"/>
      <c r="AF277" s="191">
        <f t="shared" si="23"/>
        <v>11048961</v>
      </c>
    </row>
    <row r="278" spans="1:32" ht="18" customHeight="1">
      <c r="A278" s="152" t="s">
        <v>187</v>
      </c>
      <c r="B278" s="65">
        <v>4100000</v>
      </c>
      <c r="C278" s="65">
        <v>342400</v>
      </c>
      <c r="D278" s="65">
        <v>5000</v>
      </c>
      <c r="E278" s="65">
        <v>764000</v>
      </c>
      <c r="F278" s="65">
        <v>109000</v>
      </c>
      <c r="G278" s="65">
        <v>5000</v>
      </c>
      <c r="H278" s="65"/>
      <c r="I278" s="65"/>
      <c r="J278" s="65"/>
      <c r="K278" s="65"/>
      <c r="L278" s="65"/>
      <c r="M278" s="65"/>
      <c r="N278" s="65">
        <v>45000</v>
      </c>
      <c r="O278" s="65"/>
      <c r="P278" s="65">
        <v>8000</v>
      </c>
      <c r="Q278" s="65">
        <v>270000</v>
      </c>
      <c r="R278" s="65">
        <v>5000</v>
      </c>
      <c r="S278" s="65">
        <v>22000</v>
      </c>
      <c r="T278" s="65">
        <v>5000</v>
      </c>
      <c r="U278" s="65"/>
      <c r="V278" s="65">
        <v>10000</v>
      </c>
      <c r="W278" s="65">
        <v>2500</v>
      </c>
      <c r="X278" s="65"/>
      <c r="Y278" s="65">
        <v>8000</v>
      </c>
      <c r="Z278" s="65">
        <f>92916+250000</f>
        <v>342916</v>
      </c>
      <c r="AA278" s="65"/>
      <c r="AB278" s="65"/>
      <c r="AC278" s="65">
        <v>3000</v>
      </c>
      <c r="AD278" s="65">
        <v>3000</v>
      </c>
      <c r="AE278" s="65"/>
      <c r="AF278" s="192">
        <f t="shared" si="23"/>
        <v>6049816</v>
      </c>
    </row>
    <row r="279" spans="1:32" ht="18" customHeight="1">
      <c r="A279" s="127" t="s">
        <v>89</v>
      </c>
      <c r="B279" s="54">
        <v>1749400</v>
      </c>
      <c r="C279" s="54">
        <v>141800</v>
      </c>
      <c r="D279" s="54"/>
      <c r="E279" s="54">
        <v>334900</v>
      </c>
      <c r="F279" s="54">
        <v>45600</v>
      </c>
      <c r="G279" s="54">
        <v>5000</v>
      </c>
      <c r="H279" s="54"/>
      <c r="I279" s="54"/>
      <c r="J279" s="54"/>
      <c r="K279" s="54"/>
      <c r="L279" s="54"/>
      <c r="M279" s="50"/>
      <c r="N279" s="50">
        <v>80000</v>
      </c>
      <c r="O279" s="50"/>
      <c r="P279" s="50">
        <v>1000</v>
      </c>
      <c r="Q279" s="50">
        <v>23000</v>
      </c>
      <c r="R279" s="50">
        <v>2000</v>
      </c>
      <c r="S279" s="50">
        <v>21000</v>
      </c>
      <c r="T279" s="50">
        <v>5000</v>
      </c>
      <c r="U279" s="50"/>
      <c r="V279" s="50">
        <v>5000</v>
      </c>
      <c r="W279" s="50">
        <v>2000</v>
      </c>
      <c r="X279" s="50"/>
      <c r="Y279" s="50">
        <v>5000</v>
      </c>
      <c r="Z279" s="50">
        <f>14418+109800</f>
        <v>124218</v>
      </c>
      <c r="AA279" s="50"/>
      <c r="AB279" s="50"/>
      <c r="AC279" s="50"/>
      <c r="AD279" s="50"/>
      <c r="AE279" s="50"/>
      <c r="AF279" s="193">
        <f t="shared" si="23"/>
        <v>2544918</v>
      </c>
    </row>
    <row r="280" spans="1:32" ht="18" customHeight="1">
      <c r="A280" s="126" t="s">
        <v>333</v>
      </c>
      <c r="B280" s="52">
        <v>1627300</v>
      </c>
      <c r="C280" s="52">
        <v>140000</v>
      </c>
      <c r="D280" s="52">
        <v>25000</v>
      </c>
      <c r="E280" s="52">
        <v>306100</v>
      </c>
      <c r="F280" s="52">
        <v>43600</v>
      </c>
      <c r="G280" s="52">
        <v>1500</v>
      </c>
      <c r="H280" s="52"/>
      <c r="I280" s="52"/>
      <c r="J280" s="52"/>
      <c r="K280" s="52"/>
      <c r="L280" s="52"/>
      <c r="M280" s="52"/>
      <c r="N280" s="52">
        <v>30000</v>
      </c>
      <c r="O280" s="52"/>
      <c r="P280" s="52">
        <v>5000</v>
      </c>
      <c r="Q280" s="52">
        <v>119600</v>
      </c>
      <c r="R280" s="52"/>
      <c r="S280" s="52">
        <v>12000</v>
      </c>
      <c r="T280" s="52">
        <v>1500</v>
      </c>
      <c r="U280" s="52"/>
      <c r="V280" s="52">
        <v>5000</v>
      </c>
      <c r="W280" s="52"/>
      <c r="X280" s="52"/>
      <c r="Y280" s="52"/>
      <c r="Z280" s="52">
        <f>21627+94000</f>
        <v>115627</v>
      </c>
      <c r="AA280" s="52"/>
      <c r="AB280" s="52">
        <v>800</v>
      </c>
      <c r="AC280" s="52">
        <v>1500</v>
      </c>
      <c r="AD280" s="52">
        <v>2000</v>
      </c>
      <c r="AE280" s="52"/>
      <c r="AF280" s="193">
        <f t="shared" si="23"/>
        <v>2436527</v>
      </c>
    </row>
    <row r="281" spans="1:32" ht="18" customHeight="1" thickBot="1">
      <c r="A281" s="153" t="s">
        <v>87</v>
      </c>
      <c r="B281" s="138">
        <v>6200</v>
      </c>
      <c r="C281" s="138">
        <v>2900</v>
      </c>
      <c r="D281" s="138"/>
      <c r="E281" s="138">
        <v>1600</v>
      </c>
      <c r="F281" s="138">
        <v>200</v>
      </c>
      <c r="G281" s="138"/>
      <c r="H281" s="138"/>
      <c r="I281" s="138"/>
      <c r="J281" s="138"/>
      <c r="K281" s="138"/>
      <c r="L281" s="138"/>
      <c r="M281" s="108"/>
      <c r="N281" s="108">
        <v>2200</v>
      </c>
      <c r="O281" s="108"/>
      <c r="P281" s="108"/>
      <c r="Q281" s="108">
        <v>3000</v>
      </c>
      <c r="R281" s="108"/>
      <c r="S281" s="108">
        <v>1300</v>
      </c>
      <c r="T281" s="108"/>
      <c r="U281" s="108"/>
      <c r="V281" s="108"/>
      <c r="W281" s="108"/>
      <c r="X281" s="108"/>
      <c r="Y281" s="108"/>
      <c r="Z281" s="108">
        <v>300</v>
      </c>
      <c r="AA281" s="108"/>
      <c r="AB281" s="108"/>
      <c r="AC281" s="108"/>
      <c r="AD281" s="108"/>
      <c r="AE281" s="108"/>
      <c r="AF281" s="194">
        <f t="shared" si="23"/>
        <v>17700</v>
      </c>
    </row>
    <row r="282" spans="1:34" s="76" customFormat="1" ht="30.75" thickBot="1">
      <c r="A282" s="183" t="s">
        <v>413</v>
      </c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205"/>
      <c r="N282" s="205">
        <f>N283</f>
        <v>17250</v>
      </c>
      <c r="O282" s="205"/>
      <c r="P282" s="205"/>
      <c r="Q282" s="205"/>
      <c r="R282" s="205"/>
      <c r="S282" s="205">
        <f>S283</f>
        <v>500</v>
      </c>
      <c r="T282" s="205"/>
      <c r="U282" s="205"/>
      <c r="V282" s="205"/>
      <c r="W282" s="205"/>
      <c r="X282" s="205"/>
      <c r="Y282" s="205"/>
      <c r="Z282" s="205"/>
      <c r="AA282" s="205"/>
      <c r="AB282" s="205"/>
      <c r="AC282" s="205">
        <f>AC283</f>
        <v>1000</v>
      </c>
      <c r="AD282" s="205"/>
      <c r="AE282" s="205"/>
      <c r="AF282" s="191">
        <f aca="true" t="shared" si="27" ref="AF282:AF312">SUM(B282:AE282)</f>
        <v>18750</v>
      </c>
      <c r="AH282" s="77"/>
    </row>
    <row r="283" spans="1:34" s="49" customFormat="1" ht="26.25" thickBot="1">
      <c r="A283" s="116" t="s">
        <v>414</v>
      </c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205"/>
      <c r="N283" s="205">
        <f>N284</f>
        <v>17250</v>
      </c>
      <c r="O283" s="205"/>
      <c r="P283" s="205"/>
      <c r="Q283" s="205"/>
      <c r="R283" s="205"/>
      <c r="S283" s="205">
        <f>S284</f>
        <v>500</v>
      </c>
      <c r="T283" s="205"/>
      <c r="U283" s="205"/>
      <c r="V283" s="205"/>
      <c r="W283" s="205"/>
      <c r="X283" s="205"/>
      <c r="Y283" s="205"/>
      <c r="Z283" s="205"/>
      <c r="AA283" s="205"/>
      <c r="AB283" s="205"/>
      <c r="AC283" s="205">
        <f>AC284</f>
        <v>1000</v>
      </c>
      <c r="AD283" s="205"/>
      <c r="AE283" s="205"/>
      <c r="AF283" s="191">
        <f t="shared" si="27"/>
        <v>18750</v>
      </c>
      <c r="AG283" s="51"/>
      <c r="AH283" s="51"/>
    </row>
    <row r="284" spans="1:34" s="81" customFormat="1" ht="18" customHeight="1">
      <c r="A284" s="133" t="s">
        <v>415</v>
      </c>
      <c r="B284" s="182"/>
      <c r="C284" s="182"/>
      <c r="D284" s="182"/>
      <c r="E284" s="182"/>
      <c r="F284" s="182"/>
      <c r="G284" s="182"/>
      <c r="H284" s="182"/>
      <c r="I284" s="182"/>
      <c r="J284" s="182"/>
      <c r="K284" s="182"/>
      <c r="L284" s="182"/>
      <c r="M284" s="213"/>
      <c r="N284" s="213">
        <f>SUM(N285)</f>
        <v>17250</v>
      </c>
      <c r="O284" s="213"/>
      <c r="P284" s="213"/>
      <c r="Q284" s="213"/>
      <c r="R284" s="213"/>
      <c r="S284" s="213">
        <f>SUM(S285)</f>
        <v>500</v>
      </c>
      <c r="T284" s="213"/>
      <c r="U284" s="213"/>
      <c r="V284" s="213"/>
      <c r="W284" s="213"/>
      <c r="X284" s="213"/>
      <c r="Y284" s="213"/>
      <c r="Z284" s="213"/>
      <c r="AA284" s="213"/>
      <c r="AB284" s="213"/>
      <c r="AC284" s="213">
        <f>SUM(AC285)</f>
        <v>1000</v>
      </c>
      <c r="AD284" s="213"/>
      <c r="AE284" s="213"/>
      <c r="AF284" s="214">
        <f t="shared" si="27"/>
        <v>18750</v>
      </c>
      <c r="AG284" s="79"/>
      <c r="AH284" s="79"/>
    </row>
    <row r="285" spans="1:34" s="49" customFormat="1" ht="18" customHeight="1" thickBot="1">
      <c r="A285" s="114" t="s">
        <v>192</v>
      </c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207"/>
      <c r="N285" s="207">
        <v>17250</v>
      </c>
      <c r="O285" s="207"/>
      <c r="P285" s="207"/>
      <c r="Q285" s="207"/>
      <c r="R285" s="207"/>
      <c r="S285" s="207">
        <v>500</v>
      </c>
      <c r="T285" s="207"/>
      <c r="U285" s="207"/>
      <c r="V285" s="207"/>
      <c r="W285" s="207"/>
      <c r="X285" s="207"/>
      <c r="Y285" s="207"/>
      <c r="Z285" s="207"/>
      <c r="AA285" s="207"/>
      <c r="AB285" s="207"/>
      <c r="AC285" s="207">
        <v>1000</v>
      </c>
      <c r="AD285" s="207"/>
      <c r="AE285" s="207"/>
      <c r="AF285" s="193">
        <f t="shared" si="27"/>
        <v>18750</v>
      </c>
      <c r="AH285" s="51"/>
    </row>
    <row r="286" spans="1:34" s="76" customFormat="1" ht="21.75" customHeight="1" thickBot="1">
      <c r="A286" s="154" t="s">
        <v>274</v>
      </c>
      <c r="B286" s="17">
        <f>B287+B325+B330+B337+B340+B350+B400+B402+B404</f>
        <v>25133280</v>
      </c>
      <c r="C286" s="17">
        <f aca="true" t="shared" si="28" ref="C286:AE286">C287+C325+C330+C337+C340+C350+C400+C402+C404</f>
        <v>2019280</v>
      </c>
      <c r="D286" s="17">
        <f t="shared" si="28"/>
        <v>27150</v>
      </c>
      <c r="E286" s="17">
        <f t="shared" si="28"/>
        <v>4623460</v>
      </c>
      <c r="F286" s="17">
        <f t="shared" si="28"/>
        <v>638770</v>
      </c>
      <c r="G286" s="17">
        <f t="shared" si="28"/>
        <v>88860</v>
      </c>
      <c r="H286" s="17">
        <f t="shared" si="28"/>
        <v>80640</v>
      </c>
      <c r="I286" s="17"/>
      <c r="J286" s="17"/>
      <c r="K286" s="17">
        <f t="shared" si="28"/>
        <v>9000</v>
      </c>
      <c r="L286" s="17"/>
      <c r="M286" s="205">
        <f t="shared" si="28"/>
        <v>39500</v>
      </c>
      <c r="N286" s="205">
        <f t="shared" si="28"/>
        <v>757750</v>
      </c>
      <c r="O286" s="205">
        <f t="shared" si="28"/>
        <v>450000</v>
      </c>
      <c r="P286" s="205">
        <f t="shared" si="28"/>
        <v>97460</v>
      </c>
      <c r="Q286" s="205">
        <f t="shared" si="28"/>
        <v>1898490</v>
      </c>
      <c r="R286" s="205">
        <f t="shared" si="28"/>
        <v>37920</v>
      </c>
      <c r="S286" s="205">
        <f t="shared" si="28"/>
        <v>448560</v>
      </c>
      <c r="T286" s="205">
        <f t="shared" si="28"/>
        <v>34730</v>
      </c>
      <c r="U286" s="205">
        <f t="shared" si="28"/>
        <v>9500</v>
      </c>
      <c r="V286" s="205">
        <f t="shared" si="28"/>
        <v>110150</v>
      </c>
      <c r="W286" s="205">
        <f t="shared" si="28"/>
        <v>22650</v>
      </c>
      <c r="X286" s="205">
        <f t="shared" si="28"/>
        <v>2500</v>
      </c>
      <c r="Y286" s="205">
        <f t="shared" si="28"/>
        <v>56040</v>
      </c>
      <c r="Z286" s="205">
        <f t="shared" si="28"/>
        <v>1670418</v>
      </c>
      <c r="AA286" s="205">
        <f t="shared" si="28"/>
        <v>2000</v>
      </c>
      <c r="AB286" s="205">
        <f t="shared" si="28"/>
        <v>4000</v>
      </c>
      <c r="AC286" s="205">
        <f t="shared" si="28"/>
        <v>40500</v>
      </c>
      <c r="AD286" s="205">
        <f t="shared" si="28"/>
        <v>43100</v>
      </c>
      <c r="AE286" s="205">
        <f t="shared" si="28"/>
        <v>50000</v>
      </c>
      <c r="AF286" s="191">
        <f t="shared" si="27"/>
        <v>38395708</v>
      </c>
      <c r="AH286" s="77"/>
    </row>
    <row r="287" spans="1:34" s="49" customFormat="1" ht="19.5" customHeight="1" thickBot="1">
      <c r="A287" s="112" t="s">
        <v>98</v>
      </c>
      <c r="B287" s="17">
        <f aca="true" t="shared" si="29" ref="B287:G287">SUM(B288:B324)</f>
        <v>5336410</v>
      </c>
      <c r="C287" s="17">
        <f t="shared" si="29"/>
        <v>425600</v>
      </c>
      <c r="D287" s="17">
        <f t="shared" si="29"/>
        <v>2500</v>
      </c>
      <c r="E287" s="17">
        <f t="shared" si="29"/>
        <v>950760</v>
      </c>
      <c r="F287" s="17">
        <f t="shared" si="29"/>
        <v>131370</v>
      </c>
      <c r="G287" s="17">
        <f t="shared" si="29"/>
        <v>13940</v>
      </c>
      <c r="H287" s="17"/>
      <c r="I287" s="17"/>
      <c r="J287" s="17"/>
      <c r="K287" s="17"/>
      <c r="L287" s="17"/>
      <c r="M287" s="205">
        <f>SUM(M288:M324)</f>
        <v>2000</v>
      </c>
      <c r="N287" s="205">
        <f>SUM(N288:N324)</f>
        <v>33140</v>
      </c>
      <c r="O287" s="205"/>
      <c r="P287" s="205">
        <f>SUM(P288:P324)</f>
        <v>30460</v>
      </c>
      <c r="Q287" s="205">
        <f>SUM(Q288:Q324)</f>
        <v>16700</v>
      </c>
      <c r="R287" s="205">
        <f>SUM(R288:R324)</f>
        <v>5240</v>
      </c>
      <c r="S287" s="205">
        <f>SUM(S288:S324)</f>
        <v>5200</v>
      </c>
      <c r="T287" s="205"/>
      <c r="U287" s="205"/>
      <c r="V287" s="205"/>
      <c r="W287" s="205">
        <f>SUM(W288:W324)</f>
        <v>400</v>
      </c>
      <c r="X287" s="205"/>
      <c r="Y287" s="205"/>
      <c r="Z287" s="205">
        <f>SUM(Z288:Z324)</f>
        <v>426312</v>
      </c>
      <c r="AA287" s="205"/>
      <c r="AB287" s="205"/>
      <c r="AC287" s="205">
        <f>SUM(AC288:AC324)</f>
        <v>300</v>
      </c>
      <c r="AD287" s="205"/>
      <c r="AE287" s="205"/>
      <c r="AF287" s="191">
        <f t="shared" si="27"/>
        <v>7380332</v>
      </c>
      <c r="AG287" s="51"/>
      <c r="AH287" s="51"/>
    </row>
    <row r="288" spans="1:34" s="49" customFormat="1" ht="18" customHeight="1">
      <c r="A288" s="113" t="s">
        <v>152</v>
      </c>
      <c r="B288" s="61">
        <v>185870</v>
      </c>
      <c r="C288" s="61">
        <v>16190</v>
      </c>
      <c r="D288" s="61"/>
      <c r="E288" s="61">
        <v>34360</v>
      </c>
      <c r="F288" s="61">
        <v>4680</v>
      </c>
      <c r="G288" s="61">
        <v>800</v>
      </c>
      <c r="H288" s="61"/>
      <c r="I288" s="61"/>
      <c r="J288" s="61"/>
      <c r="K288" s="61"/>
      <c r="L288" s="61"/>
      <c r="M288" s="209"/>
      <c r="N288" s="209">
        <v>1500</v>
      </c>
      <c r="O288" s="209"/>
      <c r="P288" s="209">
        <v>2800</v>
      </c>
      <c r="Q288" s="209">
        <v>4000</v>
      </c>
      <c r="R288" s="209"/>
      <c r="S288" s="209"/>
      <c r="T288" s="209"/>
      <c r="U288" s="209"/>
      <c r="V288" s="209"/>
      <c r="W288" s="209"/>
      <c r="X288" s="209"/>
      <c r="Y288" s="209"/>
      <c r="Z288" s="209">
        <v>9300</v>
      </c>
      <c r="AA288" s="209"/>
      <c r="AB288" s="209"/>
      <c r="AC288" s="209"/>
      <c r="AD288" s="209"/>
      <c r="AE288" s="209"/>
      <c r="AF288" s="192">
        <f t="shared" si="27"/>
        <v>259500</v>
      </c>
      <c r="AG288" s="51"/>
      <c r="AH288" s="51"/>
    </row>
    <row r="289" spans="1:34" s="56" customFormat="1" ht="18" customHeight="1">
      <c r="A289" s="114" t="s">
        <v>153</v>
      </c>
      <c r="B289" s="60">
        <v>127000</v>
      </c>
      <c r="C289" s="60">
        <v>9000</v>
      </c>
      <c r="D289" s="60">
        <v>1000</v>
      </c>
      <c r="E289" s="60">
        <v>23000</v>
      </c>
      <c r="F289" s="60">
        <v>2840</v>
      </c>
      <c r="G289" s="60"/>
      <c r="H289" s="60"/>
      <c r="I289" s="60"/>
      <c r="J289" s="60"/>
      <c r="K289" s="60"/>
      <c r="L289" s="60"/>
      <c r="M289" s="207"/>
      <c r="N289" s="207">
        <v>1000</v>
      </c>
      <c r="O289" s="207"/>
      <c r="P289" s="207">
        <v>1000</v>
      </c>
      <c r="Q289" s="207"/>
      <c r="R289" s="207">
        <v>250</v>
      </c>
      <c r="S289" s="207"/>
      <c r="T289" s="207"/>
      <c r="U289" s="207"/>
      <c r="V289" s="207"/>
      <c r="W289" s="207"/>
      <c r="X289" s="207"/>
      <c r="Y289" s="207"/>
      <c r="Z289" s="207">
        <f>2403+8200</f>
        <v>10603</v>
      </c>
      <c r="AA289" s="207"/>
      <c r="AB289" s="207"/>
      <c r="AC289" s="207"/>
      <c r="AD289" s="207"/>
      <c r="AE289" s="207"/>
      <c r="AF289" s="193">
        <f t="shared" si="27"/>
        <v>175693</v>
      </c>
      <c r="AG289" s="51"/>
      <c r="AH289" s="51"/>
    </row>
    <row r="290" spans="1:34" s="49" customFormat="1" ht="18" customHeight="1">
      <c r="A290" s="114" t="s">
        <v>154</v>
      </c>
      <c r="B290" s="60">
        <v>108220</v>
      </c>
      <c r="C290" s="60">
        <v>7300</v>
      </c>
      <c r="D290" s="60"/>
      <c r="E290" s="60">
        <v>19530</v>
      </c>
      <c r="F290" s="60">
        <v>2660</v>
      </c>
      <c r="G290" s="60"/>
      <c r="H290" s="60"/>
      <c r="I290" s="60"/>
      <c r="J290" s="60"/>
      <c r="K290" s="60"/>
      <c r="L290" s="60"/>
      <c r="M290" s="207"/>
      <c r="N290" s="207"/>
      <c r="O290" s="207"/>
      <c r="P290" s="207">
        <v>100</v>
      </c>
      <c r="Q290" s="207">
        <v>2000</v>
      </c>
      <c r="R290" s="207">
        <v>100</v>
      </c>
      <c r="S290" s="207"/>
      <c r="T290" s="207"/>
      <c r="U290" s="207"/>
      <c r="V290" s="207"/>
      <c r="W290" s="207"/>
      <c r="X290" s="207"/>
      <c r="Y290" s="207"/>
      <c r="Z290" s="207">
        <f>2403+7200</f>
        <v>9603</v>
      </c>
      <c r="AA290" s="207"/>
      <c r="AB290" s="207"/>
      <c r="AC290" s="207"/>
      <c r="AD290" s="207"/>
      <c r="AE290" s="207"/>
      <c r="AF290" s="193">
        <f t="shared" si="27"/>
        <v>149513</v>
      </c>
      <c r="AH290" s="51"/>
    </row>
    <row r="291" spans="1:34" s="49" customFormat="1" ht="18" customHeight="1">
      <c r="A291" s="114" t="s">
        <v>155</v>
      </c>
      <c r="B291" s="60">
        <v>198770</v>
      </c>
      <c r="C291" s="60">
        <v>14800</v>
      </c>
      <c r="D291" s="60"/>
      <c r="E291" s="60">
        <v>34090</v>
      </c>
      <c r="F291" s="60">
        <v>4780</v>
      </c>
      <c r="G291" s="60">
        <v>600</v>
      </c>
      <c r="H291" s="60"/>
      <c r="I291" s="60"/>
      <c r="J291" s="60"/>
      <c r="K291" s="60"/>
      <c r="L291" s="60"/>
      <c r="M291" s="207"/>
      <c r="N291" s="207">
        <v>1000</v>
      </c>
      <c r="O291" s="207"/>
      <c r="P291" s="207">
        <v>1000</v>
      </c>
      <c r="Q291" s="207"/>
      <c r="R291" s="207"/>
      <c r="S291" s="207"/>
      <c r="T291" s="207"/>
      <c r="U291" s="207"/>
      <c r="V291" s="207"/>
      <c r="W291" s="207"/>
      <c r="X291" s="207"/>
      <c r="Y291" s="207"/>
      <c r="Z291" s="207">
        <f>4005+14480</f>
        <v>18485</v>
      </c>
      <c r="AA291" s="207"/>
      <c r="AB291" s="207"/>
      <c r="AC291" s="207"/>
      <c r="AD291" s="207"/>
      <c r="AE291" s="207"/>
      <c r="AF291" s="193">
        <f t="shared" si="27"/>
        <v>273525</v>
      </c>
      <c r="AH291" s="51"/>
    </row>
    <row r="292" spans="1:34" s="49" customFormat="1" ht="18" customHeight="1">
      <c r="A292" s="114" t="s">
        <v>156</v>
      </c>
      <c r="B292" s="60">
        <v>160960</v>
      </c>
      <c r="C292" s="60">
        <v>12560</v>
      </c>
      <c r="D292" s="60"/>
      <c r="E292" s="60">
        <v>28960</v>
      </c>
      <c r="F292" s="60">
        <v>3940</v>
      </c>
      <c r="G292" s="60"/>
      <c r="H292" s="60"/>
      <c r="I292" s="60"/>
      <c r="J292" s="60"/>
      <c r="K292" s="60"/>
      <c r="L292" s="60"/>
      <c r="M292" s="207"/>
      <c r="N292" s="207"/>
      <c r="O292" s="207"/>
      <c r="P292" s="207">
        <v>1000</v>
      </c>
      <c r="Q292" s="207"/>
      <c r="R292" s="207"/>
      <c r="S292" s="207"/>
      <c r="T292" s="207"/>
      <c r="U292" s="207"/>
      <c r="V292" s="207"/>
      <c r="W292" s="207"/>
      <c r="X292" s="207"/>
      <c r="Y292" s="207"/>
      <c r="Z292" s="207">
        <f>3204+7840</f>
        <v>11044</v>
      </c>
      <c r="AA292" s="207"/>
      <c r="AB292" s="207"/>
      <c r="AC292" s="207"/>
      <c r="AD292" s="207"/>
      <c r="AE292" s="207"/>
      <c r="AF292" s="193">
        <f t="shared" si="27"/>
        <v>218464</v>
      </c>
      <c r="AH292" s="51"/>
    </row>
    <row r="293" spans="1:34" s="49" customFormat="1" ht="18" customHeight="1">
      <c r="A293" s="114" t="s">
        <v>157</v>
      </c>
      <c r="B293" s="60">
        <v>96930</v>
      </c>
      <c r="C293" s="60">
        <v>8450</v>
      </c>
      <c r="D293" s="60"/>
      <c r="E293" s="60">
        <v>17740</v>
      </c>
      <c r="F293" s="60">
        <v>2420</v>
      </c>
      <c r="G293" s="60">
        <v>500</v>
      </c>
      <c r="H293" s="60"/>
      <c r="I293" s="60"/>
      <c r="J293" s="60"/>
      <c r="K293" s="60"/>
      <c r="L293" s="60"/>
      <c r="M293" s="207"/>
      <c r="N293" s="207">
        <v>1000</v>
      </c>
      <c r="O293" s="207"/>
      <c r="P293" s="207">
        <v>1000</v>
      </c>
      <c r="Q293" s="207"/>
      <c r="R293" s="207"/>
      <c r="S293" s="207">
        <v>1000</v>
      </c>
      <c r="T293" s="207"/>
      <c r="U293" s="207"/>
      <c r="V293" s="207"/>
      <c r="W293" s="207"/>
      <c r="X293" s="207"/>
      <c r="Y293" s="207"/>
      <c r="Z293" s="207">
        <f>801+5600</f>
        <v>6401</v>
      </c>
      <c r="AA293" s="207"/>
      <c r="AB293" s="207"/>
      <c r="AC293" s="207"/>
      <c r="AD293" s="207"/>
      <c r="AE293" s="207"/>
      <c r="AF293" s="193">
        <f t="shared" si="27"/>
        <v>135441</v>
      </c>
      <c r="AH293" s="51"/>
    </row>
    <row r="294" spans="1:34" s="49" customFormat="1" ht="18" customHeight="1">
      <c r="A294" s="114" t="s">
        <v>158</v>
      </c>
      <c r="B294" s="60">
        <v>79270</v>
      </c>
      <c r="C294" s="60">
        <v>7700</v>
      </c>
      <c r="D294" s="60"/>
      <c r="E294" s="60">
        <v>15020</v>
      </c>
      <c r="F294" s="60">
        <v>2050</v>
      </c>
      <c r="G294" s="60"/>
      <c r="H294" s="60"/>
      <c r="I294" s="60"/>
      <c r="J294" s="60"/>
      <c r="K294" s="60"/>
      <c r="L294" s="60"/>
      <c r="M294" s="207"/>
      <c r="N294" s="207">
        <v>430</v>
      </c>
      <c r="O294" s="207"/>
      <c r="P294" s="207">
        <v>530</v>
      </c>
      <c r="Q294" s="207"/>
      <c r="R294" s="207">
        <v>200</v>
      </c>
      <c r="S294" s="207"/>
      <c r="T294" s="207"/>
      <c r="U294" s="207"/>
      <c r="V294" s="207"/>
      <c r="W294" s="207"/>
      <c r="X294" s="207"/>
      <c r="Y294" s="207"/>
      <c r="Z294" s="207">
        <f>3204+8580</f>
        <v>11784</v>
      </c>
      <c r="AA294" s="207"/>
      <c r="AB294" s="207"/>
      <c r="AC294" s="207"/>
      <c r="AD294" s="207"/>
      <c r="AE294" s="207"/>
      <c r="AF294" s="193">
        <f t="shared" si="27"/>
        <v>116984</v>
      </c>
      <c r="AH294" s="51"/>
    </row>
    <row r="295" spans="1:34" s="49" customFormat="1" ht="18" customHeight="1">
      <c r="A295" s="114" t="s">
        <v>159</v>
      </c>
      <c r="B295" s="60">
        <v>99810</v>
      </c>
      <c r="C295" s="60">
        <v>8870</v>
      </c>
      <c r="D295" s="60"/>
      <c r="E295" s="60">
        <v>18230</v>
      </c>
      <c r="F295" s="60">
        <v>2560</v>
      </c>
      <c r="G295" s="60">
        <v>500</v>
      </c>
      <c r="H295" s="60"/>
      <c r="I295" s="60"/>
      <c r="J295" s="60"/>
      <c r="K295" s="60"/>
      <c r="L295" s="60"/>
      <c r="M295" s="207"/>
      <c r="N295" s="207">
        <v>2000</v>
      </c>
      <c r="O295" s="207"/>
      <c r="P295" s="207">
        <v>1000</v>
      </c>
      <c r="Q295" s="207">
        <v>2000</v>
      </c>
      <c r="R295" s="207">
        <v>200</v>
      </c>
      <c r="S295" s="207">
        <v>1000</v>
      </c>
      <c r="T295" s="207"/>
      <c r="U295" s="207"/>
      <c r="V295" s="207"/>
      <c r="W295" s="207"/>
      <c r="X295" s="207"/>
      <c r="Y295" s="207"/>
      <c r="Z295" s="207">
        <f>3204+8260</f>
        <v>11464</v>
      </c>
      <c r="AA295" s="207"/>
      <c r="AB295" s="207"/>
      <c r="AC295" s="207"/>
      <c r="AD295" s="207"/>
      <c r="AE295" s="207"/>
      <c r="AF295" s="193">
        <f t="shared" si="27"/>
        <v>147634</v>
      </c>
      <c r="AH295" s="51"/>
    </row>
    <row r="296" spans="1:34" s="49" customFormat="1" ht="18" customHeight="1">
      <c r="A296" s="114" t="s">
        <v>160</v>
      </c>
      <c r="B296" s="60">
        <v>186560</v>
      </c>
      <c r="C296" s="60">
        <v>12420</v>
      </c>
      <c r="D296" s="60"/>
      <c r="E296" s="60">
        <v>34370</v>
      </c>
      <c r="F296" s="60">
        <v>4680</v>
      </c>
      <c r="G296" s="60"/>
      <c r="H296" s="60"/>
      <c r="I296" s="60"/>
      <c r="J296" s="60"/>
      <c r="K296" s="60"/>
      <c r="L296" s="60"/>
      <c r="M296" s="207"/>
      <c r="N296" s="207">
        <v>800</v>
      </c>
      <c r="O296" s="207"/>
      <c r="P296" s="207">
        <v>1000</v>
      </c>
      <c r="Q296" s="207">
        <v>2000</v>
      </c>
      <c r="R296" s="207">
        <v>300</v>
      </c>
      <c r="S296" s="207">
        <v>600</v>
      </c>
      <c r="T296" s="207"/>
      <c r="U296" s="207"/>
      <c r="V296" s="207"/>
      <c r="W296" s="207"/>
      <c r="X296" s="207"/>
      <c r="Y296" s="207"/>
      <c r="Z296" s="207">
        <f>2403+13410</f>
        <v>15813</v>
      </c>
      <c r="AA296" s="207"/>
      <c r="AB296" s="207"/>
      <c r="AC296" s="207"/>
      <c r="AD296" s="207"/>
      <c r="AE296" s="207"/>
      <c r="AF296" s="193">
        <f t="shared" si="27"/>
        <v>258543</v>
      </c>
      <c r="AH296" s="51"/>
    </row>
    <row r="297" spans="1:34" s="56" customFormat="1" ht="18" customHeight="1">
      <c r="A297" s="114" t="s">
        <v>161</v>
      </c>
      <c r="B297" s="60">
        <v>126100</v>
      </c>
      <c r="C297" s="60">
        <v>10300</v>
      </c>
      <c r="D297" s="60"/>
      <c r="E297" s="60">
        <v>23520</v>
      </c>
      <c r="F297" s="60">
        <v>3400</v>
      </c>
      <c r="G297" s="60">
        <v>450</v>
      </c>
      <c r="H297" s="60"/>
      <c r="I297" s="60"/>
      <c r="J297" s="60"/>
      <c r="K297" s="60"/>
      <c r="L297" s="60"/>
      <c r="M297" s="207"/>
      <c r="N297" s="207"/>
      <c r="O297" s="207"/>
      <c r="P297" s="207">
        <v>530</v>
      </c>
      <c r="Q297" s="207"/>
      <c r="R297" s="207"/>
      <c r="S297" s="207"/>
      <c r="T297" s="207"/>
      <c r="U297" s="207"/>
      <c r="V297" s="207"/>
      <c r="W297" s="207"/>
      <c r="X297" s="207"/>
      <c r="Y297" s="207"/>
      <c r="Z297" s="207">
        <v>9000</v>
      </c>
      <c r="AA297" s="207"/>
      <c r="AB297" s="207"/>
      <c r="AC297" s="207"/>
      <c r="AD297" s="207"/>
      <c r="AE297" s="207"/>
      <c r="AF297" s="193">
        <f t="shared" si="27"/>
        <v>173300</v>
      </c>
      <c r="AH297" s="15"/>
    </row>
    <row r="298" spans="1:32" ht="18" customHeight="1">
      <c r="A298" s="114" t="s">
        <v>162</v>
      </c>
      <c r="B298" s="60">
        <v>181770</v>
      </c>
      <c r="C298" s="60">
        <v>14100</v>
      </c>
      <c r="D298" s="60"/>
      <c r="E298" s="60">
        <v>28750</v>
      </c>
      <c r="F298" s="60">
        <v>4030</v>
      </c>
      <c r="G298" s="60">
        <v>400</v>
      </c>
      <c r="H298" s="60"/>
      <c r="I298" s="60"/>
      <c r="J298" s="60"/>
      <c r="K298" s="60"/>
      <c r="L298" s="60"/>
      <c r="M298" s="207"/>
      <c r="N298" s="207">
        <v>2000</v>
      </c>
      <c r="O298" s="207"/>
      <c r="P298" s="207">
        <v>1000</v>
      </c>
      <c r="Q298" s="207"/>
      <c r="R298" s="207">
        <v>400</v>
      </c>
      <c r="S298" s="207"/>
      <c r="T298" s="207"/>
      <c r="U298" s="207"/>
      <c r="V298" s="207"/>
      <c r="W298" s="207"/>
      <c r="X298" s="207"/>
      <c r="Y298" s="207"/>
      <c r="Z298" s="207">
        <f>2403+9250</f>
        <v>11653</v>
      </c>
      <c r="AA298" s="207"/>
      <c r="AB298" s="207"/>
      <c r="AC298" s="207"/>
      <c r="AD298" s="207"/>
      <c r="AE298" s="207"/>
      <c r="AF298" s="193">
        <f t="shared" si="27"/>
        <v>244103</v>
      </c>
    </row>
    <row r="299" spans="1:32" ht="18" customHeight="1">
      <c r="A299" s="114" t="s">
        <v>163</v>
      </c>
      <c r="B299" s="60">
        <v>74840</v>
      </c>
      <c r="C299" s="60">
        <v>5650</v>
      </c>
      <c r="D299" s="60"/>
      <c r="E299" s="60">
        <v>14040</v>
      </c>
      <c r="F299" s="60">
        <v>1910</v>
      </c>
      <c r="G299" s="60">
        <v>300</v>
      </c>
      <c r="H299" s="60"/>
      <c r="I299" s="60"/>
      <c r="J299" s="60"/>
      <c r="K299" s="60"/>
      <c r="L299" s="60"/>
      <c r="M299" s="207"/>
      <c r="N299" s="207">
        <v>300</v>
      </c>
      <c r="O299" s="207"/>
      <c r="P299" s="207">
        <v>400</v>
      </c>
      <c r="Q299" s="207"/>
      <c r="R299" s="207">
        <v>200</v>
      </c>
      <c r="S299" s="207"/>
      <c r="T299" s="207"/>
      <c r="U299" s="207"/>
      <c r="V299" s="207"/>
      <c r="W299" s="207"/>
      <c r="X299" s="207"/>
      <c r="Y299" s="207"/>
      <c r="Z299" s="207">
        <f>4806+5020</f>
        <v>9826</v>
      </c>
      <c r="AA299" s="207"/>
      <c r="AB299" s="207"/>
      <c r="AC299" s="207"/>
      <c r="AD299" s="207"/>
      <c r="AE299" s="207"/>
      <c r="AF299" s="193">
        <f t="shared" si="27"/>
        <v>107466</v>
      </c>
    </row>
    <row r="300" spans="1:32" ht="18" customHeight="1">
      <c r="A300" s="114" t="s">
        <v>164</v>
      </c>
      <c r="B300" s="60">
        <v>201940</v>
      </c>
      <c r="C300" s="60">
        <v>15860</v>
      </c>
      <c r="D300" s="60"/>
      <c r="E300" s="60">
        <v>31010</v>
      </c>
      <c r="F300" s="60">
        <v>4350</v>
      </c>
      <c r="G300" s="60">
        <v>450</v>
      </c>
      <c r="H300" s="60"/>
      <c r="I300" s="60"/>
      <c r="J300" s="60"/>
      <c r="K300" s="60"/>
      <c r="L300" s="60"/>
      <c r="M300" s="207"/>
      <c r="N300" s="207">
        <v>210</v>
      </c>
      <c r="O300" s="207"/>
      <c r="P300" s="207">
        <v>100</v>
      </c>
      <c r="Q300" s="207">
        <v>100</v>
      </c>
      <c r="R300" s="207">
        <v>100</v>
      </c>
      <c r="S300" s="207">
        <v>100</v>
      </c>
      <c r="T300" s="207"/>
      <c r="U300" s="207"/>
      <c r="V300" s="207"/>
      <c r="W300" s="207"/>
      <c r="X300" s="207"/>
      <c r="Y300" s="207"/>
      <c r="Z300" s="207">
        <v>13130</v>
      </c>
      <c r="AA300" s="207"/>
      <c r="AB300" s="207"/>
      <c r="AC300" s="207"/>
      <c r="AD300" s="207"/>
      <c r="AE300" s="207"/>
      <c r="AF300" s="193">
        <f t="shared" si="27"/>
        <v>267350</v>
      </c>
    </row>
    <row r="301" spans="1:32" ht="18" customHeight="1">
      <c r="A301" s="114" t="s">
        <v>165</v>
      </c>
      <c r="B301" s="60">
        <v>270000</v>
      </c>
      <c r="C301" s="60">
        <v>22000</v>
      </c>
      <c r="D301" s="60"/>
      <c r="E301" s="60">
        <v>51000</v>
      </c>
      <c r="F301" s="60">
        <v>7160</v>
      </c>
      <c r="G301" s="60">
        <v>700</v>
      </c>
      <c r="H301" s="60"/>
      <c r="I301" s="60"/>
      <c r="J301" s="60"/>
      <c r="K301" s="60"/>
      <c r="L301" s="60"/>
      <c r="M301" s="207"/>
      <c r="N301" s="207">
        <v>300</v>
      </c>
      <c r="O301" s="207"/>
      <c r="P301" s="207">
        <v>1500</v>
      </c>
      <c r="Q301" s="207"/>
      <c r="R301" s="207"/>
      <c r="S301" s="207"/>
      <c r="T301" s="207"/>
      <c r="U301" s="207"/>
      <c r="V301" s="207"/>
      <c r="W301" s="207"/>
      <c r="X301" s="207"/>
      <c r="Y301" s="207"/>
      <c r="Z301" s="207">
        <f>5607+19040</f>
        <v>24647</v>
      </c>
      <c r="AA301" s="207"/>
      <c r="AB301" s="207"/>
      <c r="AC301" s="207"/>
      <c r="AD301" s="207"/>
      <c r="AE301" s="207"/>
      <c r="AF301" s="193">
        <f t="shared" si="27"/>
        <v>377307</v>
      </c>
    </row>
    <row r="302" spans="1:32" ht="18" customHeight="1">
      <c r="A302" s="114" t="s">
        <v>166</v>
      </c>
      <c r="B302" s="60">
        <v>211360</v>
      </c>
      <c r="C302" s="60">
        <v>23970</v>
      </c>
      <c r="D302" s="60"/>
      <c r="E302" s="60">
        <v>39020</v>
      </c>
      <c r="F302" s="60">
        <v>5550</v>
      </c>
      <c r="G302" s="60"/>
      <c r="H302" s="60"/>
      <c r="I302" s="60"/>
      <c r="J302" s="60"/>
      <c r="K302" s="60"/>
      <c r="L302" s="60"/>
      <c r="M302" s="207">
        <v>2000</v>
      </c>
      <c r="N302" s="207">
        <v>1500</v>
      </c>
      <c r="O302" s="207"/>
      <c r="P302" s="207">
        <v>1500</v>
      </c>
      <c r="Q302" s="207"/>
      <c r="R302" s="207">
        <v>400</v>
      </c>
      <c r="S302" s="207">
        <v>500</v>
      </c>
      <c r="T302" s="207"/>
      <c r="U302" s="207"/>
      <c r="V302" s="207"/>
      <c r="W302" s="207"/>
      <c r="X302" s="207"/>
      <c r="Y302" s="207"/>
      <c r="Z302" s="207">
        <f>2403+16330</f>
        <v>18733</v>
      </c>
      <c r="AA302" s="207"/>
      <c r="AB302" s="207"/>
      <c r="AC302" s="207"/>
      <c r="AD302" s="207"/>
      <c r="AE302" s="207"/>
      <c r="AF302" s="193">
        <f t="shared" si="27"/>
        <v>304533</v>
      </c>
    </row>
    <row r="303" spans="1:32" ht="18" customHeight="1">
      <c r="A303" s="114" t="s">
        <v>167</v>
      </c>
      <c r="B303" s="60">
        <v>186770</v>
      </c>
      <c r="C303" s="60">
        <v>15620</v>
      </c>
      <c r="D303" s="60"/>
      <c r="E303" s="60">
        <v>32530</v>
      </c>
      <c r="F303" s="60">
        <v>4630</v>
      </c>
      <c r="G303" s="60">
        <v>800</v>
      </c>
      <c r="H303" s="60"/>
      <c r="I303" s="60"/>
      <c r="J303" s="60"/>
      <c r="K303" s="60"/>
      <c r="L303" s="60"/>
      <c r="M303" s="207"/>
      <c r="N303" s="207">
        <v>2000</v>
      </c>
      <c r="O303" s="207"/>
      <c r="P303" s="207">
        <v>1000</v>
      </c>
      <c r="Q303" s="207"/>
      <c r="R303" s="207">
        <v>300</v>
      </c>
      <c r="S303" s="207">
        <v>500</v>
      </c>
      <c r="T303" s="207"/>
      <c r="U303" s="207"/>
      <c r="V303" s="207"/>
      <c r="W303" s="207">
        <v>100</v>
      </c>
      <c r="X303" s="207"/>
      <c r="Y303" s="207"/>
      <c r="Z303" s="207">
        <f>1602+10130</f>
        <v>11732</v>
      </c>
      <c r="AA303" s="207"/>
      <c r="AB303" s="207"/>
      <c r="AC303" s="207"/>
      <c r="AD303" s="207"/>
      <c r="AE303" s="207"/>
      <c r="AF303" s="193">
        <f t="shared" si="27"/>
        <v>255982</v>
      </c>
    </row>
    <row r="304" spans="1:32" ht="18" customHeight="1">
      <c r="A304" s="114" t="s">
        <v>168</v>
      </c>
      <c r="B304" s="60">
        <v>164030</v>
      </c>
      <c r="C304" s="60">
        <v>13730</v>
      </c>
      <c r="D304" s="60">
        <v>1500</v>
      </c>
      <c r="E304" s="60">
        <v>28710</v>
      </c>
      <c r="F304" s="60">
        <v>4030</v>
      </c>
      <c r="G304" s="60">
        <v>500</v>
      </c>
      <c r="H304" s="60"/>
      <c r="I304" s="60"/>
      <c r="J304" s="60"/>
      <c r="K304" s="60"/>
      <c r="L304" s="60"/>
      <c r="M304" s="207"/>
      <c r="N304" s="207">
        <v>2200</v>
      </c>
      <c r="O304" s="207"/>
      <c r="P304" s="207">
        <v>3000</v>
      </c>
      <c r="Q304" s="207"/>
      <c r="R304" s="207">
        <v>180</v>
      </c>
      <c r="S304" s="207"/>
      <c r="T304" s="207"/>
      <c r="U304" s="207"/>
      <c r="V304" s="207"/>
      <c r="W304" s="207"/>
      <c r="X304" s="207"/>
      <c r="Y304" s="207"/>
      <c r="Z304" s="207">
        <f>2403+9080</f>
        <v>11483</v>
      </c>
      <c r="AA304" s="207"/>
      <c r="AB304" s="207"/>
      <c r="AC304" s="207"/>
      <c r="AD304" s="207"/>
      <c r="AE304" s="207"/>
      <c r="AF304" s="193">
        <f t="shared" si="27"/>
        <v>229363</v>
      </c>
    </row>
    <row r="305" spans="1:32" ht="18" customHeight="1">
      <c r="A305" s="114" t="s">
        <v>169</v>
      </c>
      <c r="B305" s="60">
        <v>190460</v>
      </c>
      <c r="C305" s="60">
        <v>15200</v>
      </c>
      <c r="D305" s="60"/>
      <c r="E305" s="60">
        <v>33840</v>
      </c>
      <c r="F305" s="60">
        <v>4610</v>
      </c>
      <c r="G305" s="60">
        <v>2000</v>
      </c>
      <c r="H305" s="60"/>
      <c r="I305" s="60"/>
      <c r="J305" s="60"/>
      <c r="K305" s="60"/>
      <c r="L305" s="60"/>
      <c r="M305" s="207"/>
      <c r="N305" s="207">
        <v>2000</v>
      </c>
      <c r="O305" s="207"/>
      <c r="P305" s="207">
        <v>1000</v>
      </c>
      <c r="Q305" s="207"/>
      <c r="R305" s="207">
        <v>200</v>
      </c>
      <c r="S305" s="207"/>
      <c r="T305" s="207"/>
      <c r="U305" s="207"/>
      <c r="V305" s="207"/>
      <c r="W305" s="207"/>
      <c r="X305" s="207"/>
      <c r="Y305" s="207"/>
      <c r="Z305" s="207">
        <f>801+11330</f>
        <v>12131</v>
      </c>
      <c r="AA305" s="207"/>
      <c r="AB305" s="207"/>
      <c r="AC305" s="207"/>
      <c r="AD305" s="207"/>
      <c r="AE305" s="207"/>
      <c r="AF305" s="193">
        <f t="shared" si="27"/>
        <v>261441</v>
      </c>
    </row>
    <row r="306" spans="1:32" ht="18" customHeight="1">
      <c r="A306" s="114" t="s">
        <v>170</v>
      </c>
      <c r="B306" s="60">
        <v>176560</v>
      </c>
      <c r="C306" s="60">
        <v>14680</v>
      </c>
      <c r="D306" s="60"/>
      <c r="E306" s="60">
        <v>31810</v>
      </c>
      <c r="F306" s="60">
        <v>4460</v>
      </c>
      <c r="G306" s="60">
        <v>500</v>
      </c>
      <c r="H306" s="60"/>
      <c r="I306" s="60"/>
      <c r="J306" s="60"/>
      <c r="K306" s="60"/>
      <c r="L306" s="60"/>
      <c r="M306" s="207"/>
      <c r="N306" s="207">
        <v>2500</v>
      </c>
      <c r="O306" s="207"/>
      <c r="P306" s="207">
        <v>3000</v>
      </c>
      <c r="Q306" s="207">
        <v>1000</v>
      </c>
      <c r="R306" s="207">
        <v>300</v>
      </c>
      <c r="S306" s="207">
        <v>300</v>
      </c>
      <c r="T306" s="207"/>
      <c r="U306" s="207"/>
      <c r="V306" s="207"/>
      <c r="W306" s="207"/>
      <c r="X306" s="207"/>
      <c r="Y306" s="207"/>
      <c r="Z306" s="207">
        <f>3204+11130</f>
        <v>14334</v>
      </c>
      <c r="AA306" s="207"/>
      <c r="AB306" s="207"/>
      <c r="AC306" s="207"/>
      <c r="AD306" s="207"/>
      <c r="AE306" s="207"/>
      <c r="AF306" s="193">
        <f t="shared" si="27"/>
        <v>249444</v>
      </c>
    </row>
    <row r="307" spans="1:32" ht="18" customHeight="1">
      <c r="A307" s="114" t="s">
        <v>171</v>
      </c>
      <c r="B307" s="60">
        <v>149340</v>
      </c>
      <c r="C307" s="60">
        <v>13000</v>
      </c>
      <c r="D307" s="60"/>
      <c r="E307" s="60">
        <v>28340</v>
      </c>
      <c r="F307" s="60">
        <v>3980</v>
      </c>
      <c r="G307" s="60">
        <v>100</v>
      </c>
      <c r="H307" s="60"/>
      <c r="I307" s="60"/>
      <c r="J307" s="60"/>
      <c r="K307" s="60"/>
      <c r="L307" s="60"/>
      <c r="M307" s="207"/>
      <c r="N307" s="207">
        <v>1500</v>
      </c>
      <c r="O307" s="207"/>
      <c r="P307" s="207">
        <v>500</v>
      </c>
      <c r="Q307" s="207"/>
      <c r="R307" s="207"/>
      <c r="S307" s="207"/>
      <c r="T307" s="207"/>
      <c r="U307" s="207"/>
      <c r="V307" s="207"/>
      <c r="W307" s="207"/>
      <c r="X307" s="207"/>
      <c r="Y307" s="207"/>
      <c r="Z307" s="207">
        <f>6408+10350</f>
        <v>16758</v>
      </c>
      <c r="AA307" s="207"/>
      <c r="AB307" s="207"/>
      <c r="AC307" s="207"/>
      <c r="AD307" s="207"/>
      <c r="AE307" s="207"/>
      <c r="AF307" s="193">
        <f t="shared" si="27"/>
        <v>213518</v>
      </c>
    </row>
    <row r="308" spans="1:32" ht="18" customHeight="1">
      <c r="A308" s="114" t="s">
        <v>172</v>
      </c>
      <c r="B308" s="60">
        <v>47010</v>
      </c>
      <c r="C308" s="60">
        <v>3050</v>
      </c>
      <c r="D308" s="60"/>
      <c r="E308" s="60">
        <v>8280</v>
      </c>
      <c r="F308" s="60">
        <v>1180</v>
      </c>
      <c r="G308" s="60">
        <v>140</v>
      </c>
      <c r="H308" s="60"/>
      <c r="I308" s="60"/>
      <c r="J308" s="60"/>
      <c r="K308" s="60"/>
      <c r="L308" s="60"/>
      <c r="M308" s="207"/>
      <c r="N308" s="207">
        <v>1000</v>
      </c>
      <c r="O308" s="207"/>
      <c r="P308" s="207">
        <v>500</v>
      </c>
      <c r="Q308" s="207">
        <v>4000</v>
      </c>
      <c r="R308" s="207">
        <v>150</v>
      </c>
      <c r="S308" s="207"/>
      <c r="T308" s="207"/>
      <c r="U308" s="207"/>
      <c r="V308" s="207"/>
      <c r="W308" s="207"/>
      <c r="X308" s="207"/>
      <c r="Y308" s="207"/>
      <c r="Z308" s="207">
        <v>4000</v>
      </c>
      <c r="AA308" s="207"/>
      <c r="AB308" s="207"/>
      <c r="AC308" s="207"/>
      <c r="AD308" s="207"/>
      <c r="AE308" s="207"/>
      <c r="AF308" s="193">
        <f t="shared" si="27"/>
        <v>69310</v>
      </c>
    </row>
    <row r="309" spans="1:32" ht="18" customHeight="1">
      <c r="A309" s="114" t="s">
        <v>173</v>
      </c>
      <c r="B309" s="60">
        <v>181710</v>
      </c>
      <c r="C309" s="60">
        <v>12520</v>
      </c>
      <c r="D309" s="60"/>
      <c r="E309" s="60">
        <v>29320</v>
      </c>
      <c r="F309" s="60">
        <v>3990</v>
      </c>
      <c r="G309" s="60">
        <v>300</v>
      </c>
      <c r="H309" s="60"/>
      <c r="I309" s="60"/>
      <c r="J309" s="60"/>
      <c r="K309" s="60"/>
      <c r="L309" s="60"/>
      <c r="M309" s="207"/>
      <c r="N309" s="207">
        <v>500</v>
      </c>
      <c r="O309" s="207"/>
      <c r="P309" s="207">
        <v>500</v>
      </c>
      <c r="Q309" s="207">
        <v>300</v>
      </c>
      <c r="R309" s="207">
        <v>200</v>
      </c>
      <c r="S309" s="207"/>
      <c r="T309" s="207"/>
      <c r="U309" s="207"/>
      <c r="V309" s="207"/>
      <c r="W309" s="207"/>
      <c r="X309" s="207"/>
      <c r="Y309" s="207"/>
      <c r="Z309" s="207">
        <v>9920</v>
      </c>
      <c r="AA309" s="207"/>
      <c r="AB309" s="207"/>
      <c r="AC309" s="207"/>
      <c r="AD309" s="207"/>
      <c r="AE309" s="207"/>
      <c r="AF309" s="193">
        <f t="shared" si="27"/>
        <v>239260</v>
      </c>
    </row>
    <row r="310" spans="1:32" s="16" customFormat="1" ht="18" customHeight="1">
      <c r="A310" s="114" t="s">
        <v>174</v>
      </c>
      <c r="B310" s="60">
        <v>127350</v>
      </c>
      <c r="C310" s="60">
        <v>11900</v>
      </c>
      <c r="D310" s="60"/>
      <c r="E310" s="60">
        <v>24030</v>
      </c>
      <c r="F310" s="60">
        <v>3270</v>
      </c>
      <c r="G310" s="60"/>
      <c r="H310" s="60"/>
      <c r="I310" s="60"/>
      <c r="J310" s="60"/>
      <c r="K310" s="60"/>
      <c r="L310" s="60"/>
      <c r="M310" s="207"/>
      <c r="N310" s="207"/>
      <c r="O310" s="207"/>
      <c r="P310" s="207"/>
      <c r="Q310" s="207"/>
      <c r="R310" s="207"/>
      <c r="S310" s="207"/>
      <c r="T310" s="207"/>
      <c r="U310" s="207"/>
      <c r="V310" s="207"/>
      <c r="W310" s="207"/>
      <c r="X310" s="207"/>
      <c r="Y310" s="207"/>
      <c r="Z310" s="207">
        <f>3204+9680</f>
        <v>12884</v>
      </c>
      <c r="AA310" s="207"/>
      <c r="AB310" s="207"/>
      <c r="AC310" s="207"/>
      <c r="AD310" s="207"/>
      <c r="AE310" s="207"/>
      <c r="AF310" s="193">
        <f t="shared" si="27"/>
        <v>179434</v>
      </c>
    </row>
    <row r="311" spans="1:32" s="16" customFormat="1" ht="18" customHeight="1">
      <c r="A311" s="114" t="s">
        <v>175</v>
      </c>
      <c r="B311" s="60">
        <v>361050</v>
      </c>
      <c r="C311" s="60">
        <v>20280</v>
      </c>
      <c r="D311" s="60"/>
      <c r="E311" s="60">
        <v>59770</v>
      </c>
      <c r="F311" s="60">
        <v>8140</v>
      </c>
      <c r="G311" s="60">
        <v>1000</v>
      </c>
      <c r="H311" s="60"/>
      <c r="I311" s="60"/>
      <c r="J311" s="60"/>
      <c r="K311" s="60"/>
      <c r="L311" s="60"/>
      <c r="M311" s="207"/>
      <c r="N311" s="207">
        <v>1200</v>
      </c>
      <c r="O311" s="207"/>
      <c r="P311" s="207">
        <v>900</v>
      </c>
      <c r="Q311" s="207"/>
      <c r="R311" s="207">
        <v>200</v>
      </c>
      <c r="S311" s="207"/>
      <c r="T311" s="207"/>
      <c r="U311" s="207"/>
      <c r="V311" s="207"/>
      <c r="W311" s="207"/>
      <c r="X311" s="207"/>
      <c r="Y311" s="207"/>
      <c r="Z311" s="207">
        <f>3204+19070</f>
        <v>22274</v>
      </c>
      <c r="AA311" s="207"/>
      <c r="AB311" s="207"/>
      <c r="AC311" s="207"/>
      <c r="AD311" s="207"/>
      <c r="AE311" s="207"/>
      <c r="AF311" s="193">
        <f t="shared" si="27"/>
        <v>474814</v>
      </c>
    </row>
    <row r="312" spans="1:32" s="16" customFormat="1" ht="18" customHeight="1">
      <c r="A312" s="114" t="s">
        <v>178</v>
      </c>
      <c r="B312" s="60">
        <v>62290</v>
      </c>
      <c r="C312" s="60">
        <v>5200</v>
      </c>
      <c r="D312" s="60"/>
      <c r="E312" s="60">
        <v>11660</v>
      </c>
      <c r="F312" s="60">
        <v>1590</v>
      </c>
      <c r="G312" s="60">
        <v>500</v>
      </c>
      <c r="H312" s="60"/>
      <c r="I312" s="60"/>
      <c r="J312" s="60"/>
      <c r="K312" s="60"/>
      <c r="L312" s="60"/>
      <c r="M312" s="207"/>
      <c r="N312" s="207">
        <v>500</v>
      </c>
      <c r="O312" s="207"/>
      <c r="P312" s="207"/>
      <c r="Q312" s="207"/>
      <c r="R312" s="207"/>
      <c r="S312" s="207"/>
      <c r="T312" s="207"/>
      <c r="U312" s="207"/>
      <c r="V312" s="207"/>
      <c r="W312" s="207"/>
      <c r="X312" s="207"/>
      <c r="Y312" s="207"/>
      <c r="Z312" s="207">
        <f>2403+3730</f>
        <v>6133</v>
      </c>
      <c r="AA312" s="207"/>
      <c r="AB312" s="207"/>
      <c r="AC312" s="207"/>
      <c r="AD312" s="207"/>
      <c r="AE312" s="207"/>
      <c r="AF312" s="193">
        <f t="shared" si="27"/>
        <v>87873</v>
      </c>
    </row>
    <row r="313" spans="1:32" s="16" customFormat="1" ht="18" customHeight="1">
      <c r="A313" s="114" t="s">
        <v>176</v>
      </c>
      <c r="B313" s="60">
        <v>37750</v>
      </c>
      <c r="C313" s="60">
        <v>3500</v>
      </c>
      <c r="D313" s="60"/>
      <c r="E313" s="60">
        <v>7200</v>
      </c>
      <c r="F313" s="60">
        <v>1020</v>
      </c>
      <c r="G313" s="60">
        <v>200</v>
      </c>
      <c r="H313" s="60"/>
      <c r="I313" s="60"/>
      <c r="J313" s="60"/>
      <c r="K313" s="60"/>
      <c r="L313" s="60"/>
      <c r="M313" s="207"/>
      <c r="N313" s="207">
        <v>2000</v>
      </c>
      <c r="O313" s="207"/>
      <c r="P313" s="207">
        <v>500</v>
      </c>
      <c r="Q313" s="207">
        <v>300</v>
      </c>
      <c r="R313" s="207">
        <v>100</v>
      </c>
      <c r="S313" s="207"/>
      <c r="T313" s="207"/>
      <c r="U313" s="207"/>
      <c r="V313" s="207"/>
      <c r="W313" s="207"/>
      <c r="X313" s="207"/>
      <c r="Y313" s="207"/>
      <c r="Z313" s="207">
        <f>3204+4000</f>
        <v>7204</v>
      </c>
      <c r="AA313" s="207"/>
      <c r="AB313" s="207"/>
      <c r="AC313" s="207"/>
      <c r="AD313" s="207"/>
      <c r="AE313" s="207"/>
      <c r="AF313" s="193">
        <f aca="true" t="shared" si="30" ref="AF313:AF338">SUM(B313:AE313)</f>
        <v>59774</v>
      </c>
    </row>
    <row r="314" spans="1:32" s="16" customFormat="1" ht="18" customHeight="1">
      <c r="A314" s="114" t="s">
        <v>225</v>
      </c>
      <c r="B314" s="60">
        <v>250000</v>
      </c>
      <c r="C314" s="60">
        <v>23480</v>
      </c>
      <c r="D314" s="60"/>
      <c r="E314" s="60">
        <v>51480</v>
      </c>
      <c r="F314" s="60">
        <v>7010</v>
      </c>
      <c r="G314" s="60">
        <v>500</v>
      </c>
      <c r="H314" s="60"/>
      <c r="I314" s="60"/>
      <c r="J314" s="60"/>
      <c r="K314" s="60"/>
      <c r="L314" s="60"/>
      <c r="M314" s="207"/>
      <c r="N314" s="207">
        <v>1500</v>
      </c>
      <c r="O314" s="207"/>
      <c r="P314" s="207">
        <v>2000</v>
      </c>
      <c r="Q314" s="207"/>
      <c r="R314" s="207">
        <v>160</v>
      </c>
      <c r="S314" s="207"/>
      <c r="T314" s="207"/>
      <c r="U314" s="207"/>
      <c r="V314" s="207"/>
      <c r="W314" s="207"/>
      <c r="X314" s="207"/>
      <c r="Y314" s="207"/>
      <c r="Z314" s="207">
        <v>20090</v>
      </c>
      <c r="AA314" s="207"/>
      <c r="AB314" s="207"/>
      <c r="AC314" s="207"/>
      <c r="AD314" s="207"/>
      <c r="AE314" s="207"/>
      <c r="AF314" s="193">
        <f t="shared" si="30"/>
        <v>356220</v>
      </c>
    </row>
    <row r="315" spans="1:32" s="16" customFormat="1" ht="18" customHeight="1">
      <c r="A315" s="114" t="s">
        <v>300</v>
      </c>
      <c r="B315" s="60">
        <v>125210</v>
      </c>
      <c r="C315" s="60">
        <v>9300</v>
      </c>
      <c r="D315" s="60"/>
      <c r="E315" s="60">
        <v>23240</v>
      </c>
      <c r="F315" s="60">
        <v>3170</v>
      </c>
      <c r="G315" s="60">
        <v>500</v>
      </c>
      <c r="H315" s="60"/>
      <c r="I315" s="60"/>
      <c r="J315" s="60"/>
      <c r="K315" s="60"/>
      <c r="L315" s="60"/>
      <c r="M315" s="207"/>
      <c r="N315" s="207">
        <v>1000</v>
      </c>
      <c r="O315" s="207"/>
      <c r="P315" s="207">
        <v>1000</v>
      </c>
      <c r="Q315" s="207"/>
      <c r="R315" s="207">
        <v>400</v>
      </c>
      <c r="S315" s="207"/>
      <c r="T315" s="207"/>
      <c r="U315" s="207"/>
      <c r="V315" s="207"/>
      <c r="W315" s="207"/>
      <c r="X315" s="207"/>
      <c r="Y315" s="207"/>
      <c r="Z315" s="207">
        <v>9690</v>
      </c>
      <c r="AA315" s="207"/>
      <c r="AB315" s="207"/>
      <c r="AC315" s="207"/>
      <c r="AD315" s="207"/>
      <c r="AE315" s="207"/>
      <c r="AF315" s="193">
        <f t="shared" si="30"/>
        <v>173510</v>
      </c>
    </row>
    <row r="316" spans="1:32" s="16" customFormat="1" ht="18" customHeight="1">
      <c r="A316" s="114" t="s">
        <v>322</v>
      </c>
      <c r="B316" s="60">
        <v>170430</v>
      </c>
      <c r="C316" s="60">
        <v>12080</v>
      </c>
      <c r="D316" s="60"/>
      <c r="E316" s="60">
        <v>24520</v>
      </c>
      <c r="F316" s="60">
        <v>3340</v>
      </c>
      <c r="G316" s="60">
        <v>900</v>
      </c>
      <c r="H316" s="60"/>
      <c r="I316" s="60"/>
      <c r="J316" s="60"/>
      <c r="K316" s="60"/>
      <c r="L316" s="60"/>
      <c r="M316" s="207"/>
      <c r="N316" s="207">
        <v>800</v>
      </c>
      <c r="O316" s="207"/>
      <c r="P316" s="207">
        <v>400</v>
      </c>
      <c r="Q316" s="207"/>
      <c r="R316" s="207">
        <v>300</v>
      </c>
      <c r="S316" s="207">
        <v>500</v>
      </c>
      <c r="T316" s="207"/>
      <c r="U316" s="207"/>
      <c r="V316" s="207"/>
      <c r="W316" s="207"/>
      <c r="X316" s="207"/>
      <c r="Y316" s="207"/>
      <c r="Z316" s="207">
        <f>1602+9370</f>
        <v>10972</v>
      </c>
      <c r="AA316" s="207"/>
      <c r="AB316" s="207"/>
      <c r="AC316" s="207"/>
      <c r="AD316" s="207"/>
      <c r="AE316" s="207"/>
      <c r="AF316" s="193">
        <f t="shared" si="30"/>
        <v>224242</v>
      </c>
    </row>
    <row r="317" spans="1:32" ht="18" customHeight="1">
      <c r="A317" s="114" t="s">
        <v>100</v>
      </c>
      <c r="B317" s="60">
        <v>97300</v>
      </c>
      <c r="C317" s="60">
        <v>6920</v>
      </c>
      <c r="D317" s="60"/>
      <c r="E317" s="60">
        <v>17950</v>
      </c>
      <c r="F317" s="60">
        <v>2560</v>
      </c>
      <c r="G317" s="60">
        <v>200</v>
      </c>
      <c r="H317" s="60"/>
      <c r="I317" s="60"/>
      <c r="J317" s="60"/>
      <c r="K317" s="60"/>
      <c r="L317" s="60"/>
      <c r="M317" s="207"/>
      <c r="N317" s="207">
        <v>200</v>
      </c>
      <c r="O317" s="207"/>
      <c r="P317" s="207">
        <v>400</v>
      </c>
      <c r="Q317" s="207"/>
      <c r="R317" s="207">
        <v>200</v>
      </c>
      <c r="S317" s="207"/>
      <c r="T317" s="207"/>
      <c r="U317" s="207"/>
      <c r="V317" s="207"/>
      <c r="W317" s="207"/>
      <c r="X317" s="207"/>
      <c r="Y317" s="207"/>
      <c r="Z317" s="207">
        <f>1602+8000</f>
        <v>9602</v>
      </c>
      <c r="AA317" s="207"/>
      <c r="AB317" s="207"/>
      <c r="AC317" s="207"/>
      <c r="AD317" s="207"/>
      <c r="AE317" s="207"/>
      <c r="AF317" s="193">
        <f t="shared" si="30"/>
        <v>135332</v>
      </c>
    </row>
    <row r="318" spans="1:32" ht="18" customHeight="1">
      <c r="A318" s="114" t="s">
        <v>324</v>
      </c>
      <c r="B318" s="60">
        <v>153150</v>
      </c>
      <c r="C318" s="60">
        <v>13500</v>
      </c>
      <c r="D318" s="60"/>
      <c r="E318" s="60">
        <v>28350</v>
      </c>
      <c r="F318" s="60">
        <v>3860</v>
      </c>
      <c r="G318" s="60">
        <v>100</v>
      </c>
      <c r="H318" s="60"/>
      <c r="I318" s="60"/>
      <c r="J318" s="60"/>
      <c r="K318" s="60"/>
      <c r="L318" s="60"/>
      <c r="M318" s="207"/>
      <c r="N318" s="207">
        <v>300</v>
      </c>
      <c r="O318" s="207"/>
      <c r="P318" s="207">
        <v>500</v>
      </c>
      <c r="Q318" s="207">
        <v>1000</v>
      </c>
      <c r="R318" s="207">
        <v>100</v>
      </c>
      <c r="S318" s="207">
        <v>300</v>
      </c>
      <c r="T318" s="207"/>
      <c r="U318" s="207"/>
      <c r="V318" s="207"/>
      <c r="W318" s="207"/>
      <c r="X318" s="207"/>
      <c r="Y318" s="207"/>
      <c r="Z318" s="207">
        <v>9450</v>
      </c>
      <c r="AA318" s="207"/>
      <c r="AB318" s="207"/>
      <c r="AC318" s="207"/>
      <c r="AD318" s="207"/>
      <c r="AE318" s="207"/>
      <c r="AF318" s="193">
        <f t="shared" si="30"/>
        <v>210610</v>
      </c>
    </row>
    <row r="319" spans="1:32" ht="18" customHeight="1">
      <c r="A319" s="114" t="s">
        <v>325</v>
      </c>
      <c r="B319" s="60">
        <v>162950</v>
      </c>
      <c r="C319" s="60">
        <v>11200</v>
      </c>
      <c r="D319" s="60"/>
      <c r="E319" s="60">
        <v>27200</v>
      </c>
      <c r="F319" s="60">
        <v>3820</v>
      </c>
      <c r="G319" s="60"/>
      <c r="H319" s="60"/>
      <c r="I319" s="60"/>
      <c r="J319" s="60"/>
      <c r="K319" s="60"/>
      <c r="L319" s="60"/>
      <c r="M319" s="207"/>
      <c r="N319" s="207">
        <v>600</v>
      </c>
      <c r="O319" s="207"/>
      <c r="P319" s="207"/>
      <c r="Q319" s="207"/>
      <c r="R319" s="207"/>
      <c r="S319" s="207"/>
      <c r="T319" s="207"/>
      <c r="U319" s="207"/>
      <c r="V319" s="207"/>
      <c r="W319" s="207"/>
      <c r="X319" s="207"/>
      <c r="Y319" s="207"/>
      <c r="Z319" s="207">
        <f>5607+10860</f>
        <v>16467</v>
      </c>
      <c r="AA319" s="207"/>
      <c r="AB319" s="207"/>
      <c r="AC319" s="207"/>
      <c r="AD319" s="207"/>
      <c r="AE319" s="207"/>
      <c r="AF319" s="193">
        <f t="shared" si="30"/>
        <v>222237</v>
      </c>
    </row>
    <row r="320" spans="1:32" ht="18" customHeight="1">
      <c r="A320" s="114" t="s">
        <v>101</v>
      </c>
      <c r="B320" s="60">
        <v>79010</v>
      </c>
      <c r="C320" s="60">
        <v>6670</v>
      </c>
      <c r="D320" s="60"/>
      <c r="E320" s="60">
        <v>13010</v>
      </c>
      <c r="F320" s="60">
        <v>1840</v>
      </c>
      <c r="G320" s="60">
        <v>200</v>
      </c>
      <c r="H320" s="60"/>
      <c r="I320" s="60"/>
      <c r="J320" s="60"/>
      <c r="K320" s="60"/>
      <c r="L320" s="60"/>
      <c r="M320" s="207"/>
      <c r="N320" s="207"/>
      <c r="O320" s="207"/>
      <c r="P320" s="207"/>
      <c r="Q320" s="207"/>
      <c r="R320" s="207"/>
      <c r="S320" s="207"/>
      <c r="T320" s="207"/>
      <c r="U320" s="207"/>
      <c r="V320" s="207"/>
      <c r="W320" s="207"/>
      <c r="X320" s="207"/>
      <c r="Y320" s="207"/>
      <c r="Z320" s="207">
        <f>1602+5930</f>
        <v>7532</v>
      </c>
      <c r="AA320" s="207"/>
      <c r="AB320" s="207"/>
      <c r="AC320" s="207"/>
      <c r="AD320" s="207"/>
      <c r="AE320" s="207"/>
      <c r="AF320" s="193">
        <f t="shared" si="30"/>
        <v>108262</v>
      </c>
    </row>
    <row r="321" spans="1:32" ht="18" customHeight="1">
      <c r="A321" s="114" t="s">
        <v>230</v>
      </c>
      <c r="B321" s="60">
        <v>145500</v>
      </c>
      <c r="C321" s="60">
        <v>12190</v>
      </c>
      <c r="D321" s="60"/>
      <c r="E321" s="60">
        <v>28000</v>
      </c>
      <c r="F321" s="60">
        <v>3800</v>
      </c>
      <c r="G321" s="60">
        <v>700</v>
      </c>
      <c r="H321" s="60"/>
      <c r="I321" s="60"/>
      <c r="J321" s="60"/>
      <c r="K321" s="60"/>
      <c r="L321" s="60"/>
      <c r="M321" s="207"/>
      <c r="N321" s="207">
        <v>400</v>
      </c>
      <c r="O321" s="207"/>
      <c r="P321" s="207">
        <v>200</v>
      </c>
      <c r="Q321" s="207"/>
      <c r="R321" s="207">
        <v>100</v>
      </c>
      <c r="S321" s="207"/>
      <c r="T321" s="207"/>
      <c r="U321" s="207"/>
      <c r="V321" s="207"/>
      <c r="W321" s="207"/>
      <c r="X321" s="207"/>
      <c r="Y321" s="207"/>
      <c r="Z321" s="207">
        <v>9900</v>
      </c>
      <c r="AA321" s="207"/>
      <c r="AB321" s="207"/>
      <c r="AC321" s="207">
        <v>300</v>
      </c>
      <c r="AD321" s="207"/>
      <c r="AE321" s="207"/>
      <c r="AF321" s="193">
        <f t="shared" si="30"/>
        <v>201090</v>
      </c>
    </row>
    <row r="322" spans="1:32" ht="18" customHeight="1">
      <c r="A322" s="114" t="s">
        <v>327</v>
      </c>
      <c r="B322" s="60">
        <v>134110</v>
      </c>
      <c r="C322" s="60">
        <v>10700</v>
      </c>
      <c r="D322" s="60"/>
      <c r="E322" s="60">
        <v>24290</v>
      </c>
      <c r="F322" s="60">
        <v>3410</v>
      </c>
      <c r="G322" s="60"/>
      <c r="H322" s="60"/>
      <c r="I322" s="60"/>
      <c r="J322" s="60"/>
      <c r="K322" s="60"/>
      <c r="L322" s="60"/>
      <c r="M322" s="207"/>
      <c r="N322" s="207"/>
      <c r="O322" s="207"/>
      <c r="P322" s="207"/>
      <c r="Q322" s="207"/>
      <c r="R322" s="207"/>
      <c r="S322" s="207"/>
      <c r="T322" s="207"/>
      <c r="U322" s="207"/>
      <c r="V322" s="207"/>
      <c r="W322" s="207"/>
      <c r="X322" s="207"/>
      <c r="Y322" s="207"/>
      <c r="Z322" s="207">
        <v>10280</v>
      </c>
      <c r="AA322" s="207"/>
      <c r="AB322" s="207"/>
      <c r="AC322" s="207"/>
      <c r="AD322" s="207"/>
      <c r="AE322" s="207"/>
      <c r="AF322" s="193">
        <f t="shared" si="30"/>
        <v>182790</v>
      </c>
    </row>
    <row r="323" spans="1:32" ht="18" customHeight="1">
      <c r="A323" s="114" t="s">
        <v>217</v>
      </c>
      <c r="B323" s="60">
        <v>13230</v>
      </c>
      <c r="C323" s="60">
        <v>730</v>
      </c>
      <c r="D323" s="60"/>
      <c r="E323" s="60">
        <v>2340</v>
      </c>
      <c r="F323" s="60">
        <v>330</v>
      </c>
      <c r="G323" s="60">
        <v>100</v>
      </c>
      <c r="H323" s="60"/>
      <c r="I323" s="60"/>
      <c r="J323" s="60"/>
      <c r="K323" s="60"/>
      <c r="L323" s="60"/>
      <c r="M323" s="207"/>
      <c r="N323" s="207">
        <v>500</v>
      </c>
      <c r="O323" s="207"/>
      <c r="P323" s="207">
        <v>200</v>
      </c>
      <c r="Q323" s="207"/>
      <c r="R323" s="207">
        <v>100</v>
      </c>
      <c r="S323" s="207"/>
      <c r="T323" s="207"/>
      <c r="U323" s="207"/>
      <c r="V323" s="207"/>
      <c r="W323" s="207">
        <v>300</v>
      </c>
      <c r="X323" s="207"/>
      <c r="Y323" s="207"/>
      <c r="Z323" s="207">
        <v>990</v>
      </c>
      <c r="AA323" s="207"/>
      <c r="AB323" s="207"/>
      <c r="AC323" s="207"/>
      <c r="AD323" s="207"/>
      <c r="AE323" s="207"/>
      <c r="AF323" s="193">
        <f t="shared" si="30"/>
        <v>18820</v>
      </c>
    </row>
    <row r="324" spans="1:32" ht="18" customHeight="1" thickBot="1">
      <c r="A324" s="115" t="s">
        <v>211</v>
      </c>
      <c r="B324" s="63">
        <v>11800</v>
      </c>
      <c r="C324" s="63">
        <v>980</v>
      </c>
      <c r="D324" s="63"/>
      <c r="E324" s="63">
        <v>2250</v>
      </c>
      <c r="F324" s="63">
        <v>320</v>
      </c>
      <c r="G324" s="63"/>
      <c r="H324" s="63"/>
      <c r="I324" s="63"/>
      <c r="J324" s="63"/>
      <c r="K324" s="63"/>
      <c r="L324" s="63"/>
      <c r="M324" s="208"/>
      <c r="N324" s="208">
        <v>400</v>
      </c>
      <c r="O324" s="208"/>
      <c r="P324" s="208">
        <v>400</v>
      </c>
      <c r="Q324" s="208"/>
      <c r="R324" s="208">
        <v>100</v>
      </c>
      <c r="S324" s="208">
        <v>400</v>
      </c>
      <c r="T324" s="208"/>
      <c r="U324" s="208"/>
      <c r="V324" s="208"/>
      <c r="W324" s="208"/>
      <c r="X324" s="208"/>
      <c r="Y324" s="208"/>
      <c r="Z324" s="208">
        <v>1000</v>
      </c>
      <c r="AA324" s="208"/>
      <c r="AB324" s="208"/>
      <c r="AC324" s="208"/>
      <c r="AD324" s="208"/>
      <c r="AE324" s="208"/>
      <c r="AF324" s="194">
        <f t="shared" si="30"/>
        <v>17650</v>
      </c>
    </row>
    <row r="325" spans="1:34" s="14" customFormat="1" ht="20.25" customHeight="1" thickBot="1">
      <c r="A325" s="128" t="s">
        <v>275</v>
      </c>
      <c r="B325" s="17">
        <f aca="true" t="shared" si="31" ref="B325:G325">SUM(B326:B329)</f>
        <v>5231700</v>
      </c>
      <c r="C325" s="17">
        <f t="shared" si="31"/>
        <v>439000</v>
      </c>
      <c r="D325" s="17">
        <f t="shared" si="31"/>
        <v>4300</v>
      </c>
      <c r="E325" s="17">
        <f t="shared" si="31"/>
        <v>1012700</v>
      </c>
      <c r="F325" s="17">
        <f t="shared" si="31"/>
        <v>138800</v>
      </c>
      <c r="G325" s="17">
        <f t="shared" si="31"/>
        <v>13500</v>
      </c>
      <c r="H325" s="17"/>
      <c r="I325" s="17"/>
      <c r="J325" s="17"/>
      <c r="K325" s="17"/>
      <c r="L325" s="17"/>
      <c r="M325" s="205"/>
      <c r="N325" s="205">
        <f>SUM(N326:N329)</f>
        <v>132000</v>
      </c>
      <c r="O325" s="205"/>
      <c r="P325" s="205">
        <f aca="true" t="shared" si="32" ref="P325:AE325">SUM(P326:P329)</f>
        <v>8000</v>
      </c>
      <c r="Q325" s="205">
        <f t="shared" si="32"/>
        <v>479000</v>
      </c>
      <c r="R325" s="205">
        <f t="shared" si="32"/>
        <v>6100</v>
      </c>
      <c r="S325" s="205">
        <f t="shared" si="32"/>
        <v>69000</v>
      </c>
      <c r="T325" s="205">
        <f t="shared" si="32"/>
        <v>5900</v>
      </c>
      <c r="U325" s="205">
        <f t="shared" si="32"/>
        <v>3300</v>
      </c>
      <c r="V325" s="205">
        <f t="shared" si="32"/>
        <v>32500</v>
      </c>
      <c r="W325" s="205">
        <f t="shared" si="32"/>
        <v>6100</v>
      </c>
      <c r="X325" s="205">
        <f t="shared" si="32"/>
        <v>2500</v>
      </c>
      <c r="Y325" s="205">
        <f t="shared" si="32"/>
        <v>29000</v>
      </c>
      <c r="Z325" s="205">
        <f t="shared" si="32"/>
        <v>345265</v>
      </c>
      <c r="AA325" s="205">
        <f t="shared" si="32"/>
        <v>500</v>
      </c>
      <c r="AB325" s="205">
        <f t="shared" si="32"/>
        <v>1000</v>
      </c>
      <c r="AC325" s="205">
        <f t="shared" si="32"/>
        <v>19500</v>
      </c>
      <c r="AD325" s="205">
        <f t="shared" si="32"/>
        <v>19500</v>
      </c>
      <c r="AE325" s="205">
        <f t="shared" si="32"/>
        <v>13000</v>
      </c>
      <c r="AF325" s="191">
        <f t="shared" si="30"/>
        <v>8012165</v>
      </c>
      <c r="AG325" s="51"/>
      <c r="AH325" s="51"/>
    </row>
    <row r="326" spans="1:32" ht="25.5">
      <c r="A326" s="123" t="s">
        <v>90</v>
      </c>
      <c r="B326" s="66">
        <v>1940000</v>
      </c>
      <c r="C326" s="66">
        <v>163000</v>
      </c>
      <c r="D326" s="66"/>
      <c r="E326" s="66">
        <v>375600</v>
      </c>
      <c r="F326" s="66">
        <v>51500</v>
      </c>
      <c r="G326" s="66">
        <v>4500</v>
      </c>
      <c r="H326" s="66"/>
      <c r="I326" s="66"/>
      <c r="J326" s="66"/>
      <c r="K326" s="66"/>
      <c r="L326" s="66"/>
      <c r="M326" s="215"/>
      <c r="N326" s="215">
        <v>47000</v>
      </c>
      <c r="O326" s="215"/>
      <c r="P326" s="215">
        <v>2000</v>
      </c>
      <c r="Q326" s="215">
        <v>141000</v>
      </c>
      <c r="R326" s="215">
        <v>1500</v>
      </c>
      <c r="S326" s="215">
        <v>15000</v>
      </c>
      <c r="T326" s="215">
        <v>1500</v>
      </c>
      <c r="U326" s="215">
        <v>3300</v>
      </c>
      <c r="V326" s="215">
        <v>6000</v>
      </c>
      <c r="W326" s="215">
        <v>2600</v>
      </c>
      <c r="X326" s="215">
        <v>2500</v>
      </c>
      <c r="Y326" s="215">
        <v>9500</v>
      </c>
      <c r="Z326" s="215">
        <f>10077+119000</f>
        <v>129077</v>
      </c>
      <c r="AA326" s="215"/>
      <c r="AB326" s="215"/>
      <c r="AC326" s="215">
        <v>2000</v>
      </c>
      <c r="AD326" s="215">
        <v>2000</v>
      </c>
      <c r="AE326" s="215">
        <v>13000</v>
      </c>
      <c r="AF326" s="192">
        <f t="shared" si="30"/>
        <v>2912577</v>
      </c>
    </row>
    <row r="327" spans="1:32" ht="26.25">
      <c r="A327" s="129" t="s">
        <v>91</v>
      </c>
      <c r="B327" s="60">
        <v>890700</v>
      </c>
      <c r="C327" s="60">
        <v>74000</v>
      </c>
      <c r="D327" s="60">
        <v>1300</v>
      </c>
      <c r="E327" s="60">
        <v>172200</v>
      </c>
      <c r="F327" s="60">
        <v>23600</v>
      </c>
      <c r="G327" s="60">
        <v>1000</v>
      </c>
      <c r="H327" s="60"/>
      <c r="I327" s="60"/>
      <c r="J327" s="60"/>
      <c r="K327" s="60"/>
      <c r="L327" s="60"/>
      <c r="M327" s="207"/>
      <c r="N327" s="207">
        <v>20000</v>
      </c>
      <c r="O327" s="207"/>
      <c r="P327" s="207">
        <v>4000</v>
      </c>
      <c r="Q327" s="207">
        <v>80000</v>
      </c>
      <c r="R327" s="207">
        <v>1100</v>
      </c>
      <c r="S327" s="207">
        <v>15000</v>
      </c>
      <c r="T327" s="207">
        <v>400</v>
      </c>
      <c r="U327" s="207"/>
      <c r="V327" s="207">
        <v>4500</v>
      </c>
      <c r="W327" s="207">
        <v>1800</v>
      </c>
      <c r="X327" s="207"/>
      <c r="Y327" s="207">
        <v>5000</v>
      </c>
      <c r="Z327" s="207">
        <f>16235+47600</f>
        <v>63835</v>
      </c>
      <c r="AA327" s="207"/>
      <c r="AB327" s="207">
        <v>1000</v>
      </c>
      <c r="AC327" s="207">
        <v>2000</v>
      </c>
      <c r="AD327" s="207">
        <v>2500</v>
      </c>
      <c r="AE327" s="207"/>
      <c r="AF327" s="193">
        <f t="shared" si="30"/>
        <v>1363935</v>
      </c>
    </row>
    <row r="328" spans="1:34" ht="18" customHeight="1">
      <c r="A328" s="129" t="s">
        <v>192</v>
      </c>
      <c r="B328" s="60">
        <v>1681000</v>
      </c>
      <c r="C328" s="60">
        <v>141000</v>
      </c>
      <c r="D328" s="60">
        <v>3000</v>
      </c>
      <c r="E328" s="60">
        <v>325400</v>
      </c>
      <c r="F328" s="60">
        <v>44600</v>
      </c>
      <c r="G328" s="60">
        <v>6000</v>
      </c>
      <c r="H328" s="60"/>
      <c r="I328" s="60"/>
      <c r="J328" s="60"/>
      <c r="K328" s="60"/>
      <c r="L328" s="60"/>
      <c r="M328" s="207"/>
      <c r="N328" s="207">
        <v>46000</v>
      </c>
      <c r="O328" s="207"/>
      <c r="P328" s="207"/>
      <c r="Q328" s="207">
        <v>210000</v>
      </c>
      <c r="R328" s="207">
        <v>2000</v>
      </c>
      <c r="S328" s="207">
        <v>30000</v>
      </c>
      <c r="T328" s="207">
        <v>2000</v>
      </c>
      <c r="U328" s="207"/>
      <c r="V328" s="207">
        <v>15000</v>
      </c>
      <c r="W328" s="207">
        <v>500</v>
      </c>
      <c r="X328" s="207"/>
      <c r="Y328" s="207">
        <v>10500</v>
      </c>
      <c r="Z328" s="207">
        <f>16235+92700</f>
        <v>108935</v>
      </c>
      <c r="AA328" s="207">
        <v>500</v>
      </c>
      <c r="AB328" s="207"/>
      <c r="AC328" s="207">
        <v>9500</v>
      </c>
      <c r="AD328" s="207">
        <v>10000</v>
      </c>
      <c r="AE328" s="207"/>
      <c r="AF328" s="193">
        <f t="shared" si="30"/>
        <v>2645935</v>
      </c>
      <c r="AG328" s="49"/>
      <c r="AH328" s="49"/>
    </row>
    <row r="329" spans="1:34" ht="18" customHeight="1" thickBot="1">
      <c r="A329" s="155" t="s">
        <v>193</v>
      </c>
      <c r="B329" s="63">
        <v>720000</v>
      </c>
      <c r="C329" s="63">
        <v>61000</v>
      </c>
      <c r="D329" s="63"/>
      <c r="E329" s="63">
        <v>139500</v>
      </c>
      <c r="F329" s="63">
        <v>19100</v>
      </c>
      <c r="G329" s="63">
        <v>2000</v>
      </c>
      <c r="H329" s="63"/>
      <c r="I329" s="63"/>
      <c r="J329" s="63"/>
      <c r="K329" s="63"/>
      <c r="L329" s="63"/>
      <c r="M329" s="208"/>
      <c r="N329" s="208">
        <v>19000</v>
      </c>
      <c r="O329" s="208"/>
      <c r="P329" s="208">
        <v>2000</v>
      </c>
      <c r="Q329" s="208">
        <v>48000</v>
      </c>
      <c r="R329" s="208">
        <v>1500</v>
      </c>
      <c r="S329" s="208">
        <v>9000</v>
      </c>
      <c r="T329" s="208">
        <v>2000</v>
      </c>
      <c r="U329" s="208"/>
      <c r="V329" s="208">
        <v>7000</v>
      </c>
      <c r="W329" s="208">
        <v>1200</v>
      </c>
      <c r="X329" s="208"/>
      <c r="Y329" s="208">
        <v>4000</v>
      </c>
      <c r="Z329" s="208">
        <f>6718+36700</f>
        <v>43418</v>
      </c>
      <c r="AA329" s="208"/>
      <c r="AB329" s="208"/>
      <c r="AC329" s="208">
        <v>6000</v>
      </c>
      <c r="AD329" s="208">
        <v>5000</v>
      </c>
      <c r="AE329" s="208"/>
      <c r="AF329" s="194">
        <f t="shared" si="30"/>
        <v>1089718</v>
      </c>
      <c r="AG329" s="49"/>
      <c r="AH329" s="49"/>
    </row>
    <row r="330" spans="1:32" ht="28.5" customHeight="1" thickBot="1">
      <c r="A330" s="130" t="s">
        <v>63</v>
      </c>
      <c r="B330" s="17">
        <f aca="true" t="shared" si="33" ref="B330:G330">SUM(B331:B336)</f>
        <v>4359300</v>
      </c>
      <c r="C330" s="17">
        <f t="shared" si="33"/>
        <v>332400</v>
      </c>
      <c r="D330" s="17">
        <f t="shared" si="33"/>
        <v>8300</v>
      </c>
      <c r="E330" s="17">
        <f t="shared" si="33"/>
        <v>768560</v>
      </c>
      <c r="F330" s="17">
        <f t="shared" si="33"/>
        <v>105730</v>
      </c>
      <c r="G330" s="17">
        <f t="shared" si="33"/>
        <v>6000</v>
      </c>
      <c r="H330" s="17"/>
      <c r="I330" s="17"/>
      <c r="J330" s="17"/>
      <c r="K330" s="17"/>
      <c r="L330" s="17"/>
      <c r="M330" s="205">
        <f>SUM(M331:M336)</f>
        <v>18000</v>
      </c>
      <c r="N330" s="205">
        <f>SUM(N331:N336)</f>
        <v>69650</v>
      </c>
      <c r="O330" s="205"/>
      <c r="P330" s="205">
        <f>SUM(P331:P336)</f>
        <v>30000</v>
      </c>
      <c r="Q330" s="205">
        <f>SUM(Q331:Q336)</f>
        <v>53100</v>
      </c>
      <c r="R330" s="205">
        <f>SUM(R331:R336)</f>
        <v>4800</v>
      </c>
      <c r="S330" s="205">
        <f>SUM(S331:S336)</f>
        <v>125500</v>
      </c>
      <c r="T330" s="205">
        <f>SUM(T331:T336)</f>
        <v>6860</v>
      </c>
      <c r="U330" s="205"/>
      <c r="V330" s="205">
        <f>SUM(V331:V336)</f>
        <v>33700</v>
      </c>
      <c r="W330" s="205">
        <f>SUM(W331:W336)</f>
        <v>9100</v>
      </c>
      <c r="X330" s="205"/>
      <c r="Y330" s="205">
        <f>SUM(Y331:Y336)</f>
        <v>5850</v>
      </c>
      <c r="Z330" s="205">
        <f>SUM(Z331:Z336)</f>
        <v>284900</v>
      </c>
      <c r="AA330" s="205"/>
      <c r="AB330" s="205"/>
      <c r="AC330" s="205">
        <f>SUM(AC331:AC336)</f>
        <v>4000</v>
      </c>
      <c r="AD330" s="205">
        <f>SUM(AD331:AD336)</f>
        <v>2000</v>
      </c>
      <c r="AE330" s="205"/>
      <c r="AF330" s="191">
        <f t="shared" si="30"/>
        <v>6227750</v>
      </c>
    </row>
    <row r="331" spans="1:32" ht="18" customHeight="1">
      <c r="A331" s="125" t="s">
        <v>196</v>
      </c>
      <c r="B331" s="61">
        <v>650000</v>
      </c>
      <c r="C331" s="61">
        <v>52000</v>
      </c>
      <c r="D331" s="61">
        <v>800</v>
      </c>
      <c r="E331" s="61">
        <v>121000</v>
      </c>
      <c r="F331" s="61">
        <v>17080</v>
      </c>
      <c r="G331" s="61">
        <v>500</v>
      </c>
      <c r="H331" s="61"/>
      <c r="I331" s="61"/>
      <c r="J331" s="61"/>
      <c r="K331" s="61"/>
      <c r="L331" s="61"/>
      <c r="M331" s="209"/>
      <c r="N331" s="209">
        <v>8000</v>
      </c>
      <c r="O331" s="209"/>
      <c r="P331" s="209">
        <v>3000</v>
      </c>
      <c r="Q331" s="209"/>
      <c r="R331" s="209">
        <v>600</v>
      </c>
      <c r="S331" s="209">
        <v>28000</v>
      </c>
      <c r="T331" s="209">
        <v>1500</v>
      </c>
      <c r="U331" s="209"/>
      <c r="V331" s="209">
        <v>7000</v>
      </c>
      <c r="W331" s="209">
        <v>1700</v>
      </c>
      <c r="X331" s="209"/>
      <c r="Y331" s="209">
        <v>1700</v>
      </c>
      <c r="Z331" s="209">
        <f>9612+43660</f>
        <v>53272</v>
      </c>
      <c r="AA331" s="209"/>
      <c r="AB331" s="209"/>
      <c r="AC331" s="209"/>
      <c r="AD331" s="209"/>
      <c r="AE331" s="209"/>
      <c r="AF331" s="192">
        <f t="shared" si="30"/>
        <v>946152</v>
      </c>
    </row>
    <row r="332" spans="1:32" ht="18" customHeight="1">
      <c r="A332" s="122" t="s">
        <v>194</v>
      </c>
      <c r="B332" s="60">
        <v>1088800</v>
      </c>
      <c r="C332" s="60">
        <v>84000</v>
      </c>
      <c r="D332" s="60">
        <v>3000</v>
      </c>
      <c r="E332" s="60">
        <v>195480</v>
      </c>
      <c r="F332" s="60">
        <v>26620</v>
      </c>
      <c r="G332" s="60">
        <v>2000</v>
      </c>
      <c r="H332" s="60"/>
      <c r="I332" s="60"/>
      <c r="J332" s="60"/>
      <c r="K332" s="60"/>
      <c r="L332" s="60"/>
      <c r="M332" s="207">
        <v>18000</v>
      </c>
      <c r="N332" s="207">
        <v>24650</v>
      </c>
      <c r="O332" s="207"/>
      <c r="P332" s="207">
        <v>10000</v>
      </c>
      <c r="Q332" s="207">
        <v>15000</v>
      </c>
      <c r="R332" s="207">
        <v>1800</v>
      </c>
      <c r="S332" s="207">
        <v>15000</v>
      </c>
      <c r="T332" s="207">
        <v>2800</v>
      </c>
      <c r="U332" s="207"/>
      <c r="V332" s="207">
        <v>12000</v>
      </c>
      <c r="W332" s="207">
        <v>1200</v>
      </c>
      <c r="X332" s="207"/>
      <c r="Y332" s="207">
        <v>1800</v>
      </c>
      <c r="Z332" s="207">
        <f>9612+59790</f>
        <v>69402</v>
      </c>
      <c r="AA332" s="207"/>
      <c r="AB332" s="207"/>
      <c r="AC332" s="207"/>
      <c r="AD332" s="207"/>
      <c r="AE332" s="207"/>
      <c r="AF332" s="193">
        <f t="shared" si="30"/>
        <v>1571552</v>
      </c>
    </row>
    <row r="333" spans="1:32" ht="18" customHeight="1">
      <c r="A333" s="122" t="s">
        <v>195</v>
      </c>
      <c r="B333" s="60">
        <v>677000</v>
      </c>
      <c r="C333" s="60">
        <v>55000</v>
      </c>
      <c r="D333" s="60">
        <v>2500</v>
      </c>
      <c r="E333" s="60">
        <v>122200</v>
      </c>
      <c r="F333" s="60">
        <v>17100</v>
      </c>
      <c r="G333" s="60">
        <v>1000</v>
      </c>
      <c r="H333" s="60"/>
      <c r="I333" s="60"/>
      <c r="J333" s="60"/>
      <c r="K333" s="60"/>
      <c r="L333" s="60"/>
      <c r="M333" s="207"/>
      <c r="N333" s="207">
        <v>11000</v>
      </c>
      <c r="O333" s="207"/>
      <c r="P333" s="207">
        <v>4000</v>
      </c>
      <c r="Q333" s="207">
        <v>27000</v>
      </c>
      <c r="R333" s="207">
        <v>300</v>
      </c>
      <c r="S333" s="207">
        <v>11000</v>
      </c>
      <c r="T333" s="207">
        <v>860</v>
      </c>
      <c r="U333" s="207"/>
      <c r="V333" s="207">
        <v>2700</v>
      </c>
      <c r="W333" s="207">
        <v>2000</v>
      </c>
      <c r="X333" s="207"/>
      <c r="Y333" s="207"/>
      <c r="Z333" s="207">
        <f>4806+42800</f>
        <v>47606</v>
      </c>
      <c r="AA333" s="207"/>
      <c r="AB333" s="207"/>
      <c r="AC333" s="207">
        <v>4000</v>
      </c>
      <c r="AD333" s="207">
        <v>2000</v>
      </c>
      <c r="AE333" s="207"/>
      <c r="AF333" s="193">
        <f t="shared" si="30"/>
        <v>987266</v>
      </c>
    </row>
    <row r="334" spans="1:32" ht="18" customHeight="1">
      <c r="A334" s="122" t="s">
        <v>197</v>
      </c>
      <c r="B334" s="60">
        <v>782300</v>
      </c>
      <c r="C334" s="60">
        <v>55000</v>
      </c>
      <c r="D334" s="60"/>
      <c r="E334" s="60">
        <v>125200</v>
      </c>
      <c r="F334" s="60">
        <v>17050</v>
      </c>
      <c r="G334" s="60">
        <v>1000</v>
      </c>
      <c r="H334" s="60"/>
      <c r="I334" s="60"/>
      <c r="J334" s="60"/>
      <c r="K334" s="60"/>
      <c r="L334" s="60"/>
      <c r="M334" s="207"/>
      <c r="N334" s="207">
        <v>9000</v>
      </c>
      <c r="O334" s="207"/>
      <c r="P334" s="207">
        <v>1000</v>
      </c>
      <c r="Q334" s="207"/>
      <c r="R334" s="207">
        <v>800</v>
      </c>
      <c r="S334" s="207">
        <v>11500</v>
      </c>
      <c r="T334" s="207">
        <v>1000</v>
      </c>
      <c r="U334" s="207"/>
      <c r="V334" s="207">
        <v>9000</v>
      </c>
      <c r="W334" s="207">
        <v>1800</v>
      </c>
      <c r="X334" s="207"/>
      <c r="Y334" s="207">
        <v>750</v>
      </c>
      <c r="Z334" s="207">
        <f>5607+38920</f>
        <v>44527</v>
      </c>
      <c r="AA334" s="207"/>
      <c r="AB334" s="207"/>
      <c r="AC334" s="207"/>
      <c r="AD334" s="207"/>
      <c r="AE334" s="207"/>
      <c r="AF334" s="193">
        <f t="shared" si="30"/>
        <v>1059927</v>
      </c>
    </row>
    <row r="335" spans="1:32" ht="18" customHeight="1">
      <c r="A335" s="122" t="s">
        <v>198</v>
      </c>
      <c r="B335" s="60">
        <v>685200</v>
      </c>
      <c r="C335" s="60">
        <v>47000</v>
      </c>
      <c r="D335" s="60">
        <v>500</v>
      </c>
      <c r="E335" s="60">
        <v>117480</v>
      </c>
      <c r="F335" s="60">
        <v>16000</v>
      </c>
      <c r="G335" s="60">
        <v>500</v>
      </c>
      <c r="H335" s="60"/>
      <c r="I335" s="60"/>
      <c r="J335" s="60"/>
      <c r="K335" s="60"/>
      <c r="L335" s="60"/>
      <c r="M335" s="207"/>
      <c r="N335" s="207">
        <v>7000</v>
      </c>
      <c r="O335" s="207"/>
      <c r="P335" s="207">
        <v>9000</v>
      </c>
      <c r="Q335" s="207">
        <v>6500</v>
      </c>
      <c r="R335" s="207">
        <v>800</v>
      </c>
      <c r="S335" s="207">
        <v>20000</v>
      </c>
      <c r="T335" s="207">
        <v>700</v>
      </c>
      <c r="U335" s="207"/>
      <c r="V335" s="207">
        <v>3000</v>
      </c>
      <c r="W335" s="207">
        <v>900</v>
      </c>
      <c r="X335" s="207"/>
      <c r="Y335" s="207">
        <v>600</v>
      </c>
      <c r="Z335" s="207">
        <f>801+37460</f>
        <v>38261</v>
      </c>
      <c r="AA335" s="207"/>
      <c r="AB335" s="207"/>
      <c r="AC335" s="207"/>
      <c r="AD335" s="207"/>
      <c r="AE335" s="207"/>
      <c r="AF335" s="193">
        <f t="shared" si="30"/>
        <v>953441</v>
      </c>
    </row>
    <row r="336" spans="1:32" ht="18" customHeight="1" thickBot="1">
      <c r="A336" s="142" t="s">
        <v>199</v>
      </c>
      <c r="B336" s="63">
        <v>476000</v>
      </c>
      <c r="C336" s="63">
        <v>39400</v>
      </c>
      <c r="D336" s="63">
        <v>1500</v>
      </c>
      <c r="E336" s="63">
        <v>87200</v>
      </c>
      <c r="F336" s="63">
        <v>11880</v>
      </c>
      <c r="G336" s="63">
        <v>1000</v>
      </c>
      <c r="H336" s="63"/>
      <c r="I336" s="63"/>
      <c r="J336" s="63"/>
      <c r="K336" s="63"/>
      <c r="L336" s="63"/>
      <c r="M336" s="208"/>
      <c r="N336" s="208">
        <v>10000</v>
      </c>
      <c r="O336" s="208"/>
      <c r="P336" s="208">
        <v>3000</v>
      </c>
      <c r="Q336" s="208">
        <v>4600</v>
      </c>
      <c r="R336" s="208">
        <v>500</v>
      </c>
      <c r="S336" s="208">
        <v>40000</v>
      </c>
      <c r="T336" s="208"/>
      <c r="U336" s="208"/>
      <c r="V336" s="208"/>
      <c r="W336" s="208">
        <v>1500</v>
      </c>
      <c r="X336" s="208"/>
      <c r="Y336" s="208">
        <v>1000</v>
      </c>
      <c r="Z336" s="208">
        <f>1602+30230</f>
        <v>31832</v>
      </c>
      <c r="AA336" s="208"/>
      <c r="AB336" s="208"/>
      <c r="AC336" s="208"/>
      <c r="AD336" s="208"/>
      <c r="AE336" s="208"/>
      <c r="AF336" s="194">
        <f t="shared" si="30"/>
        <v>709412</v>
      </c>
    </row>
    <row r="337" spans="1:34" s="56" customFormat="1" ht="19.5" customHeight="1" thickBot="1">
      <c r="A337" s="116" t="s">
        <v>276</v>
      </c>
      <c r="B337" s="17">
        <f aca="true" t="shared" si="34" ref="B337:G337">SUM(B338:B339)</f>
        <v>1703300</v>
      </c>
      <c r="C337" s="17">
        <f t="shared" si="34"/>
        <v>128850</v>
      </c>
      <c r="D337" s="17">
        <f t="shared" si="34"/>
        <v>2000</v>
      </c>
      <c r="E337" s="17">
        <f t="shared" si="34"/>
        <v>312160</v>
      </c>
      <c r="F337" s="17">
        <f t="shared" si="34"/>
        <v>43270</v>
      </c>
      <c r="G337" s="17">
        <f t="shared" si="34"/>
        <v>3470</v>
      </c>
      <c r="H337" s="17"/>
      <c r="I337" s="17"/>
      <c r="J337" s="17"/>
      <c r="K337" s="17"/>
      <c r="L337" s="17"/>
      <c r="M337" s="205">
        <f>SUM(M338:M339)</f>
        <v>18000</v>
      </c>
      <c r="N337" s="205">
        <f>SUM(N338:N339)</f>
        <v>43600</v>
      </c>
      <c r="O337" s="205"/>
      <c r="P337" s="205">
        <f aca="true" t="shared" si="35" ref="P337:W337">SUM(P338:P339)</f>
        <v>15000</v>
      </c>
      <c r="Q337" s="205">
        <f t="shared" si="35"/>
        <v>104360</v>
      </c>
      <c r="R337" s="205">
        <f t="shared" si="35"/>
        <v>3010</v>
      </c>
      <c r="S337" s="205">
        <f t="shared" si="35"/>
        <v>33000</v>
      </c>
      <c r="T337" s="205">
        <f t="shared" si="35"/>
        <v>5800</v>
      </c>
      <c r="U337" s="205">
        <f t="shared" si="35"/>
        <v>3000</v>
      </c>
      <c r="V337" s="205">
        <f t="shared" si="35"/>
        <v>5000</v>
      </c>
      <c r="W337" s="205">
        <f t="shared" si="35"/>
        <v>3250</v>
      </c>
      <c r="X337" s="205"/>
      <c r="Y337" s="205">
        <f aca="true" t="shared" si="36" ref="Y337:AD337">SUM(Y338:Y339)</f>
        <v>6600</v>
      </c>
      <c r="Z337" s="205">
        <f t="shared" si="36"/>
        <v>124421</v>
      </c>
      <c r="AA337" s="205">
        <f t="shared" si="36"/>
        <v>1500</v>
      </c>
      <c r="AB337" s="205">
        <f t="shared" si="36"/>
        <v>2000</v>
      </c>
      <c r="AC337" s="205">
        <f t="shared" si="36"/>
        <v>6800</v>
      </c>
      <c r="AD337" s="205">
        <f t="shared" si="36"/>
        <v>6000</v>
      </c>
      <c r="AE337" s="205"/>
      <c r="AF337" s="191">
        <f t="shared" si="30"/>
        <v>2574391</v>
      </c>
      <c r="AG337" s="51"/>
      <c r="AH337" s="51"/>
    </row>
    <row r="338" spans="1:34" s="16" customFormat="1" ht="18" customHeight="1">
      <c r="A338" s="125" t="s">
        <v>150</v>
      </c>
      <c r="B338" s="61">
        <v>1391380</v>
      </c>
      <c r="C338" s="61">
        <v>104000</v>
      </c>
      <c r="D338" s="61"/>
      <c r="E338" s="61">
        <v>253430</v>
      </c>
      <c r="F338" s="61">
        <v>35020</v>
      </c>
      <c r="G338" s="61">
        <v>3000</v>
      </c>
      <c r="H338" s="61"/>
      <c r="I338" s="61"/>
      <c r="J338" s="61"/>
      <c r="K338" s="61"/>
      <c r="L338" s="61"/>
      <c r="M338" s="209">
        <v>18000</v>
      </c>
      <c r="N338" s="209">
        <v>30000</v>
      </c>
      <c r="O338" s="209"/>
      <c r="P338" s="209">
        <v>15000</v>
      </c>
      <c r="Q338" s="209">
        <v>85360</v>
      </c>
      <c r="R338" s="209">
        <v>2260</v>
      </c>
      <c r="S338" s="209">
        <v>25000</v>
      </c>
      <c r="T338" s="209">
        <v>2000</v>
      </c>
      <c r="U338" s="209"/>
      <c r="V338" s="209">
        <v>2000</v>
      </c>
      <c r="W338" s="209">
        <v>2000</v>
      </c>
      <c r="X338" s="209"/>
      <c r="Y338" s="209">
        <v>3000</v>
      </c>
      <c r="Z338" s="209">
        <f>7209+93500</f>
        <v>100709</v>
      </c>
      <c r="AA338" s="209">
        <v>1500</v>
      </c>
      <c r="AB338" s="209">
        <v>2000</v>
      </c>
      <c r="AC338" s="209">
        <v>5000</v>
      </c>
      <c r="AD338" s="209">
        <v>3000</v>
      </c>
      <c r="AE338" s="209"/>
      <c r="AF338" s="192">
        <f t="shared" si="30"/>
        <v>2083659</v>
      </c>
      <c r="AG338" s="51"/>
      <c r="AH338" s="51"/>
    </row>
    <row r="339" spans="1:32" ht="18" customHeight="1" thickBot="1">
      <c r="A339" s="142" t="s">
        <v>179</v>
      </c>
      <c r="B339" s="63">
        <v>311920</v>
      </c>
      <c r="C339" s="63">
        <v>24850</v>
      </c>
      <c r="D339" s="63">
        <v>2000</v>
      </c>
      <c r="E339" s="63">
        <v>58730</v>
      </c>
      <c r="F339" s="63">
        <v>8250</v>
      </c>
      <c r="G339" s="63">
        <v>470</v>
      </c>
      <c r="H339" s="63"/>
      <c r="I339" s="63"/>
      <c r="J339" s="63"/>
      <c r="K339" s="63"/>
      <c r="L339" s="63"/>
      <c r="M339" s="208"/>
      <c r="N339" s="208">
        <v>13600</v>
      </c>
      <c r="O339" s="208"/>
      <c r="P339" s="208"/>
      <c r="Q339" s="208">
        <v>19000</v>
      </c>
      <c r="R339" s="208">
        <v>750</v>
      </c>
      <c r="S339" s="208">
        <v>8000</v>
      </c>
      <c r="T339" s="208">
        <v>3800</v>
      </c>
      <c r="U339" s="208">
        <v>3000</v>
      </c>
      <c r="V339" s="208">
        <v>3000</v>
      </c>
      <c r="W339" s="208">
        <v>1250</v>
      </c>
      <c r="X339" s="208"/>
      <c r="Y339" s="208">
        <v>3600</v>
      </c>
      <c r="Z339" s="208">
        <f>1602+22110</f>
        <v>23712</v>
      </c>
      <c r="AA339" s="208"/>
      <c r="AB339" s="208"/>
      <c r="AC339" s="208">
        <v>1800</v>
      </c>
      <c r="AD339" s="208">
        <v>3000</v>
      </c>
      <c r="AE339" s="208"/>
      <c r="AF339" s="194">
        <f aca="true" t="shared" si="37" ref="AF339:AF402">SUM(B339:AE339)</f>
        <v>490732</v>
      </c>
    </row>
    <row r="340" spans="1:32" ht="18" customHeight="1" thickBot="1">
      <c r="A340" s="120" t="s">
        <v>65</v>
      </c>
      <c r="B340" s="17">
        <f aca="true" t="shared" si="38" ref="B340:G340">SUM(B341:B349)</f>
        <v>4090500</v>
      </c>
      <c r="C340" s="17">
        <f t="shared" si="38"/>
        <v>330750</v>
      </c>
      <c r="D340" s="17">
        <f t="shared" si="38"/>
        <v>3750</v>
      </c>
      <c r="E340" s="17">
        <f t="shared" si="38"/>
        <v>753190</v>
      </c>
      <c r="F340" s="17">
        <f t="shared" si="38"/>
        <v>103990</v>
      </c>
      <c r="G340" s="17">
        <f t="shared" si="38"/>
        <v>15400</v>
      </c>
      <c r="H340" s="17"/>
      <c r="I340" s="17"/>
      <c r="J340" s="17"/>
      <c r="K340" s="17"/>
      <c r="L340" s="17"/>
      <c r="M340" s="205"/>
      <c r="N340" s="205">
        <f>SUM(N341:N349)</f>
        <v>238100</v>
      </c>
      <c r="O340" s="205"/>
      <c r="P340" s="205">
        <f aca="true" t="shared" si="39" ref="P340:W340">SUM(P341:P349)</f>
        <v>13700</v>
      </c>
      <c r="Q340" s="205">
        <f t="shared" si="39"/>
        <v>797600</v>
      </c>
      <c r="R340" s="205">
        <f t="shared" si="39"/>
        <v>5430</v>
      </c>
      <c r="S340" s="205">
        <f t="shared" si="39"/>
        <v>86000</v>
      </c>
      <c r="T340" s="205">
        <f t="shared" si="39"/>
        <v>13050</v>
      </c>
      <c r="U340" s="205">
        <f t="shared" si="39"/>
        <v>850</v>
      </c>
      <c r="V340" s="205">
        <f t="shared" si="39"/>
        <v>23800</v>
      </c>
      <c r="W340" s="205">
        <f t="shared" si="39"/>
        <v>2400</v>
      </c>
      <c r="X340" s="205"/>
      <c r="Y340" s="205">
        <f>SUM(Y341:Y349)</f>
        <v>8100</v>
      </c>
      <c r="Z340" s="205">
        <f>SUM(Z341:Z349)</f>
        <v>280669</v>
      </c>
      <c r="AA340" s="205"/>
      <c r="AB340" s="205"/>
      <c r="AC340" s="205">
        <f>SUM(AC341:AC349)</f>
        <v>6000</v>
      </c>
      <c r="AD340" s="205">
        <f>SUM(AD341:AD349)</f>
        <v>12100</v>
      </c>
      <c r="AE340" s="205"/>
      <c r="AF340" s="191">
        <f t="shared" si="37"/>
        <v>6785379</v>
      </c>
    </row>
    <row r="341" spans="1:32" ht="18" customHeight="1">
      <c r="A341" s="125" t="s">
        <v>181</v>
      </c>
      <c r="B341" s="61">
        <v>560300</v>
      </c>
      <c r="C341" s="61">
        <v>42390</v>
      </c>
      <c r="D341" s="61"/>
      <c r="E341" s="61">
        <v>101010</v>
      </c>
      <c r="F341" s="61">
        <v>13760</v>
      </c>
      <c r="G341" s="61">
        <v>1800</v>
      </c>
      <c r="H341" s="61"/>
      <c r="I341" s="61"/>
      <c r="J341" s="61"/>
      <c r="K341" s="61"/>
      <c r="L341" s="61"/>
      <c r="M341" s="209"/>
      <c r="N341" s="209">
        <v>65000</v>
      </c>
      <c r="O341" s="209"/>
      <c r="P341" s="209">
        <v>2100</v>
      </c>
      <c r="Q341" s="209">
        <v>110000</v>
      </c>
      <c r="R341" s="209">
        <v>950</v>
      </c>
      <c r="S341" s="209">
        <v>19000</v>
      </c>
      <c r="T341" s="209">
        <v>1500</v>
      </c>
      <c r="U341" s="209">
        <v>850</v>
      </c>
      <c r="V341" s="209">
        <v>5500</v>
      </c>
      <c r="W341" s="209">
        <v>900</v>
      </c>
      <c r="X341" s="209"/>
      <c r="Y341" s="209">
        <v>2300</v>
      </c>
      <c r="Z341" s="209">
        <f>7209+29560</f>
        <v>36769</v>
      </c>
      <c r="AA341" s="209"/>
      <c r="AB341" s="209"/>
      <c r="AC341" s="209">
        <v>1500</v>
      </c>
      <c r="AD341" s="209">
        <v>3500</v>
      </c>
      <c r="AE341" s="209"/>
      <c r="AF341" s="192">
        <f t="shared" si="37"/>
        <v>969129</v>
      </c>
    </row>
    <row r="342" spans="1:34" s="56" customFormat="1" ht="18" customHeight="1">
      <c r="A342" s="114" t="s">
        <v>182</v>
      </c>
      <c r="B342" s="60">
        <v>300100</v>
      </c>
      <c r="C342" s="60">
        <v>22240</v>
      </c>
      <c r="D342" s="60"/>
      <c r="E342" s="60">
        <v>55810</v>
      </c>
      <c r="F342" s="60">
        <v>7600</v>
      </c>
      <c r="G342" s="60">
        <v>1000</v>
      </c>
      <c r="H342" s="60"/>
      <c r="I342" s="60"/>
      <c r="J342" s="60"/>
      <c r="K342" s="60"/>
      <c r="L342" s="60"/>
      <c r="M342" s="207"/>
      <c r="N342" s="207">
        <v>29000</v>
      </c>
      <c r="O342" s="207"/>
      <c r="P342" s="207">
        <v>2500</v>
      </c>
      <c r="Q342" s="207">
        <v>43000</v>
      </c>
      <c r="R342" s="207">
        <v>500</v>
      </c>
      <c r="S342" s="207">
        <v>12000</v>
      </c>
      <c r="T342" s="207">
        <v>1000</v>
      </c>
      <c r="U342" s="207"/>
      <c r="V342" s="207"/>
      <c r="W342" s="207">
        <v>300</v>
      </c>
      <c r="X342" s="207"/>
      <c r="Y342" s="207">
        <v>1000</v>
      </c>
      <c r="Z342" s="207">
        <f>4005+21260</f>
        <v>25265</v>
      </c>
      <c r="AA342" s="207"/>
      <c r="AB342" s="207"/>
      <c r="AC342" s="207"/>
      <c r="AD342" s="207"/>
      <c r="AE342" s="207"/>
      <c r="AF342" s="193">
        <f t="shared" si="37"/>
        <v>501315</v>
      </c>
      <c r="AG342" s="51"/>
      <c r="AH342" s="51"/>
    </row>
    <row r="343" spans="1:33" s="56" customFormat="1" ht="18" customHeight="1">
      <c r="A343" s="122" t="s">
        <v>183</v>
      </c>
      <c r="B343" s="60">
        <v>690200</v>
      </c>
      <c r="C343" s="60">
        <v>54870</v>
      </c>
      <c r="D343" s="60">
        <v>3750</v>
      </c>
      <c r="E343" s="60">
        <v>123890</v>
      </c>
      <c r="F343" s="60">
        <v>17600</v>
      </c>
      <c r="G343" s="60">
        <v>3600</v>
      </c>
      <c r="H343" s="60"/>
      <c r="I343" s="60"/>
      <c r="J343" s="60"/>
      <c r="K343" s="60"/>
      <c r="L343" s="60"/>
      <c r="M343" s="207"/>
      <c r="N343" s="207">
        <v>30000</v>
      </c>
      <c r="O343" s="207"/>
      <c r="P343" s="207">
        <v>5000</v>
      </c>
      <c r="Q343" s="207">
        <v>125000</v>
      </c>
      <c r="R343" s="207">
        <v>600</v>
      </c>
      <c r="S343" s="207">
        <v>12000</v>
      </c>
      <c r="T343" s="207">
        <v>2400</v>
      </c>
      <c r="U343" s="207"/>
      <c r="V343" s="207">
        <v>4000</v>
      </c>
      <c r="W343" s="207">
        <v>1000</v>
      </c>
      <c r="X343" s="207"/>
      <c r="Y343" s="207">
        <v>1000</v>
      </c>
      <c r="Z343" s="207">
        <f>4005+41500</f>
        <v>45505</v>
      </c>
      <c r="AA343" s="207"/>
      <c r="AB343" s="207"/>
      <c r="AC343" s="207">
        <v>1500</v>
      </c>
      <c r="AD343" s="207">
        <v>5100</v>
      </c>
      <c r="AE343" s="207"/>
      <c r="AF343" s="193">
        <f t="shared" si="37"/>
        <v>1127015</v>
      </c>
      <c r="AG343" s="68"/>
    </row>
    <row r="344" spans="1:33" s="56" customFormat="1" ht="18" customHeight="1">
      <c r="A344" s="114" t="s">
        <v>184</v>
      </c>
      <c r="B344" s="60">
        <v>534240</v>
      </c>
      <c r="C344" s="60">
        <v>42600</v>
      </c>
      <c r="D344" s="60"/>
      <c r="E344" s="60">
        <v>101140</v>
      </c>
      <c r="F344" s="60">
        <v>13770</v>
      </c>
      <c r="G344" s="60">
        <v>2000</v>
      </c>
      <c r="H344" s="60"/>
      <c r="I344" s="60"/>
      <c r="J344" s="60"/>
      <c r="K344" s="60"/>
      <c r="L344" s="60"/>
      <c r="M344" s="207"/>
      <c r="N344" s="207">
        <v>33000</v>
      </c>
      <c r="O344" s="207"/>
      <c r="P344" s="207"/>
      <c r="Q344" s="207">
        <v>200000</v>
      </c>
      <c r="R344" s="207"/>
      <c r="S344" s="207">
        <v>16000</v>
      </c>
      <c r="T344" s="207">
        <v>3650</v>
      </c>
      <c r="U344" s="207"/>
      <c r="V344" s="207">
        <v>4000</v>
      </c>
      <c r="W344" s="207"/>
      <c r="X344" s="207"/>
      <c r="Y344" s="207"/>
      <c r="Z344" s="207">
        <f>15219+26800</f>
        <v>42019</v>
      </c>
      <c r="AA344" s="207"/>
      <c r="AB344" s="207"/>
      <c r="AC344" s="207"/>
      <c r="AD344" s="207"/>
      <c r="AE344" s="207"/>
      <c r="AF344" s="193">
        <f t="shared" si="37"/>
        <v>992419</v>
      </c>
      <c r="AG344" s="68"/>
    </row>
    <row r="345" spans="1:33" s="56" customFormat="1" ht="18" customHeight="1">
      <c r="A345" s="114" t="s">
        <v>186</v>
      </c>
      <c r="B345" s="60">
        <v>276010</v>
      </c>
      <c r="C345" s="60">
        <v>23460</v>
      </c>
      <c r="D345" s="60"/>
      <c r="E345" s="60">
        <v>49850</v>
      </c>
      <c r="F345" s="60">
        <v>7080</v>
      </c>
      <c r="G345" s="60">
        <v>1000</v>
      </c>
      <c r="H345" s="60"/>
      <c r="I345" s="60"/>
      <c r="J345" s="60"/>
      <c r="K345" s="60"/>
      <c r="L345" s="60"/>
      <c r="M345" s="207"/>
      <c r="N345" s="207">
        <v>8200</v>
      </c>
      <c r="O345" s="207"/>
      <c r="P345" s="207">
        <v>800</v>
      </c>
      <c r="Q345" s="207">
        <v>57000</v>
      </c>
      <c r="R345" s="207">
        <v>480</v>
      </c>
      <c r="S345" s="207">
        <v>3500</v>
      </c>
      <c r="T345" s="207">
        <v>500</v>
      </c>
      <c r="U345" s="207"/>
      <c r="V345" s="207">
        <v>4000</v>
      </c>
      <c r="W345" s="207"/>
      <c r="X345" s="207"/>
      <c r="Y345" s="207">
        <v>3000</v>
      </c>
      <c r="Z345" s="207">
        <f>2403+15950</f>
        <v>18353</v>
      </c>
      <c r="AA345" s="207"/>
      <c r="AB345" s="207"/>
      <c r="AC345" s="207"/>
      <c r="AD345" s="207"/>
      <c r="AE345" s="207"/>
      <c r="AF345" s="193">
        <f t="shared" si="37"/>
        <v>453233</v>
      </c>
      <c r="AG345" s="68"/>
    </row>
    <row r="346" spans="1:33" s="56" customFormat="1" ht="18" customHeight="1">
      <c r="A346" s="114" t="s">
        <v>185</v>
      </c>
      <c r="B346" s="60">
        <v>313870</v>
      </c>
      <c r="C346" s="60">
        <v>24660</v>
      </c>
      <c r="D346" s="60"/>
      <c r="E346" s="60">
        <v>56990</v>
      </c>
      <c r="F346" s="60">
        <v>7760</v>
      </c>
      <c r="G346" s="60">
        <v>1000</v>
      </c>
      <c r="H346" s="60"/>
      <c r="I346" s="60"/>
      <c r="J346" s="60"/>
      <c r="K346" s="60"/>
      <c r="L346" s="60"/>
      <c r="M346" s="207"/>
      <c r="N346" s="207">
        <v>16500</v>
      </c>
      <c r="O346" s="207"/>
      <c r="P346" s="207"/>
      <c r="Q346" s="207">
        <v>97600</v>
      </c>
      <c r="R346" s="207">
        <v>500</v>
      </c>
      <c r="S346" s="207">
        <v>3000</v>
      </c>
      <c r="T346" s="207"/>
      <c r="U346" s="207"/>
      <c r="V346" s="207">
        <v>2100</v>
      </c>
      <c r="W346" s="207">
        <v>200</v>
      </c>
      <c r="X346" s="207"/>
      <c r="Y346" s="207">
        <v>800</v>
      </c>
      <c r="Z346" s="207">
        <f>3204+20680</f>
        <v>23884</v>
      </c>
      <c r="AA346" s="207"/>
      <c r="AB346" s="207"/>
      <c r="AC346" s="207">
        <v>1000</v>
      </c>
      <c r="AD346" s="207">
        <v>1500</v>
      </c>
      <c r="AE346" s="207"/>
      <c r="AF346" s="193">
        <f t="shared" si="37"/>
        <v>551364</v>
      </c>
      <c r="AG346" s="68"/>
    </row>
    <row r="347" spans="1:33" s="56" customFormat="1" ht="18" customHeight="1">
      <c r="A347" s="114" t="s">
        <v>318</v>
      </c>
      <c r="B347" s="60">
        <v>281040</v>
      </c>
      <c r="C347" s="60">
        <v>24970</v>
      </c>
      <c r="D347" s="60"/>
      <c r="E347" s="60">
        <v>52290</v>
      </c>
      <c r="F347" s="60">
        <v>7340</v>
      </c>
      <c r="G347" s="60">
        <v>400</v>
      </c>
      <c r="H347" s="60"/>
      <c r="I347" s="60"/>
      <c r="J347" s="60"/>
      <c r="K347" s="60"/>
      <c r="L347" s="60"/>
      <c r="M347" s="207"/>
      <c r="N347" s="207">
        <v>38000</v>
      </c>
      <c r="O347" s="207"/>
      <c r="P347" s="207"/>
      <c r="Q347" s="207">
        <v>30000</v>
      </c>
      <c r="R347" s="207">
        <v>800</v>
      </c>
      <c r="S347" s="207">
        <v>9000</v>
      </c>
      <c r="T347" s="207"/>
      <c r="U347" s="207"/>
      <c r="V347" s="207"/>
      <c r="W347" s="207"/>
      <c r="X347" s="207"/>
      <c r="Y347" s="207"/>
      <c r="Z347" s="207">
        <f>6408+14840</f>
        <v>21248</v>
      </c>
      <c r="AA347" s="207"/>
      <c r="AB347" s="207"/>
      <c r="AC347" s="207"/>
      <c r="AD347" s="207"/>
      <c r="AE347" s="207"/>
      <c r="AF347" s="193">
        <f t="shared" si="37"/>
        <v>465088</v>
      </c>
      <c r="AG347" s="68"/>
    </row>
    <row r="348" spans="1:33" s="56" customFormat="1" ht="18" customHeight="1">
      <c r="A348" s="114" t="s">
        <v>316</v>
      </c>
      <c r="B348" s="60">
        <v>887300</v>
      </c>
      <c r="C348" s="60">
        <v>75210</v>
      </c>
      <c r="D348" s="60"/>
      <c r="E348" s="60">
        <v>168360</v>
      </c>
      <c r="F348" s="60">
        <v>22930</v>
      </c>
      <c r="G348" s="60">
        <v>4000</v>
      </c>
      <c r="H348" s="60"/>
      <c r="I348" s="60"/>
      <c r="J348" s="60"/>
      <c r="K348" s="60"/>
      <c r="L348" s="60"/>
      <c r="M348" s="207"/>
      <c r="N348" s="207">
        <v>13400</v>
      </c>
      <c r="O348" s="207"/>
      <c r="P348" s="207"/>
      <c r="Q348" s="207">
        <v>78000</v>
      </c>
      <c r="R348" s="207">
        <v>1000</v>
      </c>
      <c r="S348" s="207">
        <v>5500</v>
      </c>
      <c r="T348" s="207">
        <v>4000</v>
      </c>
      <c r="U348" s="207"/>
      <c r="V348" s="207">
        <v>2000</v>
      </c>
      <c r="W348" s="207"/>
      <c r="X348" s="207"/>
      <c r="Y348" s="207"/>
      <c r="Z348" s="207">
        <f>4806+49140</f>
        <v>53946</v>
      </c>
      <c r="AA348" s="207"/>
      <c r="AB348" s="207"/>
      <c r="AC348" s="207">
        <v>1000</v>
      </c>
      <c r="AD348" s="207">
        <v>1000</v>
      </c>
      <c r="AE348" s="207"/>
      <c r="AF348" s="193">
        <f t="shared" si="37"/>
        <v>1317646</v>
      </c>
      <c r="AG348" s="68"/>
    </row>
    <row r="349" spans="1:33" s="56" customFormat="1" ht="18" customHeight="1" thickBot="1">
      <c r="A349" s="115" t="s">
        <v>187</v>
      </c>
      <c r="B349" s="63">
        <v>247440</v>
      </c>
      <c r="C349" s="63">
        <v>20350</v>
      </c>
      <c r="D349" s="63"/>
      <c r="E349" s="63">
        <v>43850</v>
      </c>
      <c r="F349" s="63">
        <v>6150</v>
      </c>
      <c r="G349" s="63">
        <v>600</v>
      </c>
      <c r="H349" s="63"/>
      <c r="I349" s="63"/>
      <c r="J349" s="63"/>
      <c r="K349" s="63"/>
      <c r="L349" s="63"/>
      <c r="M349" s="208"/>
      <c r="N349" s="208">
        <v>5000</v>
      </c>
      <c r="O349" s="208"/>
      <c r="P349" s="208">
        <v>3300</v>
      </c>
      <c r="Q349" s="208">
        <v>57000</v>
      </c>
      <c r="R349" s="208">
        <v>600</v>
      </c>
      <c r="S349" s="208">
        <v>6000</v>
      </c>
      <c r="T349" s="208"/>
      <c r="U349" s="208"/>
      <c r="V349" s="208">
        <v>2200</v>
      </c>
      <c r="W349" s="208"/>
      <c r="X349" s="208"/>
      <c r="Y349" s="208"/>
      <c r="Z349" s="208">
        <v>13680</v>
      </c>
      <c r="AA349" s="208"/>
      <c r="AB349" s="208"/>
      <c r="AC349" s="208">
        <v>1000</v>
      </c>
      <c r="AD349" s="208">
        <v>1000</v>
      </c>
      <c r="AE349" s="208"/>
      <c r="AF349" s="194">
        <f t="shared" si="37"/>
        <v>408170</v>
      </c>
      <c r="AG349" s="68"/>
    </row>
    <row r="350" spans="1:32" s="56" customFormat="1" ht="18" customHeight="1" thickBot="1">
      <c r="A350" s="131" t="s">
        <v>64</v>
      </c>
      <c r="B350" s="69"/>
      <c r="C350" s="69"/>
      <c r="D350" s="69"/>
      <c r="E350" s="69"/>
      <c r="F350" s="69"/>
      <c r="G350" s="69"/>
      <c r="H350" s="69">
        <f>H351</f>
        <v>80640</v>
      </c>
      <c r="I350" s="69"/>
      <c r="J350" s="69"/>
      <c r="K350" s="69">
        <f>K351</f>
        <v>9000</v>
      </c>
      <c r="L350" s="69"/>
      <c r="M350" s="216"/>
      <c r="N350" s="216"/>
      <c r="O350" s="216"/>
      <c r="P350" s="216"/>
      <c r="Q350" s="216"/>
      <c r="R350" s="216"/>
      <c r="S350" s="216"/>
      <c r="T350" s="216"/>
      <c r="U350" s="216"/>
      <c r="V350" s="216"/>
      <c r="W350" s="216"/>
      <c r="X350" s="216"/>
      <c r="Y350" s="216"/>
      <c r="Z350" s="216"/>
      <c r="AA350" s="216"/>
      <c r="AB350" s="216"/>
      <c r="AC350" s="216"/>
      <c r="AD350" s="216"/>
      <c r="AE350" s="216"/>
      <c r="AF350" s="191">
        <f t="shared" si="37"/>
        <v>89640</v>
      </c>
    </row>
    <row r="351" spans="1:32" s="81" customFormat="1" ht="18" customHeight="1">
      <c r="A351" s="156" t="s">
        <v>93</v>
      </c>
      <c r="B351" s="78"/>
      <c r="C351" s="78"/>
      <c r="D351" s="78"/>
      <c r="E351" s="78"/>
      <c r="F351" s="78"/>
      <c r="G351" s="78"/>
      <c r="H351" s="78">
        <f>SUM(H352:H399)</f>
        <v>80640</v>
      </c>
      <c r="I351" s="78"/>
      <c r="J351" s="78"/>
      <c r="K351" s="78">
        <f>SUM(K352:K399)</f>
        <v>9000</v>
      </c>
      <c r="L351" s="78"/>
      <c r="M351" s="217"/>
      <c r="N351" s="217"/>
      <c r="O351" s="217"/>
      <c r="P351" s="217"/>
      <c r="Q351" s="217"/>
      <c r="R351" s="217"/>
      <c r="S351" s="217"/>
      <c r="T351" s="217"/>
      <c r="U351" s="217"/>
      <c r="V351" s="217"/>
      <c r="W351" s="217"/>
      <c r="X351" s="217"/>
      <c r="Y351" s="217"/>
      <c r="Z351" s="217"/>
      <c r="AA351" s="217"/>
      <c r="AB351" s="217"/>
      <c r="AC351" s="217"/>
      <c r="AD351" s="217"/>
      <c r="AE351" s="217"/>
      <c r="AF351" s="214">
        <f t="shared" si="37"/>
        <v>89640</v>
      </c>
    </row>
    <row r="352" spans="1:32" s="56" customFormat="1" ht="18" customHeight="1">
      <c r="A352" s="114" t="s">
        <v>153</v>
      </c>
      <c r="B352" s="54"/>
      <c r="C352" s="54"/>
      <c r="D352" s="54"/>
      <c r="E352" s="54"/>
      <c r="F352" s="54"/>
      <c r="G352" s="54"/>
      <c r="H352" s="54">
        <v>560</v>
      </c>
      <c r="I352" s="54"/>
      <c r="J352" s="54"/>
      <c r="K352" s="54"/>
      <c r="L352" s="54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193">
        <f t="shared" si="37"/>
        <v>560</v>
      </c>
    </row>
    <row r="353" spans="1:32" s="56" customFormat="1" ht="18" customHeight="1">
      <c r="A353" s="113" t="s">
        <v>154</v>
      </c>
      <c r="B353" s="53"/>
      <c r="C353" s="53"/>
      <c r="D353" s="53"/>
      <c r="E353" s="53"/>
      <c r="F353" s="53"/>
      <c r="G353" s="53"/>
      <c r="H353" s="53">
        <v>80</v>
      </c>
      <c r="I353" s="53"/>
      <c r="J353" s="53"/>
      <c r="K353" s="53"/>
      <c r="L353" s="53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193">
        <f t="shared" si="37"/>
        <v>80</v>
      </c>
    </row>
    <row r="354" spans="1:32" s="56" customFormat="1" ht="18" customHeight="1">
      <c r="A354" s="114" t="s">
        <v>155</v>
      </c>
      <c r="B354" s="54"/>
      <c r="C354" s="54"/>
      <c r="D354" s="54"/>
      <c r="E354" s="54"/>
      <c r="F354" s="54"/>
      <c r="G354" s="54"/>
      <c r="H354" s="54">
        <v>1440</v>
      </c>
      <c r="I354" s="54"/>
      <c r="J354" s="54"/>
      <c r="K354" s="54"/>
      <c r="L354" s="54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193">
        <f t="shared" si="37"/>
        <v>1440</v>
      </c>
    </row>
    <row r="355" spans="1:32" s="56" customFormat="1" ht="18" customHeight="1">
      <c r="A355" s="114" t="s">
        <v>157</v>
      </c>
      <c r="B355" s="54"/>
      <c r="C355" s="54"/>
      <c r="D355" s="54"/>
      <c r="E355" s="54"/>
      <c r="F355" s="54"/>
      <c r="G355" s="54"/>
      <c r="H355" s="54">
        <v>80</v>
      </c>
      <c r="I355" s="54"/>
      <c r="J355" s="54"/>
      <c r="K355" s="54"/>
      <c r="L355" s="54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193">
        <f t="shared" si="37"/>
        <v>80</v>
      </c>
    </row>
    <row r="356" spans="1:32" s="56" customFormat="1" ht="18" customHeight="1">
      <c r="A356" s="113" t="s">
        <v>158</v>
      </c>
      <c r="B356" s="53"/>
      <c r="C356" s="53"/>
      <c r="D356" s="53"/>
      <c r="E356" s="53"/>
      <c r="F356" s="53"/>
      <c r="G356" s="53"/>
      <c r="H356" s="53">
        <v>2880</v>
      </c>
      <c r="I356" s="53"/>
      <c r="J356" s="53"/>
      <c r="K356" s="53"/>
      <c r="L356" s="53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193">
        <f t="shared" si="37"/>
        <v>2880</v>
      </c>
    </row>
    <row r="357" spans="1:32" s="56" customFormat="1" ht="18" customHeight="1">
      <c r="A357" s="114" t="s">
        <v>159</v>
      </c>
      <c r="B357" s="54"/>
      <c r="C357" s="54"/>
      <c r="D357" s="54"/>
      <c r="E357" s="54"/>
      <c r="F357" s="54"/>
      <c r="G357" s="54"/>
      <c r="H357" s="54">
        <v>480</v>
      </c>
      <c r="I357" s="54"/>
      <c r="J357" s="54"/>
      <c r="K357" s="54"/>
      <c r="L357" s="54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193">
        <f t="shared" si="37"/>
        <v>480</v>
      </c>
    </row>
    <row r="358" spans="1:32" s="56" customFormat="1" ht="18" customHeight="1">
      <c r="A358" s="114" t="s">
        <v>161</v>
      </c>
      <c r="B358" s="54"/>
      <c r="C358" s="54"/>
      <c r="D358" s="54"/>
      <c r="E358" s="54"/>
      <c r="F358" s="54"/>
      <c r="G358" s="54"/>
      <c r="H358" s="54">
        <v>240</v>
      </c>
      <c r="I358" s="54"/>
      <c r="J358" s="54"/>
      <c r="K358" s="54"/>
      <c r="L358" s="54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193">
        <f t="shared" si="37"/>
        <v>240</v>
      </c>
    </row>
    <row r="359" spans="1:32" s="56" customFormat="1" ht="18" customHeight="1">
      <c r="A359" s="114" t="s">
        <v>163</v>
      </c>
      <c r="B359" s="54"/>
      <c r="C359" s="54"/>
      <c r="D359" s="54"/>
      <c r="E359" s="54"/>
      <c r="F359" s="54"/>
      <c r="G359" s="54"/>
      <c r="H359" s="54">
        <v>2880</v>
      </c>
      <c r="I359" s="54"/>
      <c r="J359" s="54"/>
      <c r="K359" s="54"/>
      <c r="L359" s="54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193">
        <f t="shared" si="37"/>
        <v>2880</v>
      </c>
    </row>
    <row r="360" spans="1:32" s="56" customFormat="1" ht="18" customHeight="1">
      <c r="A360" s="113" t="s">
        <v>164</v>
      </c>
      <c r="B360" s="53"/>
      <c r="C360" s="53"/>
      <c r="D360" s="53"/>
      <c r="E360" s="53"/>
      <c r="F360" s="53"/>
      <c r="G360" s="53"/>
      <c r="H360" s="53">
        <v>640</v>
      </c>
      <c r="I360" s="53"/>
      <c r="J360" s="53"/>
      <c r="K360" s="53"/>
      <c r="L360" s="53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193">
        <f t="shared" si="37"/>
        <v>640</v>
      </c>
    </row>
    <row r="361" spans="1:32" s="56" customFormat="1" ht="18" customHeight="1">
      <c r="A361" s="114" t="s">
        <v>165</v>
      </c>
      <c r="B361" s="54"/>
      <c r="C361" s="54"/>
      <c r="D361" s="54"/>
      <c r="E361" s="54"/>
      <c r="F361" s="54"/>
      <c r="G361" s="54"/>
      <c r="H361" s="54">
        <v>240</v>
      </c>
      <c r="I361" s="54"/>
      <c r="J361" s="54"/>
      <c r="K361" s="54"/>
      <c r="L361" s="54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193">
        <f t="shared" si="37"/>
        <v>240</v>
      </c>
    </row>
    <row r="362" spans="1:32" s="56" customFormat="1" ht="18" customHeight="1">
      <c r="A362" s="113" t="s">
        <v>166</v>
      </c>
      <c r="B362" s="53"/>
      <c r="C362" s="53"/>
      <c r="D362" s="53"/>
      <c r="E362" s="53"/>
      <c r="F362" s="53"/>
      <c r="G362" s="53"/>
      <c r="H362" s="53">
        <v>160</v>
      </c>
      <c r="I362" s="53"/>
      <c r="J362" s="53"/>
      <c r="K362" s="53"/>
      <c r="L362" s="53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193">
        <f t="shared" si="37"/>
        <v>160</v>
      </c>
    </row>
    <row r="363" spans="1:32" s="56" customFormat="1" ht="18" customHeight="1">
      <c r="A363" s="114" t="s">
        <v>167</v>
      </c>
      <c r="B363" s="54"/>
      <c r="C363" s="54"/>
      <c r="D363" s="54"/>
      <c r="E363" s="54"/>
      <c r="F363" s="54"/>
      <c r="G363" s="54"/>
      <c r="H363" s="54">
        <v>560</v>
      </c>
      <c r="I363" s="54"/>
      <c r="J363" s="54"/>
      <c r="K363" s="54"/>
      <c r="L363" s="54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193">
        <f t="shared" si="37"/>
        <v>560</v>
      </c>
    </row>
    <row r="364" spans="1:32" s="56" customFormat="1" ht="18" customHeight="1">
      <c r="A364" s="113" t="s">
        <v>168</v>
      </c>
      <c r="B364" s="53"/>
      <c r="C364" s="53"/>
      <c r="D364" s="53"/>
      <c r="E364" s="53"/>
      <c r="F364" s="53"/>
      <c r="G364" s="53"/>
      <c r="H364" s="53">
        <v>1440</v>
      </c>
      <c r="I364" s="53"/>
      <c r="J364" s="53"/>
      <c r="K364" s="53"/>
      <c r="L364" s="53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193">
        <f t="shared" si="37"/>
        <v>1440</v>
      </c>
    </row>
    <row r="365" spans="1:32" s="56" customFormat="1" ht="18" customHeight="1">
      <c r="A365" s="114" t="s">
        <v>169</v>
      </c>
      <c r="B365" s="54"/>
      <c r="C365" s="54"/>
      <c r="D365" s="54"/>
      <c r="E365" s="54"/>
      <c r="F365" s="54"/>
      <c r="G365" s="54"/>
      <c r="H365" s="54">
        <v>2880</v>
      </c>
      <c r="I365" s="54"/>
      <c r="J365" s="54"/>
      <c r="K365" s="54"/>
      <c r="L365" s="54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193">
        <f t="shared" si="37"/>
        <v>2880</v>
      </c>
    </row>
    <row r="366" spans="1:32" s="56" customFormat="1" ht="18" customHeight="1">
      <c r="A366" s="113" t="s">
        <v>170</v>
      </c>
      <c r="B366" s="53"/>
      <c r="C366" s="53"/>
      <c r="D366" s="53"/>
      <c r="E366" s="53"/>
      <c r="F366" s="53"/>
      <c r="G366" s="53"/>
      <c r="H366" s="53">
        <v>1200</v>
      </c>
      <c r="I366" s="53"/>
      <c r="J366" s="53"/>
      <c r="K366" s="53"/>
      <c r="L366" s="53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193">
        <f t="shared" si="37"/>
        <v>1200</v>
      </c>
    </row>
    <row r="367" spans="1:32" s="56" customFormat="1" ht="18" customHeight="1">
      <c r="A367" s="114" t="s">
        <v>171</v>
      </c>
      <c r="B367" s="54"/>
      <c r="C367" s="54"/>
      <c r="D367" s="54"/>
      <c r="E367" s="54"/>
      <c r="F367" s="54"/>
      <c r="G367" s="54"/>
      <c r="H367" s="54">
        <v>1280</v>
      </c>
      <c r="I367" s="54"/>
      <c r="J367" s="54"/>
      <c r="K367" s="54"/>
      <c r="L367" s="54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193">
        <f t="shared" si="37"/>
        <v>1280</v>
      </c>
    </row>
    <row r="368" spans="1:32" s="56" customFormat="1" ht="18" customHeight="1">
      <c r="A368" s="114" t="s">
        <v>173</v>
      </c>
      <c r="B368" s="54"/>
      <c r="C368" s="54"/>
      <c r="D368" s="54"/>
      <c r="E368" s="54"/>
      <c r="F368" s="54"/>
      <c r="G368" s="54"/>
      <c r="H368" s="54">
        <v>1120</v>
      </c>
      <c r="I368" s="54"/>
      <c r="J368" s="54"/>
      <c r="K368" s="54"/>
      <c r="L368" s="54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193">
        <f t="shared" si="37"/>
        <v>1120</v>
      </c>
    </row>
    <row r="369" spans="1:32" s="56" customFormat="1" ht="18" customHeight="1">
      <c r="A369" s="113" t="s">
        <v>174</v>
      </c>
      <c r="B369" s="53"/>
      <c r="C369" s="53"/>
      <c r="D369" s="53"/>
      <c r="E369" s="53"/>
      <c r="F369" s="53"/>
      <c r="G369" s="53"/>
      <c r="H369" s="53">
        <v>80</v>
      </c>
      <c r="I369" s="53"/>
      <c r="J369" s="53"/>
      <c r="K369" s="53"/>
      <c r="L369" s="53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193">
        <f t="shared" si="37"/>
        <v>80</v>
      </c>
    </row>
    <row r="370" spans="1:32" s="56" customFormat="1" ht="18" customHeight="1">
      <c r="A370" s="114" t="s">
        <v>175</v>
      </c>
      <c r="B370" s="54"/>
      <c r="C370" s="54"/>
      <c r="D370" s="54"/>
      <c r="E370" s="54"/>
      <c r="F370" s="54"/>
      <c r="G370" s="54"/>
      <c r="H370" s="54">
        <v>3200</v>
      </c>
      <c r="I370" s="54"/>
      <c r="J370" s="54"/>
      <c r="K370" s="54"/>
      <c r="L370" s="54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193">
        <f t="shared" si="37"/>
        <v>3200</v>
      </c>
    </row>
    <row r="371" spans="1:32" s="56" customFormat="1" ht="18" customHeight="1">
      <c r="A371" s="113" t="s">
        <v>178</v>
      </c>
      <c r="B371" s="53"/>
      <c r="C371" s="53"/>
      <c r="D371" s="53"/>
      <c r="E371" s="53"/>
      <c r="F371" s="53"/>
      <c r="G371" s="53"/>
      <c r="H371" s="53">
        <v>880</v>
      </c>
      <c r="I371" s="53"/>
      <c r="J371" s="53"/>
      <c r="K371" s="53"/>
      <c r="L371" s="53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193">
        <f t="shared" si="37"/>
        <v>880</v>
      </c>
    </row>
    <row r="372" spans="1:32" s="56" customFormat="1" ht="18" customHeight="1">
      <c r="A372" s="114" t="s">
        <v>177</v>
      </c>
      <c r="B372" s="50"/>
      <c r="C372" s="50"/>
      <c r="D372" s="50"/>
      <c r="E372" s="50"/>
      <c r="F372" s="50"/>
      <c r="G372" s="50"/>
      <c r="H372" s="50">
        <v>880</v>
      </c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193">
        <f t="shared" si="37"/>
        <v>880</v>
      </c>
    </row>
    <row r="373" spans="1:32" s="56" customFormat="1" ht="18" customHeight="1">
      <c r="A373" s="114" t="s">
        <v>225</v>
      </c>
      <c r="B373" s="50"/>
      <c r="C373" s="50"/>
      <c r="D373" s="50"/>
      <c r="E373" s="50"/>
      <c r="F373" s="50"/>
      <c r="G373" s="50"/>
      <c r="H373" s="50">
        <v>3600</v>
      </c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193">
        <f t="shared" si="37"/>
        <v>3600</v>
      </c>
    </row>
    <row r="374" spans="1:32" s="56" customFormat="1" ht="18" customHeight="1">
      <c r="A374" s="113" t="s">
        <v>300</v>
      </c>
      <c r="B374" s="53"/>
      <c r="C374" s="53"/>
      <c r="D374" s="53"/>
      <c r="E374" s="53"/>
      <c r="F374" s="53"/>
      <c r="G374" s="53"/>
      <c r="H374" s="53">
        <v>400</v>
      </c>
      <c r="I374" s="53"/>
      <c r="J374" s="53"/>
      <c r="K374" s="53"/>
      <c r="L374" s="53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193">
        <f t="shared" si="37"/>
        <v>400</v>
      </c>
    </row>
    <row r="375" spans="1:32" s="56" customFormat="1" ht="18" customHeight="1">
      <c r="A375" s="114" t="s">
        <v>210</v>
      </c>
      <c r="B375" s="50"/>
      <c r="C375" s="50"/>
      <c r="D375" s="50"/>
      <c r="E375" s="50"/>
      <c r="F375" s="50"/>
      <c r="G375" s="50"/>
      <c r="H375" s="50">
        <v>1560</v>
      </c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193">
        <f t="shared" si="37"/>
        <v>1560</v>
      </c>
    </row>
    <row r="376" spans="1:32" s="56" customFormat="1" ht="18" customHeight="1">
      <c r="A376" s="114" t="s">
        <v>211</v>
      </c>
      <c r="B376" s="54"/>
      <c r="C376" s="54"/>
      <c r="D376" s="54"/>
      <c r="E376" s="54"/>
      <c r="F376" s="54"/>
      <c r="G376" s="54"/>
      <c r="H376" s="54">
        <v>1320</v>
      </c>
      <c r="I376" s="54"/>
      <c r="J376" s="54"/>
      <c r="K376" s="54"/>
      <c r="L376" s="54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193">
        <f t="shared" si="37"/>
        <v>1320</v>
      </c>
    </row>
    <row r="377" spans="1:32" s="56" customFormat="1" ht="18" customHeight="1">
      <c r="A377" s="113" t="s">
        <v>218</v>
      </c>
      <c r="B377" s="53"/>
      <c r="C377" s="53"/>
      <c r="D377" s="53"/>
      <c r="E377" s="53"/>
      <c r="F377" s="53"/>
      <c r="G377" s="53"/>
      <c r="H377" s="53">
        <v>1320</v>
      </c>
      <c r="I377" s="53"/>
      <c r="J377" s="53"/>
      <c r="K377" s="53"/>
      <c r="L377" s="53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193">
        <f t="shared" si="37"/>
        <v>1320</v>
      </c>
    </row>
    <row r="378" spans="1:32" s="56" customFormat="1" ht="18" customHeight="1">
      <c r="A378" s="114" t="s">
        <v>219</v>
      </c>
      <c r="B378" s="54"/>
      <c r="C378" s="54"/>
      <c r="D378" s="54"/>
      <c r="E378" s="54"/>
      <c r="F378" s="54"/>
      <c r="G378" s="54"/>
      <c r="H378" s="54">
        <v>1080</v>
      </c>
      <c r="I378" s="54"/>
      <c r="J378" s="54"/>
      <c r="K378" s="54"/>
      <c r="L378" s="54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193">
        <f t="shared" si="37"/>
        <v>1080</v>
      </c>
    </row>
    <row r="379" spans="1:32" s="56" customFormat="1" ht="18" customHeight="1">
      <c r="A379" s="114" t="s">
        <v>213</v>
      </c>
      <c r="B379" s="54"/>
      <c r="C379" s="54"/>
      <c r="D379" s="54"/>
      <c r="E379" s="54"/>
      <c r="F379" s="54"/>
      <c r="G379" s="54"/>
      <c r="H379" s="54">
        <v>2040</v>
      </c>
      <c r="I379" s="54"/>
      <c r="J379" s="54"/>
      <c r="K379" s="54"/>
      <c r="L379" s="54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193">
        <f t="shared" si="37"/>
        <v>2040</v>
      </c>
    </row>
    <row r="380" spans="1:32" s="56" customFormat="1" ht="18" customHeight="1">
      <c r="A380" s="113" t="s">
        <v>222</v>
      </c>
      <c r="B380" s="53"/>
      <c r="C380" s="53"/>
      <c r="D380" s="53"/>
      <c r="E380" s="53"/>
      <c r="F380" s="53"/>
      <c r="G380" s="53"/>
      <c r="H380" s="53">
        <v>1800</v>
      </c>
      <c r="I380" s="53"/>
      <c r="J380" s="53"/>
      <c r="K380" s="53"/>
      <c r="L380" s="53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193">
        <f t="shared" si="37"/>
        <v>1800</v>
      </c>
    </row>
    <row r="381" spans="1:32" s="56" customFormat="1" ht="18" customHeight="1">
      <c r="A381" s="113" t="s">
        <v>144</v>
      </c>
      <c r="B381" s="53"/>
      <c r="C381" s="53"/>
      <c r="D381" s="53"/>
      <c r="E381" s="53"/>
      <c r="F381" s="53"/>
      <c r="G381" s="53"/>
      <c r="H381" s="53">
        <v>5920</v>
      </c>
      <c r="I381" s="53"/>
      <c r="J381" s="53"/>
      <c r="K381" s="53"/>
      <c r="L381" s="53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193">
        <f t="shared" si="37"/>
        <v>5920</v>
      </c>
    </row>
    <row r="382" spans="1:32" s="56" customFormat="1" ht="18" customHeight="1">
      <c r="A382" s="114" t="s">
        <v>145</v>
      </c>
      <c r="B382" s="54"/>
      <c r="C382" s="54"/>
      <c r="D382" s="54"/>
      <c r="E382" s="54"/>
      <c r="F382" s="54"/>
      <c r="G382" s="54"/>
      <c r="H382" s="54">
        <v>3520</v>
      </c>
      <c r="I382" s="54"/>
      <c r="J382" s="54"/>
      <c r="K382" s="54"/>
      <c r="L382" s="54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193">
        <f t="shared" si="37"/>
        <v>3520</v>
      </c>
    </row>
    <row r="383" spans="1:32" s="56" customFormat="1" ht="18" customHeight="1">
      <c r="A383" s="113" t="s">
        <v>146</v>
      </c>
      <c r="B383" s="53"/>
      <c r="C383" s="53"/>
      <c r="D383" s="53"/>
      <c r="E383" s="53"/>
      <c r="F383" s="53"/>
      <c r="G383" s="53"/>
      <c r="H383" s="53">
        <v>3840</v>
      </c>
      <c r="I383" s="53"/>
      <c r="J383" s="53"/>
      <c r="K383" s="53"/>
      <c r="L383" s="53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193">
        <f t="shared" si="37"/>
        <v>3840</v>
      </c>
    </row>
    <row r="384" spans="1:32" s="56" customFormat="1" ht="18" customHeight="1">
      <c r="A384" s="114" t="s">
        <v>140</v>
      </c>
      <c r="B384" s="54"/>
      <c r="C384" s="54"/>
      <c r="D384" s="54"/>
      <c r="E384" s="54"/>
      <c r="F384" s="54"/>
      <c r="G384" s="54"/>
      <c r="H384" s="54">
        <v>2880</v>
      </c>
      <c r="I384" s="54"/>
      <c r="J384" s="54"/>
      <c r="K384" s="54"/>
      <c r="L384" s="54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193">
        <f t="shared" si="37"/>
        <v>2880</v>
      </c>
    </row>
    <row r="385" spans="1:32" s="56" customFormat="1" ht="18" customHeight="1">
      <c r="A385" s="113" t="s">
        <v>297</v>
      </c>
      <c r="B385" s="53"/>
      <c r="C385" s="53"/>
      <c r="D385" s="53"/>
      <c r="E385" s="53"/>
      <c r="F385" s="53"/>
      <c r="G385" s="53"/>
      <c r="H385" s="53">
        <v>2880</v>
      </c>
      <c r="I385" s="53"/>
      <c r="J385" s="53"/>
      <c r="K385" s="53"/>
      <c r="L385" s="53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193">
        <f t="shared" si="37"/>
        <v>2880</v>
      </c>
    </row>
    <row r="386" spans="1:32" s="56" customFormat="1" ht="18" customHeight="1">
      <c r="A386" s="114" t="s">
        <v>141</v>
      </c>
      <c r="B386" s="54"/>
      <c r="C386" s="54"/>
      <c r="D386" s="54"/>
      <c r="E386" s="54"/>
      <c r="F386" s="54"/>
      <c r="G386" s="54"/>
      <c r="H386" s="54">
        <v>1120</v>
      </c>
      <c r="I386" s="54"/>
      <c r="J386" s="54"/>
      <c r="K386" s="54"/>
      <c r="L386" s="54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193">
        <f t="shared" si="37"/>
        <v>1120</v>
      </c>
    </row>
    <row r="387" spans="1:32" s="56" customFormat="1" ht="18" customHeight="1">
      <c r="A387" s="114" t="s">
        <v>277</v>
      </c>
      <c r="B387" s="54"/>
      <c r="C387" s="54"/>
      <c r="D387" s="54"/>
      <c r="E387" s="54"/>
      <c r="F387" s="54"/>
      <c r="G387" s="54"/>
      <c r="H387" s="54">
        <v>320</v>
      </c>
      <c r="I387" s="54"/>
      <c r="J387" s="54"/>
      <c r="K387" s="54"/>
      <c r="L387" s="54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193">
        <f t="shared" si="37"/>
        <v>320</v>
      </c>
    </row>
    <row r="388" spans="1:32" s="56" customFormat="1" ht="18" customHeight="1">
      <c r="A388" s="113" t="s">
        <v>143</v>
      </c>
      <c r="B388" s="53"/>
      <c r="C388" s="53"/>
      <c r="D388" s="53"/>
      <c r="E388" s="53"/>
      <c r="F388" s="53"/>
      <c r="G388" s="53"/>
      <c r="H388" s="53">
        <v>5440</v>
      </c>
      <c r="I388" s="53"/>
      <c r="J388" s="53"/>
      <c r="K388" s="53"/>
      <c r="L388" s="53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193">
        <f t="shared" si="37"/>
        <v>5440</v>
      </c>
    </row>
    <row r="389" spans="1:32" s="56" customFormat="1" ht="18" customHeight="1">
      <c r="A389" s="114" t="s">
        <v>322</v>
      </c>
      <c r="B389" s="54"/>
      <c r="C389" s="54"/>
      <c r="D389" s="54"/>
      <c r="E389" s="54"/>
      <c r="F389" s="54"/>
      <c r="G389" s="54"/>
      <c r="H389" s="54">
        <v>880</v>
      </c>
      <c r="I389" s="54"/>
      <c r="J389" s="54"/>
      <c r="K389" s="54"/>
      <c r="L389" s="54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193">
        <f t="shared" si="37"/>
        <v>880</v>
      </c>
    </row>
    <row r="390" spans="1:32" s="56" customFormat="1" ht="18" customHeight="1">
      <c r="A390" s="114" t="s">
        <v>324</v>
      </c>
      <c r="B390" s="54"/>
      <c r="C390" s="54"/>
      <c r="D390" s="54"/>
      <c r="E390" s="54"/>
      <c r="F390" s="54"/>
      <c r="G390" s="54"/>
      <c r="H390" s="54">
        <v>4960</v>
      </c>
      <c r="I390" s="54"/>
      <c r="J390" s="54"/>
      <c r="K390" s="54"/>
      <c r="L390" s="54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193">
        <f t="shared" si="37"/>
        <v>4960</v>
      </c>
    </row>
    <row r="391" spans="1:32" s="56" customFormat="1" ht="18" customHeight="1">
      <c r="A391" s="113" t="s">
        <v>325</v>
      </c>
      <c r="B391" s="53"/>
      <c r="C391" s="53"/>
      <c r="D391" s="53"/>
      <c r="E391" s="53"/>
      <c r="F391" s="53"/>
      <c r="G391" s="53"/>
      <c r="H391" s="53">
        <v>1200</v>
      </c>
      <c r="I391" s="53"/>
      <c r="J391" s="53"/>
      <c r="K391" s="53"/>
      <c r="L391" s="53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193">
        <f t="shared" si="37"/>
        <v>1200</v>
      </c>
    </row>
    <row r="392" spans="1:32" s="56" customFormat="1" ht="18" customHeight="1">
      <c r="A392" s="113" t="s">
        <v>188</v>
      </c>
      <c r="B392" s="53"/>
      <c r="C392" s="53"/>
      <c r="D392" s="53"/>
      <c r="E392" s="53"/>
      <c r="F392" s="53"/>
      <c r="G392" s="53"/>
      <c r="H392" s="53">
        <v>320</v>
      </c>
      <c r="I392" s="53"/>
      <c r="J392" s="53"/>
      <c r="K392" s="53"/>
      <c r="L392" s="53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193">
        <f t="shared" si="37"/>
        <v>320</v>
      </c>
    </row>
    <row r="393" spans="1:32" s="56" customFormat="1" ht="18" customHeight="1">
      <c r="A393" s="114" t="s">
        <v>185</v>
      </c>
      <c r="B393" s="54"/>
      <c r="C393" s="54"/>
      <c r="D393" s="54"/>
      <c r="E393" s="54"/>
      <c r="F393" s="54"/>
      <c r="G393" s="54"/>
      <c r="H393" s="54">
        <v>4480</v>
      </c>
      <c r="I393" s="54"/>
      <c r="J393" s="54"/>
      <c r="K393" s="54"/>
      <c r="L393" s="54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193">
        <f t="shared" si="37"/>
        <v>4480</v>
      </c>
    </row>
    <row r="394" spans="1:32" s="56" customFormat="1" ht="18" customHeight="1">
      <c r="A394" s="114" t="s">
        <v>318</v>
      </c>
      <c r="B394" s="54"/>
      <c r="C394" s="54"/>
      <c r="D394" s="54"/>
      <c r="E394" s="54"/>
      <c r="F394" s="54"/>
      <c r="G394" s="54"/>
      <c r="H394" s="54"/>
      <c r="I394" s="54"/>
      <c r="J394" s="54"/>
      <c r="K394" s="54">
        <v>2000</v>
      </c>
      <c r="L394" s="54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193">
        <f t="shared" si="37"/>
        <v>2000</v>
      </c>
    </row>
    <row r="395" spans="1:32" s="56" customFormat="1" ht="18" customHeight="1">
      <c r="A395" s="114" t="s">
        <v>87</v>
      </c>
      <c r="B395" s="54"/>
      <c r="C395" s="54"/>
      <c r="D395" s="54"/>
      <c r="E395" s="54"/>
      <c r="F395" s="54"/>
      <c r="G395" s="54"/>
      <c r="H395" s="54">
        <v>1600</v>
      </c>
      <c r="I395" s="54"/>
      <c r="J395" s="54"/>
      <c r="K395" s="54"/>
      <c r="L395" s="54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193">
        <f t="shared" si="37"/>
        <v>1600</v>
      </c>
    </row>
    <row r="396" spans="1:32" s="56" customFormat="1" ht="18" customHeight="1">
      <c r="A396" s="114" t="s">
        <v>148</v>
      </c>
      <c r="B396" s="50"/>
      <c r="C396" s="50"/>
      <c r="D396" s="50"/>
      <c r="E396" s="50"/>
      <c r="F396" s="50"/>
      <c r="G396" s="50"/>
      <c r="H396" s="50">
        <v>3840</v>
      </c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193">
        <f t="shared" si="37"/>
        <v>3840</v>
      </c>
    </row>
    <row r="397" spans="1:32" s="56" customFormat="1" ht="18" customHeight="1">
      <c r="A397" s="114" t="s">
        <v>190</v>
      </c>
      <c r="B397" s="50"/>
      <c r="C397" s="50"/>
      <c r="D397" s="50"/>
      <c r="E397" s="50"/>
      <c r="F397" s="50"/>
      <c r="G397" s="50"/>
      <c r="H397" s="50">
        <v>320</v>
      </c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193">
        <f t="shared" si="37"/>
        <v>320</v>
      </c>
    </row>
    <row r="398" spans="1:32" s="56" customFormat="1" ht="18" customHeight="1">
      <c r="A398" s="114" t="s">
        <v>71</v>
      </c>
      <c r="B398" s="54"/>
      <c r="C398" s="54"/>
      <c r="D398" s="54"/>
      <c r="E398" s="54"/>
      <c r="F398" s="54"/>
      <c r="G398" s="54"/>
      <c r="H398" s="54">
        <v>800</v>
      </c>
      <c r="I398" s="54"/>
      <c r="J398" s="54"/>
      <c r="K398" s="54"/>
      <c r="L398" s="54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193">
        <f t="shared" si="37"/>
        <v>800</v>
      </c>
    </row>
    <row r="399" spans="1:32" s="56" customFormat="1" ht="18" customHeight="1" thickBot="1">
      <c r="A399" s="157" t="s">
        <v>192</v>
      </c>
      <c r="B399" s="158"/>
      <c r="C399" s="158"/>
      <c r="D399" s="158"/>
      <c r="E399" s="158"/>
      <c r="F399" s="158"/>
      <c r="G399" s="158"/>
      <c r="H399" s="158"/>
      <c r="I399" s="158"/>
      <c r="J399" s="158"/>
      <c r="K399" s="158">
        <v>7000</v>
      </c>
      <c r="L399" s="158"/>
      <c r="M399" s="218"/>
      <c r="N399" s="218"/>
      <c r="O399" s="218"/>
      <c r="P399" s="218"/>
      <c r="Q399" s="218"/>
      <c r="R399" s="218"/>
      <c r="S399" s="218"/>
      <c r="T399" s="218"/>
      <c r="U399" s="218"/>
      <c r="V399" s="218"/>
      <c r="W399" s="218"/>
      <c r="X399" s="218"/>
      <c r="Y399" s="218"/>
      <c r="Z399" s="218"/>
      <c r="AA399" s="218"/>
      <c r="AB399" s="218"/>
      <c r="AC399" s="218"/>
      <c r="AD399" s="218"/>
      <c r="AE399" s="218"/>
      <c r="AF399" s="194">
        <f t="shared" si="37"/>
        <v>7000</v>
      </c>
    </row>
    <row r="400" spans="1:34" s="56" customFormat="1" ht="18" customHeight="1" thickBot="1">
      <c r="A400" s="112" t="s">
        <v>278</v>
      </c>
      <c r="B400" s="69">
        <f>SUM(B401:B401)</f>
        <v>164790</v>
      </c>
      <c r="C400" s="69">
        <f>SUM(C401:C401)</f>
        <v>13810</v>
      </c>
      <c r="D400" s="69"/>
      <c r="E400" s="69">
        <f>SUM(E401:E401)</f>
        <v>31420</v>
      </c>
      <c r="F400" s="69">
        <f>SUM(F401:F401)</f>
        <v>4480</v>
      </c>
      <c r="G400" s="69">
        <f>SUM(G401:G401)</f>
        <v>800</v>
      </c>
      <c r="H400" s="69"/>
      <c r="I400" s="69"/>
      <c r="J400" s="69"/>
      <c r="K400" s="69"/>
      <c r="L400" s="69"/>
      <c r="M400" s="216"/>
      <c r="N400" s="216">
        <f>SUM(N401:N401)</f>
        <v>13600</v>
      </c>
      <c r="O400" s="216"/>
      <c r="P400" s="216"/>
      <c r="Q400" s="216">
        <f aca="true" t="shared" si="40" ref="Q400:W400">SUM(Q401:Q401)</f>
        <v>22400</v>
      </c>
      <c r="R400" s="216">
        <f t="shared" si="40"/>
        <v>200</v>
      </c>
      <c r="S400" s="216">
        <f t="shared" si="40"/>
        <v>15700</v>
      </c>
      <c r="T400" s="216">
        <f t="shared" si="40"/>
        <v>1620</v>
      </c>
      <c r="U400" s="216">
        <f t="shared" si="40"/>
        <v>1800</v>
      </c>
      <c r="V400" s="216">
        <f t="shared" si="40"/>
        <v>2500</v>
      </c>
      <c r="W400" s="216">
        <f t="shared" si="40"/>
        <v>200</v>
      </c>
      <c r="X400" s="216"/>
      <c r="Y400" s="216"/>
      <c r="Z400" s="216">
        <f>SUM(Z401:Z401)</f>
        <v>6980</v>
      </c>
      <c r="AA400" s="216"/>
      <c r="AB400" s="216"/>
      <c r="AC400" s="216">
        <f>SUM(AC401:AC401)</f>
        <v>1200</v>
      </c>
      <c r="AD400" s="216">
        <f>SUM(AD401:AD401)</f>
        <v>1500</v>
      </c>
      <c r="AE400" s="216"/>
      <c r="AF400" s="191">
        <f t="shared" si="37"/>
        <v>283000</v>
      </c>
      <c r="AG400" s="51"/>
      <c r="AH400" s="51"/>
    </row>
    <row r="401" spans="1:34" s="56" customFormat="1" ht="18" customHeight="1" thickBot="1">
      <c r="A401" s="157" t="s">
        <v>200</v>
      </c>
      <c r="B401" s="149">
        <v>164790</v>
      </c>
      <c r="C401" s="149">
        <v>13810</v>
      </c>
      <c r="D401" s="149"/>
      <c r="E401" s="149">
        <v>31420</v>
      </c>
      <c r="F401" s="149">
        <v>4480</v>
      </c>
      <c r="G401" s="149">
        <v>800</v>
      </c>
      <c r="H401" s="149"/>
      <c r="I401" s="149"/>
      <c r="J401" s="149"/>
      <c r="K401" s="149"/>
      <c r="L401" s="149"/>
      <c r="M401" s="212"/>
      <c r="N401" s="212">
        <v>13600</v>
      </c>
      <c r="O401" s="212"/>
      <c r="P401" s="212"/>
      <c r="Q401" s="212">
        <v>22400</v>
      </c>
      <c r="R401" s="212">
        <v>200</v>
      </c>
      <c r="S401" s="212">
        <v>15700</v>
      </c>
      <c r="T401" s="212">
        <v>1620</v>
      </c>
      <c r="U401" s="212">
        <v>1800</v>
      </c>
      <c r="V401" s="212">
        <v>2500</v>
      </c>
      <c r="W401" s="212">
        <v>200</v>
      </c>
      <c r="X401" s="212"/>
      <c r="Y401" s="212"/>
      <c r="Z401" s="212">
        <v>6980</v>
      </c>
      <c r="AA401" s="212"/>
      <c r="AB401" s="212"/>
      <c r="AC401" s="212">
        <v>1200</v>
      </c>
      <c r="AD401" s="212">
        <v>1500</v>
      </c>
      <c r="AE401" s="212"/>
      <c r="AF401" s="190">
        <f t="shared" si="37"/>
        <v>283000</v>
      </c>
      <c r="AG401" s="51"/>
      <c r="AH401" s="51"/>
    </row>
    <row r="402" spans="1:34" s="56" customFormat="1" ht="18" customHeight="1" thickBot="1">
      <c r="A402" s="112" t="s">
        <v>338</v>
      </c>
      <c r="B402" s="69">
        <f aca="true" t="shared" si="41" ref="B402:G402">SUM(B403:B403)</f>
        <v>414400</v>
      </c>
      <c r="C402" s="69">
        <f t="shared" si="41"/>
        <v>31300</v>
      </c>
      <c r="D402" s="69">
        <f t="shared" si="41"/>
        <v>300</v>
      </c>
      <c r="E402" s="69">
        <f t="shared" si="41"/>
        <v>76300</v>
      </c>
      <c r="F402" s="69">
        <f t="shared" si="41"/>
        <v>10700</v>
      </c>
      <c r="G402" s="69">
        <f t="shared" si="41"/>
        <v>300</v>
      </c>
      <c r="H402" s="69"/>
      <c r="I402" s="69"/>
      <c r="J402" s="69"/>
      <c r="K402" s="69"/>
      <c r="L402" s="69"/>
      <c r="M402" s="216"/>
      <c r="N402" s="216">
        <f>SUM(N403:N403)</f>
        <v>8500</v>
      </c>
      <c r="O402" s="216"/>
      <c r="P402" s="216">
        <f>SUM(P403:P403)</f>
        <v>300</v>
      </c>
      <c r="Q402" s="216">
        <f>SUM(Q403:Q403)</f>
        <v>9000</v>
      </c>
      <c r="R402" s="216">
        <f>SUM(R403:R403)</f>
        <v>500</v>
      </c>
      <c r="S402" s="216">
        <f>SUM(S403:S403)</f>
        <v>9000</v>
      </c>
      <c r="T402" s="216">
        <f>SUM(T403:T403)</f>
        <v>1500</v>
      </c>
      <c r="U402" s="216"/>
      <c r="V402" s="216"/>
      <c r="W402" s="216">
        <f>SUM(W403:W403)</f>
        <v>800</v>
      </c>
      <c r="X402" s="216"/>
      <c r="Y402" s="216">
        <f>SUM(Y403:Y403)</f>
        <v>3000</v>
      </c>
      <c r="Z402" s="216">
        <f>SUM(Z403:Z403)</f>
        <v>24901</v>
      </c>
      <c r="AA402" s="216"/>
      <c r="AB402" s="216"/>
      <c r="AC402" s="216"/>
      <c r="AD402" s="216"/>
      <c r="AE402" s="216">
        <f>SUM(AE403:AE403)</f>
        <v>5000</v>
      </c>
      <c r="AF402" s="191">
        <f t="shared" si="37"/>
        <v>595801</v>
      </c>
      <c r="AG402" s="51"/>
      <c r="AH402" s="51"/>
    </row>
    <row r="403" spans="1:34" s="56" customFormat="1" ht="18" customHeight="1" thickBot="1">
      <c r="A403" s="157" t="s">
        <v>339</v>
      </c>
      <c r="B403" s="149">
        <v>414400</v>
      </c>
      <c r="C403" s="149">
        <v>31300</v>
      </c>
      <c r="D403" s="149">
        <v>300</v>
      </c>
      <c r="E403" s="149">
        <v>76300</v>
      </c>
      <c r="F403" s="149">
        <v>10700</v>
      </c>
      <c r="G403" s="149">
        <v>300</v>
      </c>
      <c r="H403" s="149"/>
      <c r="I403" s="149"/>
      <c r="J403" s="149"/>
      <c r="K403" s="149"/>
      <c r="L403" s="149"/>
      <c r="M403" s="212"/>
      <c r="N403" s="212">
        <v>8500</v>
      </c>
      <c r="O403" s="212"/>
      <c r="P403" s="212">
        <v>300</v>
      </c>
      <c r="Q403" s="212">
        <v>9000</v>
      </c>
      <c r="R403" s="212">
        <v>500</v>
      </c>
      <c r="S403" s="212">
        <v>9000</v>
      </c>
      <c r="T403" s="212">
        <v>1500</v>
      </c>
      <c r="U403" s="212"/>
      <c r="V403" s="212"/>
      <c r="W403" s="212">
        <v>800</v>
      </c>
      <c r="X403" s="212"/>
      <c r="Y403" s="212">
        <v>3000</v>
      </c>
      <c r="Z403" s="212">
        <f>801+24100</f>
        <v>24901</v>
      </c>
      <c r="AA403" s="212"/>
      <c r="AB403" s="212"/>
      <c r="AC403" s="212"/>
      <c r="AD403" s="212"/>
      <c r="AE403" s="212">
        <v>5000</v>
      </c>
      <c r="AF403" s="190">
        <f aca="true" t="shared" si="42" ref="AF403:AF466">SUM(B403:AE403)</f>
        <v>595801</v>
      </c>
      <c r="AG403" s="51"/>
      <c r="AH403" s="51"/>
    </row>
    <row r="404" spans="1:34" s="56" customFormat="1" ht="18" customHeight="1" thickBot="1">
      <c r="A404" s="120" t="s">
        <v>66</v>
      </c>
      <c r="B404" s="17">
        <f aca="true" t="shared" si="43" ref="B404:G404">SUM(B405:B452)</f>
        <v>3832880</v>
      </c>
      <c r="C404" s="17">
        <f t="shared" si="43"/>
        <v>317570</v>
      </c>
      <c r="D404" s="17">
        <f t="shared" si="43"/>
        <v>6000</v>
      </c>
      <c r="E404" s="17">
        <f t="shared" si="43"/>
        <v>718370</v>
      </c>
      <c r="F404" s="17">
        <f t="shared" si="43"/>
        <v>100430</v>
      </c>
      <c r="G404" s="17">
        <f t="shared" si="43"/>
        <v>35450</v>
      </c>
      <c r="H404" s="17"/>
      <c r="I404" s="17"/>
      <c r="J404" s="17"/>
      <c r="K404" s="17"/>
      <c r="L404" s="17"/>
      <c r="M404" s="205">
        <f>SUM(M405:M452)</f>
        <v>1500</v>
      </c>
      <c r="N404" s="205">
        <f>SUM(N405:N452)</f>
        <v>219160</v>
      </c>
      <c r="O404" s="205">
        <f>SUM(O405:O452)</f>
        <v>450000</v>
      </c>
      <c r="P404" s="205"/>
      <c r="Q404" s="205">
        <f>SUM(Q405:Q452)</f>
        <v>416330</v>
      </c>
      <c r="R404" s="205">
        <f>SUM(R405:R452)</f>
        <v>12640</v>
      </c>
      <c r="S404" s="205">
        <f>SUM(S405:S452)</f>
        <v>105160</v>
      </c>
      <c r="T404" s="205"/>
      <c r="U404" s="205">
        <f>SUM(U405:U452)</f>
        <v>550</v>
      </c>
      <c r="V404" s="205">
        <f>SUM(V405:V452)</f>
        <v>12650</v>
      </c>
      <c r="W404" s="205">
        <f>SUM(W405:W452)</f>
        <v>400</v>
      </c>
      <c r="X404" s="205"/>
      <c r="Y404" s="205">
        <f>SUM(Y405:Y452)</f>
        <v>3490</v>
      </c>
      <c r="Z404" s="205">
        <f>SUM(Z405:Z452)</f>
        <v>176970</v>
      </c>
      <c r="AA404" s="205"/>
      <c r="AB404" s="205">
        <f>SUM(AB405:AB452)</f>
        <v>1000</v>
      </c>
      <c r="AC404" s="205">
        <f>SUM(AC405:AC452)</f>
        <v>2700</v>
      </c>
      <c r="AD404" s="205">
        <f>SUM(AD405:AD452)</f>
        <v>2000</v>
      </c>
      <c r="AE404" s="205">
        <f>SUM(AE405:AE452)</f>
        <v>32000</v>
      </c>
      <c r="AF404" s="191">
        <f t="shared" si="42"/>
        <v>6447250</v>
      </c>
      <c r="AG404" s="51"/>
      <c r="AH404" s="51"/>
    </row>
    <row r="405" spans="1:34" s="56" customFormat="1" ht="18" customHeight="1">
      <c r="A405" s="113" t="s">
        <v>152</v>
      </c>
      <c r="B405" s="61">
        <v>70860</v>
      </c>
      <c r="C405" s="61">
        <v>6050</v>
      </c>
      <c r="D405" s="61"/>
      <c r="E405" s="61">
        <v>15120</v>
      </c>
      <c r="F405" s="61">
        <v>2070</v>
      </c>
      <c r="G405" s="61">
        <v>500</v>
      </c>
      <c r="H405" s="61"/>
      <c r="I405" s="61"/>
      <c r="J405" s="61"/>
      <c r="K405" s="61"/>
      <c r="L405" s="61"/>
      <c r="M405" s="209"/>
      <c r="N405" s="209">
        <v>5000</v>
      </c>
      <c r="O405" s="209"/>
      <c r="P405" s="209"/>
      <c r="Q405" s="209">
        <v>4500</v>
      </c>
      <c r="R405" s="209"/>
      <c r="S405" s="209">
        <v>3000</v>
      </c>
      <c r="T405" s="209"/>
      <c r="U405" s="209"/>
      <c r="V405" s="209"/>
      <c r="W405" s="209"/>
      <c r="X405" s="209"/>
      <c r="Y405" s="209"/>
      <c r="Z405" s="209">
        <v>3650</v>
      </c>
      <c r="AA405" s="209"/>
      <c r="AB405" s="209">
        <v>500</v>
      </c>
      <c r="AC405" s="209"/>
      <c r="AD405" s="209"/>
      <c r="AE405" s="209"/>
      <c r="AF405" s="192">
        <f t="shared" si="42"/>
        <v>111250</v>
      </c>
      <c r="AG405" s="51"/>
      <c r="AH405" s="51"/>
    </row>
    <row r="406" spans="1:34" s="56" customFormat="1" ht="18" customHeight="1">
      <c r="A406" s="114" t="s">
        <v>153</v>
      </c>
      <c r="B406" s="60">
        <v>80100</v>
      </c>
      <c r="C406" s="60">
        <v>6550</v>
      </c>
      <c r="D406" s="60"/>
      <c r="E406" s="60">
        <v>15200</v>
      </c>
      <c r="F406" s="60">
        <v>2150</v>
      </c>
      <c r="G406" s="60">
        <v>1000</v>
      </c>
      <c r="H406" s="60"/>
      <c r="I406" s="60"/>
      <c r="J406" s="60"/>
      <c r="K406" s="60"/>
      <c r="L406" s="60"/>
      <c r="M406" s="207"/>
      <c r="N406" s="207">
        <v>5500</v>
      </c>
      <c r="O406" s="207"/>
      <c r="P406" s="207"/>
      <c r="Q406" s="207">
        <v>2000</v>
      </c>
      <c r="R406" s="207">
        <v>200</v>
      </c>
      <c r="S406" s="207">
        <v>2000</v>
      </c>
      <c r="T406" s="207"/>
      <c r="U406" s="207"/>
      <c r="V406" s="207"/>
      <c r="W406" s="207"/>
      <c r="X406" s="207"/>
      <c r="Y406" s="207"/>
      <c r="Z406" s="207">
        <v>2960</v>
      </c>
      <c r="AA406" s="207"/>
      <c r="AB406" s="207"/>
      <c r="AC406" s="207"/>
      <c r="AD406" s="207"/>
      <c r="AE406" s="207"/>
      <c r="AF406" s="193">
        <f t="shared" si="42"/>
        <v>117660</v>
      </c>
      <c r="AG406" s="51"/>
      <c r="AH406" s="51"/>
    </row>
    <row r="407" spans="1:32" ht="18" customHeight="1">
      <c r="A407" s="114" t="s">
        <v>154</v>
      </c>
      <c r="B407" s="61">
        <v>60890</v>
      </c>
      <c r="C407" s="61">
        <v>5030</v>
      </c>
      <c r="D407" s="61"/>
      <c r="E407" s="61">
        <v>11810</v>
      </c>
      <c r="F407" s="61">
        <v>1620</v>
      </c>
      <c r="G407" s="61">
        <v>150</v>
      </c>
      <c r="H407" s="61"/>
      <c r="I407" s="61"/>
      <c r="J407" s="61"/>
      <c r="K407" s="61"/>
      <c r="L407" s="61"/>
      <c r="M407" s="209"/>
      <c r="N407" s="209">
        <v>2500</v>
      </c>
      <c r="O407" s="209"/>
      <c r="P407" s="209"/>
      <c r="Q407" s="209">
        <v>3300</v>
      </c>
      <c r="R407" s="209">
        <v>200</v>
      </c>
      <c r="S407" s="209">
        <v>2000</v>
      </c>
      <c r="T407" s="209"/>
      <c r="U407" s="209"/>
      <c r="V407" s="209"/>
      <c r="W407" s="209"/>
      <c r="X407" s="209"/>
      <c r="Y407" s="209"/>
      <c r="Z407" s="209">
        <v>3040</v>
      </c>
      <c r="AA407" s="209"/>
      <c r="AB407" s="209"/>
      <c r="AC407" s="209"/>
      <c r="AD407" s="209"/>
      <c r="AE407" s="209"/>
      <c r="AF407" s="193">
        <f t="shared" si="42"/>
        <v>90540</v>
      </c>
    </row>
    <row r="408" spans="1:32" s="49" customFormat="1" ht="18" customHeight="1">
      <c r="A408" s="114" t="s">
        <v>155</v>
      </c>
      <c r="B408" s="60">
        <v>79750</v>
      </c>
      <c r="C408" s="60">
        <v>7100</v>
      </c>
      <c r="D408" s="60"/>
      <c r="E408" s="60">
        <v>15290</v>
      </c>
      <c r="F408" s="60">
        <v>2160</v>
      </c>
      <c r="G408" s="60">
        <v>1000</v>
      </c>
      <c r="H408" s="60"/>
      <c r="I408" s="60"/>
      <c r="J408" s="60"/>
      <c r="K408" s="60"/>
      <c r="L408" s="60"/>
      <c r="M408" s="207"/>
      <c r="N408" s="207">
        <v>7000</v>
      </c>
      <c r="O408" s="207"/>
      <c r="P408" s="207"/>
      <c r="Q408" s="207">
        <v>2500</v>
      </c>
      <c r="R408" s="207"/>
      <c r="S408" s="207">
        <v>1000</v>
      </c>
      <c r="T408" s="207"/>
      <c r="U408" s="207"/>
      <c r="V408" s="207"/>
      <c r="W408" s="207"/>
      <c r="X408" s="207"/>
      <c r="Y408" s="207"/>
      <c r="Z408" s="207">
        <v>3060</v>
      </c>
      <c r="AA408" s="207"/>
      <c r="AB408" s="207"/>
      <c r="AC408" s="207"/>
      <c r="AD408" s="207"/>
      <c r="AE408" s="207"/>
      <c r="AF408" s="193">
        <f t="shared" si="42"/>
        <v>118860</v>
      </c>
    </row>
    <row r="409" spans="1:32" s="49" customFormat="1" ht="18" customHeight="1">
      <c r="A409" s="114" t="s">
        <v>156</v>
      </c>
      <c r="B409" s="61">
        <v>60800</v>
      </c>
      <c r="C409" s="61">
        <v>5490</v>
      </c>
      <c r="D409" s="61"/>
      <c r="E409" s="61">
        <v>11560</v>
      </c>
      <c r="F409" s="61">
        <v>1590</v>
      </c>
      <c r="G409" s="61">
        <v>2000</v>
      </c>
      <c r="H409" s="61"/>
      <c r="I409" s="61"/>
      <c r="J409" s="61"/>
      <c r="K409" s="61"/>
      <c r="L409" s="61"/>
      <c r="M409" s="209"/>
      <c r="N409" s="209">
        <v>2500</v>
      </c>
      <c r="O409" s="209"/>
      <c r="P409" s="209"/>
      <c r="Q409" s="209">
        <v>1000</v>
      </c>
      <c r="R409" s="209">
        <v>100</v>
      </c>
      <c r="S409" s="209">
        <v>1000</v>
      </c>
      <c r="T409" s="209"/>
      <c r="U409" s="209"/>
      <c r="V409" s="209"/>
      <c r="W409" s="209"/>
      <c r="X409" s="209"/>
      <c r="Y409" s="209"/>
      <c r="Z409" s="209">
        <v>2900</v>
      </c>
      <c r="AA409" s="209"/>
      <c r="AB409" s="209"/>
      <c r="AC409" s="209"/>
      <c r="AD409" s="209"/>
      <c r="AE409" s="209"/>
      <c r="AF409" s="193">
        <f t="shared" si="42"/>
        <v>88940</v>
      </c>
    </row>
    <row r="410" spans="1:32" s="49" customFormat="1" ht="18" customHeight="1">
      <c r="A410" s="114" t="s">
        <v>157</v>
      </c>
      <c r="B410" s="60">
        <v>40890</v>
      </c>
      <c r="C410" s="60">
        <v>3500</v>
      </c>
      <c r="D410" s="60"/>
      <c r="E410" s="60">
        <v>7890</v>
      </c>
      <c r="F410" s="60">
        <v>1090</v>
      </c>
      <c r="G410" s="60">
        <v>1000</v>
      </c>
      <c r="H410" s="60"/>
      <c r="I410" s="60"/>
      <c r="J410" s="60"/>
      <c r="K410" s="60"/>
      <c r="L410" s="60"/>
      <c r="M410" s="207"/>
      <c r="N410" s="207">
        <v>3000</v>
      </c>
      <c r="O410" s="207"/>
      <c r="P410" s="207"/>
      <c r="Q410" s="207">
        <v>3000</v>
      </c>
      <c r="R410" s="207"/>
      <c r="S410" s="207">
        <v>1500</v>
      </c>
      <c r="T410" s="207"/>
      <c r="U410" s="207"/>
      <c r="V410" s="207"/>
      <c r="W410" s="207"/>
      <c r="X410" s="207"/>
      <c r="Y410" s="207"/>
      <c r="Z410" s="207">
        <v>2250</v>
      </c>
      <c r="AA410" s="207"/>
      <c r="AB410" s="207"/>
      <c r="AC410" s="207"/>
      <c r="AD410" s="207"/>
      <c r="AE410" s="207"/>
      <c r="AF410" s="193">
        <f t="shared" si="42"/>
        <v>64120</v>
      </c>
    </row>
    <row r="411" spans="1:32" s="49" customFormat="1" ht="18" customHeight="1">
      <c r="A411" s="114" t="s">
        <v>158</v>
      </c>
      <c r="B411" s="61">
        <v>70350</v>
      </c>
      <c r="C411" s="61">
        <v>5300</v>
      </c>
      <c r="D411" s="61"/>
      <c r="E411" s="61">
        <v>13550</v>
      </c>
      <c r="F411" s="61">
        <v>1940</v>
      </c>
      <c r="G411" s="61">
        <v>530</v>
      </c>
      <c r="H411" s="61"/>
      <c r="I411" s="61"/>
      <c r="J411" s="61"/>
      <c r="K411" s="61"/>
      <c r="L411" s="61"/>
      <c r="M411" s="209"/>
      <c r="N411" s="209">
        <v>1580</v>
      </c>
      <c r="O411" s="209"/>
      <c r="P411" s="209"/>
      <c r="Q411" s="209"/>
      <c r="R411" s="209">
        <v>270</v>
      </c>
      <c r="S411" s="209">
        <v>1140</v>
      </c>
      <c r="T411" s="209"/>
      <c r="U411" s="209"/>
      <c r="V411" s="209"/>
      <c r="W411" s="209"/>
      <c r="X411" s="209"/>
      <c r="Y411" s="209"/>
      <c r="Z411" s="209">
        <v>2870</v>
      </c>
      <c r="AA411" s="209"/>
      <c r="AB411" s="209"/>
      <c r="AC411" s="209"/>
      <c r="AD411" s="209"/>
      <c r="AE411" s="209"/>
      <c r="AF411" s="193">
        <f t="shared" si="42"/>
        <v>97530</v>
      </c>
    </row>
    <row r="412" spans="1:32" s="49" customFormat="1" ht="18" customHeight="1">
      <c r="A412" s="114" t="s">
        <v>159</v>
      </c>
      <c r="B412" s="60">
        <v>70400</v>
      </c>
      <c r="C412" s="60">
        <v>6930</v>
      </c>
      <c r="D412" s="60"/>
      <c r="E412" s="60">
        <v>14450</v>
      </c>
      <c r="F412" s="60">
        <v>2040</v>
      </c>
      <c r="G412" s="60">
        <v>500</v>
      </c>
      <c r="H412" s="60"/>
      <c r="I412" s="60"/>
      <c r="J412" s="60"/>
      <c r="K412" s="60"/>
      <c r="L412" s="60"/>
      <c r="M412" s="207"/>
      <c r="N412" s="207">
        <v>2000</v>
      </c>
      <c r="O412" s="207"/>
      <c r="P412" s="207"/>
      <c r="Q412" s="207">
        <v>2000</v>
      </c>
      <c r="R412" s="207">
        <v>300</v>
      </c>
      <c r="S412" s="207">
        <v>1000</v>
      </c>
      <c r="T412" s="207"/>
      <c r="U412" s="207"/>
      <c r="V412" s="207"/>
      <c r="W412" s="207"/>
      <c r="X412" s="207"/>
      <c r="Y412" s="207"/>
      <c r="Z412" s="207">
        <v>3880</v>
      </c>
      <c r="AA412" s="207"/>
      <c r="AB412" s="207"/>
      <c r="AC412" s="207"/>
      <c r="AD412" s="207"/>
      <c r="AE412" s="207"/>
      <c r="AF412" s="193">
        <f t="shared" si="42"/>
        <v>103500</v>
      </c>
    </row>
    <row r="413" spans="1:32" s="49" customFormat="1" ht="18" customHeight="1">
      <c r="A413" s="114" t="s">
        <v>160</v>
      </c>
      <c r="B413" s="61">
        <v>70200</v>
      </c>
      <c r="C413" s="61">
        <v>6370</v>
      </c>
      <c r="D413" s="61"/>
      <c r="E413" s="61">
        <v>15030</v>
      </c>
      <c r="F413" s="61">
        <v>2050</v>
      </c>
      <c r="G413" s="61"/>
      <c r="H413" s="61"/>
      <c r="I413" s="61"/>
      <c r="J413" s="61"/>
      <c r="K413" s="61"/>
      <c r="L413" s="61"/>
      <c r="M413" s="209"/>
      <c r="N413" s="209">
        <v>10000</v>
      </c>
      <c r="O413" s="209"/>
      <c r="P413" s="209"/>
      <c r="Q413" s="209">
        <v>6000</v>
      </c>
      <c r="R413" s="209">
        <v>800</v>
      </c>
      <c r="S413" s="209">
        <v>2000</v>
      </c>
      <c r="T413" s="209"/>
      <c r="U413" s="209"/>
      <c r="V413" s="209"/>
      <c r="W413" s="209">
        <v>200</v>
      </c>
      <c r="X413" s="209"/>
      <c r="Y413" s="209"/>
      <c r="Z413" s="209">
        <v>3030</v>
      </c>
      <c r="AA413" s="209"/>
      <c r="AB413" s="209"/>
      <c r="AC413" s="209"/>
      <c r="AD413" s="209"/>
      <c r="AE413" s="209"/>
      <c r="AF413" s="193">
        <f t="shared" si="42"/>
        <v>115680</v>
      </c>
    </row>
    <row r="414" spans="1:32" s="49" customFormat="1" ht="18" customHeight="1">
      <c r="A414" s="114" t="s">
        <v>161</v>
      </c>
      <c r="B414" s="60">
        <v>49410</v>
      </c>
      <c r="C414" s="60">
        <v>5000</v>
      </c>
      <c r="D414" s="60"/>
      <c r="E414" s="60">
        <v>10480</v>
      </c>
      <c r="F414" s="60">
        <v>1470</v>
      </c>
      <c r="G414" s="60">
        <v>600</v>
      </c>
      <c r="H414" s="60"/>
      <c r="I414" s="60"/>
      <c r="J414" s="60"/>
      <c r="K414" s="60"/>
      <c r="L414" s="60"/>
      <c r="M414" s="207"/>
      <c r="N414" s="207">
        <v>5400</v>
      </c>
      <c r="O414" s="207"/>
      <c r="P414" s="207"/>
      <c r="Q414" s="207">
        <v>3200</v>
      </c>
      <c r="R414" s="207">
        <v>300</v>
      </c>
      <c r="S414" s="207">
        <v>2000</v>
      </c>
      <c r="T414" s="207"/>
      <c r="U414" s="207"/>
      <c r="V414" s="207"/>
      <c r="W414" s="207"/>
      <c r="X414" s="207"/>
      <c r="Y414" s="207"/>
      <c r="Z414" s="207">
        <v>3120</v>
      </c>
      <c r="AA414" s="207"/>
      <c r="AB414" s="207"/>
      <c r="AC414" s="207"/>
      <c r="AD414" s="207"/>
      <c r="AE414" s="207"/>
      <c r="AF414" s="193">
        <f t="shared" si="42"/>
        <v>80980</v>
      </c>
    </row>
    <row r="415" spans="1:32" s="49" customFormat="1" ht="18" customHeight="1">
      <c r="A415" s="114" t="s">
        <v>162</v>
      </c>
      <c r="B415" s="61">
        <v>80280</v>
      </c>
      <c r="C415" s="61">
        <v>5600</v>
      </c>
      <c r="D415" s="61"/>
      <c r="E415" s="61">
        <v>15670</v>
      </c>
      <c r="F415" s="61">
        <v>2230</v>
      </c>
      <c r="G415" s="61">
        <v>800</v>
      </c>
      <c r="H415" s="61"/>
      <c r="I415" s="61"/>
      <c r="J415" s="61"/>
      <c r="K415" s="61"/>
      <c r="L415" s="61"/>
      <c r="M415" s="209"/>
      <c r="N415" s="209">
        <v>2000</v>
      </c>
      <c r="O415" s="209"/>
      <c r="P415" s="209"/>
      <c r="Q415" s="209">
        <v>3600</v>
      </c>
      <c r="R415" s="209">
        <v>300</v>
      </c>
      <c r="S415" s="209">
        <v>2200</v>
      </c>
      <c r="T415" s="209"/>
      <c r="U415" s="209"/>
      <c r="V415" s="209"/>
      <c r="W415" s="209"/>
      <c r="X415" s="209"/>
      <c r="Y415" s="209"/>
      <c r="Z415" s="209">
        <v>3850</v>
      </c>
      <c r="AA415" s="209"/>
      <c r="AB415" s="209"/>
      <c r="AC415" s="209"/>
      <c r="AD415" s="209"/>
      <c r="AE415" s="209"/>
      <c r="AF415" s="193">
        <f t="shared" si="42"/>
        <v>116530</v>
      </c>
    </row>
    <row r="416" spans="1:32" s="49" customFormat="1" ht="18" customHeight="1">
      <c r="A416" s="114" t="s">
        <v>163</v>
      </c>
      <c r="B416" s="60">
        <v>70570</v>
      </c>
      <c r="C416" s="60">
        <v>5000</v>
      </c>
      <c r="D416" s="60"/>
      <c r="E416" s="60">
        <v>14050</v>
      </c>
      <c r="F416" s="60">
        <v>1910</v>
      </c>
      <c r="G416" s="60">
        <v>300</v>
      </c>
      <c r="H416" s="60"/>
      <c r="I416" s="60"/>
      <c r="J416" s="60"/>
      <c r="K416" s="60"/>
      <c r="L416" s="60"/>
      <c r="M416" s="207"/>
      <c r="N416" s="207">
        <v>1500</v>
      </c>
      <c r="O416" s="207"/>
      <c r="P416" s="207"/>
      <c r="Q416" s="207">
        <v>4000</v>
      </c>
      <c r="R416" s="207">
        <v>300</v>
      </c>
      <c r="S416" s="207">
        <v>1850</v>
      </c>
      <c r="T416" s="207"/>
      <c r="U416" s="207"/>
      <c r="V416" s="207"/>
      <c r="W416" s="207"/>
      <c r="X416" s="207"/>
      <c r="Y416" s="207"/>
      <c r="Z416" s="207">
        <v>3240</v>
      </c>
      <c r="AA416" s="207"/>
      <c r="AB416" s="207"/>
      <c r="AC416" s="207"/>
      <c r="AD416" s="207"/>
      <c r="AE416" s="207"/>
      <c r="AF416" s="193">
        <f t="shared" si="42"/>
        <v>102720</v>
      </c>
    </row>
    <row r="417" spans="1:32" s="49" customFormat="1" ht="18" customHeight="1">
      <c r="A417" s="114" t="s">
        <v>164</v>
      </c>
      <c r="B417" s="61">
        <v>59140</v>
      </c>
      <c r="C417" s="61">
        <v>5100</v>
      </c>
      <c r="D417" s="61"/>
      <c r="E417" s="61">
        <v>10260</v>
      </c>
      <c r="F417" s="61">
        <v>1470</v>
      </c>
      <c r="G417" s="61">
        <v>800</v>
      </c>
      <c r="H417" s="61"/>
      <c r="I417" s="61"/>
      <c r="J417" s="61"/>
      <c r="K417" s="61"/>
      <c r="L417" s="61"/>
      <c r="M417" s="209"/>
      <c r="N417" s="209">
        <v>3500</v>
      </c>
      <c r="O417" s="209"/>
      <c r="P417" s="209"/>
      <c r="Q417" s="209">
        <v>4200</v>
      </c>
      <c r="R417" s="209">
        <v>250</v>
      </c>
      <c r="S417" s="209">
        <v>1000</v>
      </c>
      <c r="T417" s="209"/>
      <c r="U417" s="209"/>
      <c r="V417" s="209"/>
      <c r="W417" s="209"/>
      <c r="X417" s="209"/>
      <c r="Y417" s="209"/>
      <c r="Z417" s="209">
        <v>3420</v>
      </c>
      <c r="AA417" s="209"/>
      <c r="AB417" s="209"/>
      <c r="AC417" s="209"/>
      <c r="AD417" s="209"/>
      <c r="AE417" s="209"/>
      <c r="AF417" s="193">
        <f t="shared" si="42"/>
        <v>89140</v>
      </c>
    </row>
    <row r="418" spans="1:32" s="49" customFormat="1" ht="18" customHeight="1">
      <c r="A418" s="114" t="s">
        <v>165</v>
      </c>
      <c r="B418" s="60">
        <v>95330</v>
      </c>
      <c r="C418" s="60">
        <v>9000</v>
      </c>
      <c r="D418" s="60"/>
      <c r="E418" s="60">
        <v>19340</v>
      </c>
      <c r="F418" s="60">
        <v>2730</v>
      </c>
      <c r="G418" s="60">
        <v>2000</v>
      </c>
      <c r="H418" s="60"/>
      <c r="I418" s="60"/>
      <c r="J418" s="60"/>
      <c r="K418" s="60"/>
      <c r="L418" s="60"/>
      <c r="M418" s="207"/>
      <c r="N418" s="207">
        <v>7000</v>
      </c>
      <c r="O418" s="207"/>
      <c r="P418" s="207"/>
      <c r="Q418" s="207">
        <v>7000</v>
      </c>
      <c r="R418" s="207">
        <v>800</v>
      </c>
      <c r="S418" s="207">
        <v>2000</v>
      </c>
      <c r="T418" s="207"/>
      <c r="U418" s="207"/>
      <c r="V418" s="207"/>
      <c r="W418" s="207"/>
      <c r="X418" s="207"/>
      <c r="Y418" s="207"/>
      <c r="Z418" s="207">
        <v>4050</v>
      </c>
      <c r="AA418" s="207"/>
      <c r="AB418" s="207"/>
      <c r="AC418" s="207"/>
      <c r="AD418" s="207"/>
      <c r="AE418" s="207"/>
      <c r="AF418" s="193">
        <f t="shared" si="42"/>
        <v>149250</v>
      </c>
    </row>
    <row r="419" spans="1:32" s="56" customFormat="1" ht="18" customHeight="1">
      <c r="A419" s="114" t="s">
        <v>166</v>
      </c>
      <c r="B419" s="61">
        <v>70440</v>
      </c>
      <c r="C419" s="61">
        <v>7420</v>
      </c>
      <c r="D419" s="61"/>
      <c r="E419" s="61">
        <v>14170</v>
      </c>
      <c r="F419" s="61">
        <v>2030</v>
      </c>
      <c r="G419" s="61">
        <v>1500</v>
      </c>
      <c r="H419" s="61"/>
      <c r="I419" s="61"/>
      <c r="J419" s="61"/>
      <c r="K419" s="61"/>
      <c r="L419" s="61"/>
      <c r="M419" s="209">
        <v>1500</v>
      </c>
      <c r="N419" s="209">
        <v>4000</v>
      </c>
      <c r="O419" s="209"/>
      <c r="P419" s="209"/>
      <c r="Q419" s="209">
        <v>4000</v>
      </c>
      <c r="R419" s="209">
        <v>400</v>
      </c>
      <c r="S419" s="209">
        <v>3000</v>
      </c>
      <c r="T419" s="209"/>
      <c r="U419" s="209"/>
      <c r="V419" s="209"/>
      <c r="W419" s="209"/>
      <c r="X419" s="209"/>
      <c r="Y419" s="209"/>
      <c r="Z419" s="209">
        <v>3060</v>
      </c>
      <c r="AA419" s="209"/>
      <c r="AB419" s="209"/>
      <c r="AC419" s="209"/>
      <c r="AD419" s="209"/>
      <c r="AE419" s="209"/>
      <c r="AF419" s="193">
        <f t="shared" si="42"/>
        <v>111520</v>
      </c>
    </row>
    <row r="420" spans="1:32" s="56" customFormat="1" ht="18" customHeight="1">
      <c r="A420" s="114" t="s">
        <v>167</v>
      </c>
      <c r="B420" s="60">
        <v>110390</v>
      </c>
      <c r="C420" s="60">
        <v>8650</v>
      </c>
      <c r="D420" s="60"/>
      <c r="E420" s="60">
        <v>19160</v>
      </c>
      <c r="F420" s="60">
        <v>2740</v>
      </c>
      <c r="G420" s="60">
        <v>1000</v>
      </c>
      <c r="H420" s="60"/>
      <c r="I420" s="60"/>
      <c r="J420" s="60"/>
      <c r="K420" s="60"/>
      <c r="L420" s="60"/>
      <c r="M420" s="207"/>
      <c r="N420" s="207">
        <v>5500</v>
      </c>
      <c r="O420" s="207"/>
      <c r="P420" s="207"/>
      <c r="Q420" s="207">
        <v>8000</v>
      </c>
      <c r="R420" s="207">
        <v>270</v>
      </c>
      <c r="S420" s="207">
        <v>2500</v>
      </c>
      <c r="T420" s="207"/>
      <c r="U420" s="207"/>
      <c r="V420" s="207"/>
      <c r="W420" s="207"/>
      <c r="X420" s="207"/>
      <c r="Y420" s="207"/>
      <c r="Z420" s="207">
        <v>4050</v>
      </c>
      <c r="AA420" s="207"/>
      <c r="AB420" s="207"/>
      <c r="AC420" s="207"/>
      <c r="AD420" s="207"/>
      <c r="AE420" s="207"/>
      <c r="AF420" s="193">
        <f t="shared" si="42"/>
        <v>162260</v>
      </c>
    </row>
    <row r="421" spans="1:32" s="56" customFormat="1" ht="18" customHeight="1">
      <c r="A421" s="114" t="s">
        <v>168</v>
      </c>
      <c r="B421" s="61">
        <v>75580</v>
      </c>
      <c r="C421" s="61">
        <v>5330</v>
      </c>
      <c r="D421" s="61">
        <v>2000</v>
      </c>
      <c r="E421" s="61">
        <v>12610</v>
      </c>
      <c r="F421" s="61">
        <v>1780</v>
      </c>
      <c r="G421" s="61">
        <v>1000</v>
      </c>
      <c r="H421" s="61"/>
      <c r="I421" s="61"/>
      <c r="J421" s="61"/>
      <c r="K421" s="61"/>
      <c r="L421" s="61"/>
      <c r="M421" s="209"/>
      <c r="N421" s="209">
        <v>2410</v>
      </c>
      <c r="O421" s="209"/>
      <c r="P421" s="209"/>
      <c r="Q421" s="209">
        <v>2400</v>
      </c>
      <c r="R421" s="209">
        <v>150</v>
      </c>
      <c r="S421" s="209">
        <v>930</v>
      </c>
      <c r="T421" s="209"/>
      <c r="U421" s="209"/>
      <c r="V421" s="209"/>
      <c r="W421" s="209"/>
      <c r="X421" s="209"/>
      <c r="Y421" s="209"/>
      <c r="Z421" s="209">
        <v>3280</v>
      </c>
      <c r="AA421" s="209"/>
      <c r="AB421" s="209"/>
      <c r="AC421" s="209"/>
      <c r="AD421" s="209"/>
      <c r="AE421" s="209"/>
      <c r="AF421" s="193">
        <f t="shared" si="42"/>
        <v>107470</v>
      </c>
    </row>
    <row r="422" spans="1:32" s="56" customFormat="1" ht="18" customHeight="1">
      <c r="A422" s="114" t="s">
        <v>169</v>
      </c>
      <c r="B422" s="60">
        <v>80810</v>
      </c>
      <c r="C422" s="60">
        <v>6870</v>
      </c>
      <c r="D422" s="60"/>
      <c r="E422" s="60">
        <v>15460</v>
      </c>
      <c r="F422" s="60">
        <v>2120</v>
      </c>
      <c r="G422" s="60">
        <v>1800</v>
      </c>
      <c r="H422" s="60"/>
      <c r="I422" s="60"/>
      <c r="J422" s="60"/>
      <c r="K422" s="60"/>
      <c r="L422" s="60"/>
      <c r="M422" s="207"/>
      <c r="N422" s="207">
        <v>3000</v>
      </c>
      <c r="O422" s="207"/>
      <c r="P422" s="207"/>
      <c r="Q422" s="207">
        <v>4000</v>
      </c>
      <c r="R422" s="207">
        <v>200</v>
      </c>
      <c r="S422" s="207"/>
      <c r="T422" s="207"/>
      <c r="U422" s="207"/>
      <c r="V422" s="207"/>
      <c r="W422" s="207">
        <v>200</v>
      </c>
      <c r="X422" s="207"/>
      <c r="Y422" s="207"/>
      <c r="Z422" s="207">
        <v>3630</v>
      </c>
      <c r="AA422" s="207"/>
      <c r="AB422" s="207"/>
      <c r="AC422" s="207"/>
      <c r="AD422" s="207"/>
      <c r="AE422" s="207"/>
      <c r="AF422" s="193">
        <f t="shared" si="42"/>
        <v>118090</v>
      </c>
    </row>
    <row r="423" spans="1:32" s="56" customFormat="1" ht="18" customHeight="1">
      <c r="A423" s="114" t="s">
        <v>170</v>
      </c>
      <c r="B423" s="61">
        <v>73020</v>
      </c>
      <c r="C423" s="61">
        <v>7180</v>
      </c>
      <c r="D423" s="61"/>
      <c r="E423" s="61">
        <v>14780</v>
      </c>
      <c r="F423" s="61">
        <v>2090</v>
      </c>
      <c r="G423" s="61">
        <v>300</v>
      </c>
      <c r="H423" s="61"/>
      <c r="I423" s="61"/>
      <c r="J423" s="61"/>
      <c r="K423" s="61"/>
      <c r="L423" s="61"/>
      <c r="M423" s="209"/>
      <c r="N423" s="209">
        <v>9000</v>
      </c>
      <c r="O423" s="209"/>
      <c r="P423" s="209"/>
      <c r="Q423" s="209">
        <v>2000</v>
      </c>
      <c r="R423" s="209">
        <v>300</v>
      </c>
      <c r="S423" s="209">
        <v>1000</v>
      </c>
      <c r="T423" s="209"/>
      <c r="U423" s="209"/>
      <c r="V423" s="209"/>
      <c r="W423" s="209"/>
      <c r="X423" s="209"/>
      <c r="Y423" s="209"/>
      <c r="Z423" s="209">
        <v>4050</v>
      </c>
      <c r="AA423" s="209"/>
      <c r="AB423" s="209"/>
      <c r="AC423" s="209"/>
      <c r="AD423" s="209"/>
      <c r="AE423" s="209"/>
      <c r="AF423" s="193">
        <f t="shared" si="42"/>
        <v>113720</v>
      </c>
    </row>
    <row r="424" spans="1:32" s="56" customFormat="1" ht="18" customHeight="1">
      <c r="A424" s="114" t="s">
        <v>171</v>
      </c>
      <c r="B424" s="60">
        <v>105000</v>
      </c>
      <c r="C424" s="60">
        <v>8500</v>
      </c>
      <c r="D424" s="60"/>
      <c r="E424" s="60">
        <v>14780</v>
      </c>
      <c r="F424" s="60">
        <v>2090</v>
      </c>
      <c r="G424" s="60">
        <v>1000</v>
      </c>
      <c r="H424" s="60"/>
      <c r="I424" s="60"/>
      <c r="J424" s="60"/>
      <c r="K424" s="60"/>
      <c r="L424" s="60"/>
      <c r="M424" s="207"/>
      <c r="N424" s="207">
        <v>3000</v>
      </c>
      <c r="O424" s="207"/>
      <c r="P424" s="207"/>
      <c r="Q424" s="207">
        <v>6000</v>
      </c>
      <c r="R424" s="207"/>
      <c r="S424" s="207">
        <v>2000</v>
      </c>
      <c r="T424" s="207"/>
      <c r="U424" s="207"/>
      <c r="V424" s="207"/>
      <c r="W424" s="207"/>
      <c r="X424" s="207"/>
      <c r="Y424" s="207"/>
      <c r="Z424" s="207">
        <v>5100</v>
      </c>
      <c r="AA424" s="207"/>
      <c r="AB424" s="207"/>
      <c r="AC424" s="207"/>
      <c r="AD424" s="207"/>
      <c r="AE424" s="207"/>
      <c r="AF424" s="193">
        <f t="shared" si="42"/>
        <v>147470</v>
      </c>
    </row>
    <row r="425" spans="1:32" s="56" customFormat="1" ht="18" customHeight="1">
      <c r="A425" s="114" t="s">
        <v>172</v>
      </c>
      <c r="B425" s="61">
        <v>80960</v>
      </c>
      <c r="C425" s="61">
        <v>1500</v>
      </c>
      <c r="D425" s="61"/>
      <c r="E425" s="61">
        <v>14420</v>
      </c>
      <c r="F425" s="61">
        <v>2070</v>
      </c>
      <c r="G425" s="61">
        <v>600</v>
      </c>
      <c r="H425" s="61"/>
      <c r="I425" s="61"/>
      <c r="J425" s="61"/>
      <c r="K425" s="61"/>
      <c r="L425" s="61"/>
      <c r="M425" s="209"/>
      <c r="N425" s="209">
        <v>9000</v>
      </c>
      <c r="O425" s="209"/>
      <c r="P425" s="209"/>
      <c r="Q425" s="209">
        <v>15000</v>
      </c>
      <c r="R425" s="209">
        <v>200</v>
      </c>
      <c r="S425" s="209">
        <v>2000</v>
      </c>
      <c r="T425" s="209"/>
      <c r="U425" s="209"/>
      <c r="V425" s="209"/>
      <c r="W425" s="209"/>
      <c r="X425" s="209"/>
      <c r="Y425" s="209"/>
      <c r="Z425" s="209">
        <v>3200</v>
      </c>
      <c r="AA425" s="209"/>
      <c r="AB425" s="209"/>
      <c r="AC425" s="209"/>
      <c r="AD425" s="209"/>
      <c r="AE425" s="209"/>
      <c r="AF425" s="193">
        <f t="shared" si="42"/>
        <v>128950</v>
      </c>
    </row>
    <row r="426" spans="1:32" s="56" customFormat="1" ht="18" customHeight="1">
      <c r="A426" s="114" t="s">
        <v>173</v>
      </c>
      <c r="B426" s="61">
        <v>73140</v>
      </c>
      <c r="C426" s="61">
        <v>9430</v>
      </c>
      <c r="D426" s="61"/>
      <c r="E426" s="61">
        <v>13260</v>
      </c>
      <c r="F426" s="61">
        <v>1820</v>
      </c>
      <c r="G426" s="61">
        <v>900</v>
      </c>
      <c r="H426" s="61"/>
      <c r="I426" s="61"/>
      <c r="J426" s="61"/>
      <c r="K426" s="61"/>
      <c r="L426" s="61"/>
      <c r="M426" s="209"/>
      <c r="N426" s="209">
        <v>4000</v>
      </c>
      <c r="O426" s="209"/>
      <c r="P426" s="209"/>
      <c r="Q426" s="209">
        <v>2500</v>
      </c>
      <c r="R426" s="209">
        <v>450</v>
      </c>
      <c r="S426" s="209">
        <v>1500</v>
      </c>
      <c r="T426" s="209"/>
      <c r="U426" s="209"/>
      <c r="V426" s="209">
        <v>800</v>
      </c>
      <c r="W426" s="209"/>
      <c r="X426" s="209"/>
      <c r="Y426" s="209"/>
      <c r="Z426" s="209">
        <v>3240</v>
      </c>
      <c r="AA426" s="209"/>
      <c r="AB426" s="209"/>
      <c r="AC426" s="209"/>
      <c r="AD426" s="209"/>
      <c r="AE426" s="209"/>
      <c r="AF426" s="193">
        <f t="shared" si="42"/>
        <v>111040</v>
      </c>
    </row>
    <row r="427" spans="1:32" s="56" customFormat="1" ht="18" customHeight="1">
      <c r="A427" s="114" t="s">
        <v>174</v>
      </c>
      <c r="B427" s="60">
        <v>70760</v>
      </c>
      <c r="C427" s="60">
        <v>5600</v>
      </c>
      <c r="D427" s="60"/>
      <c r="E427" s="60">
        <v>8600</v>
      </c>
      <c r="F427" s="60">
        <v>1180</v>
      </c>
      <c r="G427" s="60">
        <v>300</v>
      </c>
      <c r="H427" s="60"/>
      <c r="I427" s="60"/>
      <c r="J427" s="60"/>
      <c r="K427" s="60"/>
      <c r="L427" s="60"/>
      <c r="M427" s="207"/>
      <c r="N427" s="207">
        <v>2810</v>
      </c>
      <c r="O427" s="207"/>
      <c r="P427" s="207"/>
      <c r="Q427" s="207">
        <v>1500</v>
      </c>
      <c r="R427" s="207"/>
      <c r="S427" s="207">
        <v>1000</v>
      </c>
      <c r="T427" s="207"/>
      <c r="U427" s="207"/>
      <c r="V427" s="207"/>
      <c r="W427" s="207"/>
      <c r="X427" s="207"/>
      <c r="Y427" s="207"/>
      <c r="Z427" s="207">
        <v>1850</v>
      </c>
      <c r="AA427" s="207"/>
      <c r="AB427" s="207"/>
      <c r="AC427" s="207"/>
      <c r="AD427" s="207"/>
      <c r="AE427" s="207"/>
      <c r="AF427" s="193">
        <f t="shared" si="42"/>
        <v>93600</v>
      </c>
    </row>
    <row r="428" spans="1:32" ht="18" customHeight="1">
      <c r="A428" s="114" t="s">
        <v>175</v>
      </c>
      <c r="B428" s="61">
        <v>90460</v>
      </c>
      <c r="C428" s="61">
        <v>8150</v>
      </c>
      <c r="D428" s="61"/>
      <c r="E428" s="61">
        <v>16600</v>
      </c>
      <c r="F428" s="61">
        <v>2270</v>
      </c>
      <c r="G428" s="61">
        <v>720</v>
      </c>
      <c r="H428" s="61"/>
      <c r="I428" s="61"/>
      <c r="J428" s="61"/>
      <c r="K428" s="61"/>
      <c r="L428" s="61"/>
      <c r="M428" s="209"/>
      <c r="N428" s="209">
        <v>7000</v>
      </c>
      <c r="O428" s="209"/>
      <c r="P428" s="209"/>
      <c r="Q428" s="209">
        <v>4500</v>
      </c>
      <c r="R428" s="209">
        <v>200</v>
      </c>
      <c r="S428" s="209">
        <v>8000</v>
      </c>
      <c r="T428" s="209"/>
      <c r="U428" s="209"/>
      <c r="V428" s="209"/>
      <c r="W428" s="209"/>
      <c r="X428" s="209"/>
      <c r="Y428" s="209"/>
      <c r="Z428" s="209">
        <v>4050</v>
      </c>
      <c r="AA428" s="209"/>
      <c r="AB428" s="209"/>
      <c r="AC428" s="209"/>
      <c r="AD428" s="209"/>
      <c r="AE428" s="209"/>
      <c r="AF428" s="193">
        <f t="shared" si="42"/>
        <v>141950</v>
      </c>
    </row>
    <row r="429" spans="1:32" ht="18" customHeight="1">
      <c r="A429" s="114" t="s">
        <v>176</v>
      </c>
      <c r="B429" s="60">
        <v>33260</v>
      </c>
      <c r="C429" s="60">
        <v>3490</v>
      </c>
      <c r="D429" s="60"/>
      <c r="E429" s="60">
        <v>7190</v>
      </c>
      <c r="F429" s="60">
        <v>1020</v>
      </c>
      <c r="G429" s="60">
        <v>300</v>
      </c>
      <c r="H429" s="60"/>
      <c r="I429" s="60"/>
      <c r="J429" s="60"/>
      <c r="K429" s="60"/>
      <c r="L429" s="60"/>
      <c r="M429" s="207"/>
      <c r="N429" s="207">
        <v>6000</v>
      </c>
      <c r="O429" s="207"/>
      <c r="P429" s="207"/>
      <c r="Q429" s="207">
        <v>3100</v>
      </c>
      <c r="R429" s="207">
        <v>200</v>
      </c>
      <c r="S429" s="207">
        <v>1000</v>
      </c>
      <c r="T429" s="207"/>
      <c r="U429" s="207"/>
      <c r="V429" s="207"/>
      <c r="W429" s="207"/>
      <c r="X429" s="207"/>
      <c r="Y429" s="207"/>
      <c r="Z429" s="207">
        <v>2000</v>
      </c>
      <c r="AA429" s="207"/>
      <c r="AB429" s="207"/>
      <c r="AC429" s="207"/>
      <c r="AD429" s="207"/>
      <c r="AE429" s="207"/>
      <c r="AF429" s="193">
        <f t="shared" si="42"/>
        <v>57560</v>
      </c>
    </row>
    <row r="430" spans="1:32" ht="18" customHeight="1">
      <c r="A430" s="114" t="s">
        <v>177</v>
      </c>
      <c r="B430" s="61">
        <v>41900</v>
      </c>
      <c r="C430" s="61">
        <v>3100</v>
      </c>
      <c r="D430" s="61"/>
      <c r="E430" s="61">
        <v>7000</v>
      </c>
      <c r="F430" s="61">
        <v>1000</v>
      </c>
      <c r="G430" s="61">
        <v>500</v>
      </c>
      <c r="H430" s="61"/>
      <c r="I430" s="61"/>
      <c r="J430" s="61"/>
      <c r="K430" s="61"/>
      <c r="L430" s="61"/>
      <c r="M430" s="209"/>
      <c r="N430" s="209">
        <v>1200</v>
      </c>
      <c r="O430" s="209"/>
      <c r="P430" s="209"/>
      <c r="Q430" s="209">
        <v>2000</v>
      </c>
      <c r="R430" s="209"/>
      <c r="S430" s="209">
        <v>1250</v>
      </c>
      <c r="T430" s="209"/>
      <c r="U430" s="209">
        <v>50</v>
      </c>
      <c r="V430" s="209">
        <v>200</v>
      </c>
      <c r="W430" s="209"/>
      <c r="X430" s="209"/>
      <c r="Y430" s="209"/>
      <c r="Z430" s="209">
        <v>1530</v>
      </c>
      <c r="AA430" s="209"/>
      <c r="AB430" s="209"/>
      <c r="AC430" s="209"/>
      <c r="AD430" s="209"/>
      <c r="AE430" s="209"/>
      <c r="AF430" s="193">
        <f t="shared" si="42"/>
        <v>59730</v>
      </c>
    </row>
    <row r="431" spans="1:32" s="49" customFormat="1" ht="18" customHeight="1">
      <c r="A431" s="114" t="s">
        <v>225</v>
      </c>
      <c r="B431" s="60">
        <v>110410</v>
      </c>
      <c r="C431" s="60">
        <v>9300</v>
      </c>
      <c r="D431" s="60"/>
      <c r="E431" s="60">
        <v>21780</v>
      </c>
      <c r="F431" s="60">
        <v>2980</v>
      </c>
      <c r="G431" s="60">
        <v>500</v>
      </c>
      <c r="H431" s="60"/>
      <c r="I431" s="60"/>
      <c r="J431" s="60"/>
      <c r="K431" s="60"/>
      <c r="L431" s="60"/>
      <c r="M431" s="207"/>
      <c r="N431" s="207">
        <v>2000</v>
      </c>
      <c r="O431" s="207"/>
      <c r="P431" s="207"/>
      <c r="Q431" s="207">
        <v>6000</v>
      </c>
      <c r="R431" s="207">
        <v>400</v>
      </c>
      <c r="S431" s="207">
        <v>2500</v>
      </c>
      <c r="T431" s="207"/>
      <c r="U431" s="207"/>
      <c r="V431" s="207"/>
      <c r="W431" s="207"/>
      <c r="X431" s="207"/>
      <c r="Y431" s="207"/>
      <c r="Z431" s="207">
        <v>4590</v>
      </c>
      <c r="AA431" s="207"/>
      <c r="AB431" s="207"/>
      <c r="AC431" s="207"/>
      <c r="AD431" s="207"/>
      <c r="AE431" s="207"/>
      <c r="AF431" s="193">
        <f t="shared" si="42"/>
        <v>160460</v>
      </c>
    </row>
    <row r="432" spans="1:32" s="49" customFormat="1" ht="18" customHeight="1">
      <c r="A432" s="114" t="s">
        <v>300</v>
      </c>
      <c r="B432" s="61">
        <v>80710</v>
      </c>
      <c r="C432" s="61">
        <v>7000</v>
      </c>
      <c r="D432" s="61"/>
      <c r="E432" s="61">
        <v>16220</v>
      </c>
      <c r="F432" s="61">
        <v>2220</v>
      </c>
      <c r="G432" s="61">
        <v>1000</v>
      </c>
      <c r="H432" s="61"/>
      <c r="I432" s="61"/>
      <c r="J432" s="61"/>
      <c r="K432" s="61"/>
      <c r="L432" s="61"/>
      <c r="M432" s="209"/>
      <c r="N432" s="209">
        <v>5000</v>
      </c>
      <c r="O432" s="209"/>
      <c r="P432" s="209"/>
      <c r="Q432" s="209">
        <v>2000</v>
      </c>
      <c r="R432" s="209">
        <v>500</v>
      </c>
      <c r="S432" s="209">
        <v>2000</v>
      </c>
      <c r="T432" s="209"/>
      <c r="U432" s="209"/>
      <c r="V432" s="209"/>
      <c r="W432" s="209"/>
      <c r="X432" s="209"/>
      <c r="Y432" s="209"/>
      <c r="Z432" s="209">
        <v>2930</v>
      </c>
      <c r="AA432" s="209"/>
      <c r="AB432" s="209"/>
      <c r="AC432" s="209"/>
      <c r="AD432" s="209"/>
      <c r="AE432" s="209"/>
      <c r="AF432" s="193">
        <f t="shared" si="42"/>
        <v>119580</v>
      </c>
    </row>
    <row r="433" spans="1:32" s="49" customFormat="1" ht="18" customHeight="1">
      <c r="A433" s="114" t="s">
        <v>323</v>
      </c>
      <c r="B433" s="60">
        <v>40260</v>
      </c>
      <c r="C433" s="60">
        <v>3510</v>
      </c>
      <c r="D433" s="60"/>
      <c r="E433" s="60">
        <v>7610</v>
      </c>
      <c r="F433" s="60">
        <v>1100</v>
      </c>
      <c r="G433" s="60">
        <v>1000</v>
      </c>
      <c r="H433" s="60"/>
      <c r="I433" s="60"/>
      <c r="J433" s="60"/>
      <c r="K433" s="60"/>
      <c r="L433" s="60"/>
      <c r="M433" s="207"/>
      <c r="N433" s="207">
        <v>1000</v>
      </c>
      <c r="O433" s="207"/>
      <c r="P433" s="207"/>
      <c r="Q433" s="207">
        <v>1500</v>
      </c>
      <c r="R433" s="207">
        <v>400</v>
      </c>
      <c r="S433" s="207">
        <v>900</v>
      </c>
      <c r="T433" s="207"/>
      <c r="U433" s="207"/>
      <c r="V433" s="207"/>
      <c r="W433" s="207"/>
      <c r="X433" s="207"/>
      <c r="Y433" s="207"/>
      <c r="Z433" s="207">
        <v>1950</v>
      </c>
      <c r="AA433" s="207"/>
      <c r="AB433" s="207"/>
      <c r="AC433" s="207"/>
      <c r="AD433" s="207"/>
      <c r="AE433" s="207">
        <v>2000</v>
      </c>
      <c r="AF433" s="193">
        <f t="shared" si="42"/>
        <v>61230</v>
      </c>
    </row>
    <row r="434" spans="1:32" s="49" customFormat="1" ht="18" customHeight="1">
      <c r="A434" s="114" t="s">
        <v>328</v>
      </c>
      <c r="B434" s="61">
        <v>58770</v>
      </c>
      <c r="C434" s="61">
        <v>3740</v>
      </c>
      <c r="D434" s="61"/>
      <c r="E434" s="61">
        <v>8490</v>
      </c>
      <c r="F434" s="61">
        <v>1210</v>
      </c>
      <c r="G434" s="61">
        <v>500</v>
      </c>
      <c r="H434" s="61"/>
      <c r="I434" s="61"/>
      <c r="J434" s="61"/>
      <c r="K434" s="61"/>
      <c r="L434" s="61"/>
      <c r="M434" s="209"/>
      <c r="N434" s="209">
        <v>2960</v>
      </c>
      <c r="O434" s="209"/>
      <c r="P434" s="209"/>
      <c r="Q434" s="209">
        <v>2400</v>
      </c>
      <c r="R434" s="209">
        <v>40</v>
      </c>
      <c r="S434" s="209">
        <v>890</v>
      </c>
      <c r="T434" s="209"/>
      <c r="U434" s="209"/>
      <c r="V434" s="209"/>
      <c r="W434" s="209"/>
      <c r="X434" s="209"/>
      <c r="Y434" s="209"/>
      <c r="Z434" s="209">
        <v>2100</v>
      </c>
      <c r="AA434" s="209"/>
      <c r="AB434" s="209"/>
      <c r="AC434" s="209"/>
      <c r="AD434" s="209"/>
      <c r="AE434" s="209"/>
      <c r="AF434" s="193">
        <f t="shared" si="42"/>
        <v>81100</v>
      </c>
    </row>
    <row r="435" spans="1:32" s="49" customFormat="1" ht="18" customHeight="1">
      <c r="A435" s="114" t="s">
        <v>220</v>
      </c>
      <c r="B435" s="60">
        <v>62800</v>
      </c>
      <c r="C435" s="60">
        <v>4600</v>
      </c>
      <c r="D435" s="60"/>
      <c r="E435" s="60">
        <v>12020</v>
      </c>
      <c r="F435" s="60">
        <v>1730</v>
      </c>
      <c r="G435" s="60">
        <v>500</v>
      </c>
      <c r="H435" s="60"/>
      <c r="I435" s="60"/>
      <c r="J435" s="60"/>
      <c r="K435" s="60"/>
      <c r="L435" s="60"/>
      <c r="M435" s="207"/>
      <c r="N435" s="207">
        <v>4000</v>
      </c>
      <c r="O435" s="207"/>
      <c r="P435" s="207"/>
      <c r="Q435" s="207">
        <v>4000</v>
      </c>
      <c r="R435" s="207">
        <v>300</v>
      </c>
      <c r="S435" s="207">
        <v>700</v>
      </c>
      <c r="T435" s="207"/>
      <c r="U435" s="207"/>
      <c r="V435" s="207"/>
      <c r="W435" s="207"/>
      <c r="X435" s="207"/>
      <c r="Y435" s="207"/>
      <c r="Z435" s="207">
        <v>3370</v>
      </c>
      <c r="AA435" s="207"/>
      <c r="AB435" s="207"/>
      <c r="AC435" s="207"/>
      <c r="AD435" s="207"/>
      <c r="AE435" s="207"/>
      <c r="AF435" s="193">
        <f t="shared" si="42"/>
        <v>94020</v>
      </c>
    </row>
    <row r="436" spans="1:32" s="49" customFormat="1" ht="18" customHeight="1">
      <c r="A436" s="114" t="s">
        <v>221</v>
      </c>
      <c r="B436" s="61">
        <v>40800</v>
      </c>
      <c r="C436" s="61">
        <v>3320</v>
      </c>
      <c r="D436" s="61"/>
      <c r="E436" s="61">
        <v>8010</v>
      </c>
      <c r="F436" s="61">
        <v>1130</v>
      </c>
      <c r="G436" s="61"/>
      <c r="H436" s="61"/>
      <c r="I436" s="61"/>
      <c r="J436" s="61"/>
      <c r="K436" s="61"/>
      <c r="L436" s="61"/>
      <c r="M436" s="209"/>
      <c r="N436" s="209">
        <v>1000</v>
      </c>
      <c r="O436" s="209"/>
      <c r="P436" s="209"/>
      <c r="Q436" s="209">
        <v>1500</v>
      </c>
      <c r="R436" s="209">
        <v>400</v>
      </c>
      <c r="S436" s="209">
        <v>1500</v>
      </c>
      <c r="T436" s="209"/>
      <c r="U436" s="209"/>
      <c r="V436" s="209"/>
      <c r="W436" s="209"/>
      <c r="X436" s="209"/>
      <c r="Y436" s="209"/>
      <c r="Z436" s="209">
        <v>1620</v>
      </c>
      <c r="AA436" s="209"/>
      <c r="AB436" s="209"/>
      <c r="AC436" s="209"/>
      <c r="AD436" s="209"/>
      <c r="AE436" s="209"/>
      <c r="AF436" s="193">
        <f t="shared" si="42"/>
        <v>59280</v>
      </c>
    </row>
    <row r="437" spans="1:32" s="49" customFormat="1" ht="18" customHeight="1">
      <c r="A437" s="114" t="s">
        <v>181</v>
      </c>
      <c r="B437" s="60">
        <v>111000</v>
      </c>
      <c r="C437" s="60">
        <v>9000</v>
      </c>
      <c r="D437" s="60"/>
      <c r="E437" s="60">
        <v>18250</v>
      </c>
      <c r="F437" s="60">
        <v>2650</v>
      </c>
      <c r="G437" s="60">
        <v>800</v>
      </c>
      <c r="H437" s="60"/>
      <c r="I437" s="60"/>
      <c r="J437" s="60"/>
      <c r="K437" s="60"/>
      <c r="L437" s="60"/>
      <c r="M437" s="207"/>
      <c r="N437" s="207">
        <v>4500</v>
      </c>
      <c r="O437" s="207"/>
      <c r="P437" s="207"/>
      <c r="Q437" s="207">
        <v>23000</v>
      </c>
      <c r="R437" s="207">
        <v>450</v>
      </c>
      <c r="S437" s="207">
        <v>1700</v>
      </c>
      <c r="T437" s="207"/>
      <c r="U437" s="207"/>
      <c r="V437" s="207">
        <v>900</v>
      </c>
      <c r="W437" s="207"/>
      <c r="X437" s="207"/>
      <c r="Y437" s="207"/>
      <c r="Z437" s="207">
        <v>6100</v>
      </c>
      <c r="AA437" s="207"/>
      <c r="AB437" s="207"/>
      <c r="AC437" s="207"/>
      <c r="AD437" s="207"/>
      <c r="AE437" s="207"/>
      <c r="AF437" s="193">
        <f t="shared" si="42"/>
        <v>178350</v>
      </c>
    </row>
    <row r="438" spans="1:32" s="49" customFormat="1" ht="18" customHeight="1">
      <c r="A438" s="114" t="s">
        <v>182</v>
      </c>
      <c r="B438" s="61">
        <v>70080</v>
      </c>
      <c r="C438" s="61">
        <v>5750</v>
      </c>
      <c r="D438" s="61"/>
      <c r="E438" s="61">
        <v>13100</v>
      </c>
      <c r="F438" s="61">
        <v>2040</v>
      </c>
      <c r="G438" s="61">
        <v>200</v>
      </c>
      <c r="H438" s="61"/>
      <c r="I438" s="61"/>
      <c r="J438" s="61"/>
      <c r="K438" s="61"/>
      <c r="L438" s="61"/>
      <c r="M438" s="209"/>
      <c r="N438" s="209">
        <v>3700</v>
      </c>
      <c r="O438" s="209"/>
      <c r="P438" s="209"/>
      <c r="Q438" s="209">
        <v>10030</v>
      </c>
      <c r="R438" s="209">
        <v>200</v>
      </c>
      <c r="S438" s="209">
        <v>4500</v>
      </c>
      <c r="T438" s="209"/>
      <c r="U438" s="209"/>
      <c r="V438" s="209">
        <v>1000</v>
      </c>
      <c r="W438" s="209"/>
      <c r="X438" s="209"/>
      <c r="Y438" s="209"/>
      <c r="Z438" s="209">
        <v>4140</v>
      </c>
      <c r="AA438" s="209"/>
      <c r="AB438" s="209"/>
      <c r="AC438" s="209"/>
      <c r="AD438" s="209"/>
      <c r="AE438" s="209"/>
      <c r="AF438" s="193">
        <f t="shared" si="42"/>
        <v>114740</v>
      </c>
    </row>
    <row r="439" spans="1:32" s="49" customFormat="1" ht="18" customHeight="1">
      <c r="A439" s="114" t="s">
        <v>183</v>
      </c>
      <c r="B439" s="60">
        <v>153090</v>
      </c>
      <c r="C439" s="60">
        <v>12000</v>
      </c>
      <c r="D439" s="60">
        <v>1000</v>
      </c>
      <c r="E439" s="60">
        <v>27000</v>
      </c>
      <c r="F439" s="60">
        <v>3700</v>
      </c>
      <c r="G439" s="60">
        <v>1500</v>
      </c>
      <c r="H439" s="60"/>
      <c r="I439" s="60"/>
      <c r="J439" s="60"/>
      <c r="K439" s="60"/>
      <c r="L439" s="60"/>
      <c r="M439" s="207"/>
      <c r="N439" s="207">
        <v>11700</v>
      </c>
      <c r="O439" s="207"/>
      <c r="P439" s="207"/>
      <c r="Q439" s="207">
        <v>42000</v>
      </c>
      <c r="R439" s="207">
        <v>500</v>
      </c>
      <c r="S439" s="207">
        <v>4000</v>
      </c>
      <c r="T439" s="207"/>
      <c r="U439" s="207"/>
      <c r="V439" s="207">
        <v>1500</v>
      </c>
      <c r="W439" s="207"/>
      <c r="X439" s="207"/>
      <c r="Y439" s="207">
        <v>1000</v>
      </c>
      <c r="Z439" s="207">
        <v>6960</v>
      </c>
      <c r="AA439" s="207"/>
      <c r="AB439" s="207"/>
      <c r="AC439" s="207">
        <v>500</v>
      </c>
      <c r="AD439" s="207">
        <v>1000</v>
      </c>
      <c r="AE439" s="207"/>
      <c r="AF439" s="193">
        <f t="shared" si="42"/>
        <v>267450</v>
      </c>
    </row>
    <row r="440" spans="1:32" s="49" customFormat="1" ht="18" customHeight="1">
      <c r="A440" s="114" t="s">
        <v>184</v>
      </c>
      <c r="B440" s="61">
        <v>112500</v>
      </c>
      <c r="C440" s="61">
        <v>9300</v>
      </c>
      <c r="D440" s="61"/>
      <c r="E440" s="61">
        <v>22500</v>
      </c>
      <c r="F440" s="61">
        <v>3100</v>
      </c>
      <c r="G440" s="61">
        <v>1500</v>
      </c>
      <c r="H440" s="61"/>
      <c r="I440" s="61"/>
      <c r="J440" s="61"/>
      <c r="K440" s="61"/>
      <c r="L440" s="61"/>
      <c r="M440" s="209"/>
      <c r="N440" s="209">
        <v>6000</v>
      </c>
      <c r="O440" s="209"/>
      <c r="P440" s="209"/>
      <c r="Q440" s="209">
        <v>25000</v>
      </c>
      <c r="R440" s="209"/>
      <c r="S440" s="209">
        <v>8000</v>
      </c>
      <c r="T440" s="209"/>
      <c r="U440" s="209"/>
      <c r="V440" s="209"/>
      <c r="W440" s="209"/>
      <c r="X440" s="209"/>
      <c r="Y440" s="209"/>
      <c r="Z440" s="209">
        <v>4810</v>
      </c>
      <c r="AA440" s="209"/>
      <c r="AB440" s="209"/>
      <c r="AC440" s="209"/>
      <c r="AD440" s="209"/>
      <c r="AE440" s="209"/>
      <c r="AF440" s="193">
        <f t="shared" si="42"/>
        <v>192710</v>
      </c>
    </row>
    <row r="441" spans="1:32" s="49" customFormat="1" ht="18" customHeight="1">
      <c r="A441" s="114" t="s">
        <v>185</v>
      </c>
      <c r="B441" s="60">
        <v>103590</v>
      </c>
      <c r="C441" s="60">
        <v>8400</v>
      </c>
      <c r="D441" s="60"/>
      <c r="E441" s="60">
        <v>20070</v>
      </c>
      <c r="F441" s="60">
        <v>2750</v>
      </c>
      <c r="G441" s="60">
        <v>750</v>
      </c>
      <c r="H441" s="60"/>
      <c r="I441" s="60"/>
      <c r="J441" s="60"/>
      <c r="K441" s="60"/>
      <c r="L441" s="60"/>
      <c r="M441" s="207"/>
      <c r="N441" s="207">
        <v>7000</v>
      </c>
      <c r="O441" s="207"/>
      <c r="P441" s="207"/>
      <c r="Q441" s="207">
        <v>30600</v>
      </c>
      <c r="R441" s="207">
        <v>260</v>
      </c>
      <c r="S441" s="207">
        <v>2500</v>
      </c>
      <c r="T441" s="207"/>
      <c r="U441" s="207"/>
      <c r="V441" s="207">
        <v>750</v>
      </c>
      <c r="W441" s="207"/>
      <c r="X441" s="207"/>
      <c r="Y441" s="207">
        <v>340</v>
      </c>
      <c r="Z441" s="207">
        <v>5670</v>
      </c>
      <c r="AA441" s="207"/>
      <c r="AB441" s="207"/>
      <c r="AC441" s="207">
        <v>1500</v>
      </c>
      <c r="AD441" s="207">
        <v>500</v>
      </c>
      <c r="AE441" s="207"/>
      <c r="AF441" s="193">
        <f t="shared" si="42"/>
        <v>184680</v>
      </c>
    </row>
    <row r="442" spans="1:32" s="49" customFormat="1" ht="18" customHeight="1">
      <c r="A442" s="114" t="s">
        <v>186</v>
      </c>
      <c r="B442" s="61">
        <v>75460</v>
      </c>
      <c r="C442" s="61">
        <v>7320</v>
      </c>
      <c r="D442" s="61"/>
      <c r="E442" s="61">
        <v>16670</v>
      </c>
      <c r="F442" s="61">
        <v>1990</v>
      </c>
      <c r="G442" s="61">
        <v>1000</v>
      </c>
      <c r="H442" s="61"/>
      <c r="I442" s="61"/>
      <c r="J442" s="61"/>
      <c r="K442" s="61"/>
      <c r="L442" s="61"/>
      <c r="M442" s="209"/>
      <c r="N442" s="209">
        <v>4000</v>
      </c>
      <c r="O442" s="209"/>
      <c r="P442" s="209"/>
      <c r="Q442" s="209">
        <v>15000</v>
      </c>
      <c r="R442" s="209">
        <v>300</v>
      </c>
      <c r="S442" s="209">
        <v>2000</v>
      </c>
      <c r="T442" s="209"/>
      <c r="U442" s="209"/>
      <c r="V442" s="209">
        <v>2500</v>
      </c>
      <c r="W442" s="209"/>
      <c r="X442" s="209"/>
      <c r="Y442" s="209">
        <v>2000</v>
      </c>
      <c r="Z442" s="209">
        <v>4330</v>
      </c>
      <c r="AA442" s="209"/>
      <c r="AB442" s="209"/>
      <c r="AC442" s="209"/>
      <c r="AD442" s="209"/>
      <c r="AE442" s="209"/>
      <c r="AF442" s="193">
        <f t="shared" si="42"/>
        <v>132570</v>
      </c>
    </row>
    <row r="443" spans="1:32" s="49" customFormat="1" ht="18" customHeight="1">
      <c r="A443" s="114" t="s">
        <v>318</v>
      </c>
      <c r="B443" s="60">
        <v>104470</v>
      </c>
      <c r="C443" s="60">
        <v>7070</v>
      </c>
      <c r="D443" s="60"/>
      <c r="E443" s="60">
        <v>23100</v>
      </c>
      <c r="F443" s="60">
        <v>3260</v>
      </c>
      <c r="G443" s="60">
        <v>300</v>
      </c>
      <c r="H443" s="60"/>
      <c r="I443" s="60"/>
      <c r="J443" s="60"/>
      <c r="K443" s="60"/>
      <c r="L443" s="60"/>
      <c r="M443" s="207"/>
      <c r="N443" s="207">
        <v>7000</v>
      </c>
      <c r="O443" s="207"/>
      <c r="P443" s="207"/>
      <c r="Q443" s="207">
        <v>8000</v>
      </c>
      <c r="R443" s="207">
        <v>300</v>
      </c>
      <c r="S443" s="207">
        <v>2000</v>
      </c>
      <c r="T443" s="207"/>
      <c r="U443" s="207"/>
      <c r="V443" s="207"/>
      <c r="W443" s="207"/>
      <c r="X443" s="207"/>
      <c r="Y443" s="207"/>
      <c r="Z443" s="207">
        <v>6320</v>
      </c>
      <c r="AA443" s="207"/>
      <c r="AB443" s="207"/>
      <c r="AC443" s="207"/>
      <c r="AD443" s="207"/>
      <c r="AE443" s="207"/>
      <c r="AF443" s="193">
        <f t="shared" si="42"/>
        <v>161820</v>
      </c>
    </row>
    <row r="444" spans="1:32" s="49" customFormat="1" ht="18" customHeight="1">
      <c r="A444" s="114" t="s">
        <v>187</v>
      </c>
      <c r="B444" s="61">
        <v>85000</v>
      </c>
      <c r="C444" s="61">
        <v>7170</v>
      </c>
      <c r="D444" s="61"/>
      <c r="E444" s="61">
        <v>16240</v>
      </c>
      <c r="F444" s="61">
        <v>2300</v>
      </c>
      <c r="G444" s="61">
        <v>700</v>
      </c>
      <c r="H444" s="61"/>
      <c r="I444" s="61"/>
      <c r="J444" s="61"/>
      <c r="K444" s="61"/>
      <c r="L444" s="61"/>
      <c r="M444" s="209"/>
      <c r="N444" s="209">
        <v>5000</v>
      </c>
      <c r="O444" s="209"/>
      <c r="P444" s="209"/>
      <c r="Q444" s="209">
        <v>24000</v>
      </c>
      <c r="R444" s="209">
        <v>200</v>
      </c>
      <c r="S444" s="209">
        <v>1500</v>
      </c>
      <c r="T444" s="209"/>
      <c r="U444" s="209"/>
      <c r="V444" s="209"/>
      <c r="W444" s="209"/>
      <c r="X444" s="209"/>
      <c r="Y444" s="209"/>
      <c r="Z444" s="209">
        <v>4200</v>
      </c>
      <c r="AA444" s="209"/>
      <c r="AB444" s="209"/>
      <c r="AC444" s="209"/>
      <c r="AD444" s="209"/>
      <c r="AE444" s="209"/>
      <c r="AF444" s="193">
        <f t="shared" si="42"/>
        <v>146310</v>
      </c>
    </row>
    <row r="445" spans="1:32" s="49" customFormat="1" ht="18" customHeight="1">
      <c r="A445" s="114" t="s">
        <v>302</v>
      </c>
      <c r="B445" s="60">
        <v>89800</v>
      </c>
      <c r="C445" s="60">
        <v>8400</v>
      </c>
      <c r="D445" s="60"/>
      <c r="E445" s="60">
        <v>17750</v>
      </c>
      <c r="F445" s="60">
        <v>2430</v>
      </c>
      <c r="G445" s="60">
        <v>600</v>
      </c>
      <c r="H445" s="60"/>
      <c r="I445" s="60"/>
      <c r="J445" s="60"/>
      <c r="K445" s="60"/>
      <c r="L445" s="60"/>
      <c r="M445" s="207"/>
      <c r="N445" s="207">
        <v>1000</v>
      </c>
      <c r="O445" s="207"/>
      <c r="P445" s="207"/>
      <c r="Q445" s="207">
        <v>23000</v>
      </c>
      <c r="R445" s="207"/>
      <c r="S445" s="207">
        <v>2000</v>
      </c>
      <c r="T445" s="207"/>
      <c r="U445" s="207"/>
      <c r="V445" s="207">
        <v>500</v>
      </c>
      <c r="W445" s="207"/>
      <c r="X445" s="207"/>
      <c r="Y445" s="207"/>
      <c r="Z445" s="207">
        <v>4370</v>
      </c>
      <c r="AA445" s="207"/>
      <c r="AB445" s="207"/>
      <c r="AC445" s="207">
        <v>500</v>
      </c>
      <c r="AD445" s="207">
        <v>500</v>
      </c>
      <c r="AE445" s="207"/>
      <c r="AF445" s="193">
        <f t="shared" si="42"/>
        <v>150850</v>
      </c>
    </row>
    <row r="446" spans="1:32" s="49" customFormat="1" ht="18" customHeight="1">
      <c r="A446" s="114" t="s">
        <v>230</v>
      </c>
      <c r="B446" s="61">
        <v>80000</v>
      </c>
      <c r="C446" s="61">
        <v>6800</v>
      </c>
      <c r="D446" s="61"/>
      <c r="E446" s="61">
        <v>15500</v>
      </c>
      <c r="F446" s="61">
        <v>2100</v>
      </c>
      <c r="G446" s="61">
        <v>500</v>
      </c>
      <c r="H446" s="61"/>
      <c r="I446" s="61"/>
      <c r="J446" s="61"/>
      <c r="K446" s="61"/>
      <c r="L446" s="61"/>
      <c r="M446" s="209"/>
      <c r="N446" s="209">
        <v>3000</v>
      </c>
      <c r="O446" s="209"/>
      <c r="P446" s="209"/>
      <c r="Q446" s="209">
        <v>6000</v>
      </c>
      <c r="R446" s="209">
        <v>100</v>
      </c>
      <c r="S446" s="209">
        <v>2000</v>
      </c>
      <c r="T446" s="209"/>
      <c r="U446" s="209">
        <v>500</v>
      </c>
      <c r="V446" s="209">
        <v>1000</v>
      </c>
      <c r="W446" s="209"/>
      <c r="X446" s="209"/>
      <c r="Y446" s="209"/>
      <c r="Z446" s="209">
        <v>3440</v>
      </c>
      <c r="AA446" s="209"/>
      <c r="AB446" s="209">
        <v>500</v>
      </c>
      <c r="AC446" s="209"/>
      <c r="AD446" s="209"/>
      <c r="AE446" s="209"/>
      <c r="AF446" s="193">
        <f t="shared" si="42"/>
        <v>121440</v>
      </c>
    </row>
    <row r="447" spans="1:32" s="49" customFormat="1" ht="21" customHeight="1">
      <c r="A447" s="121" t="s">
        <v>71</v>
      </c>
      <c r="B447" s="60">
        <v>84540</v>
      </c>
      <c r="C447" s="60">
        <v>7400</v>
      </c>
      <c r="D447" s="60"/>
      <c r="E447" s="60">
        <v>14000</v>
      </c>
      <c r="F447" s="60">
        <v>2200</v>
      </c>
      <c r="G447" s="60">
        <v>300</v>
      </c>
      <c r="H447" s="60"/>
      <c r="I447" s="60"/>
      <c r="J447" s="60"/>
      <c r="K447" s="60"/>
      <c r="L447" s="60"/>
      <c r="M447" s="207"/>
      <c r="N447" s="207">
        <v>2400</v>
      </c>
      <c r="O447" s="207"/>
      <c r="P447" s="207"/>
      <c r="Q447" s="207">
        <v>2000</v>
      </c>
      <c r="R447" s="207"/>
      <c r="S447" s="207">
        <v>3000</v>
      </c>
      <c r="T447" s="207"/>
      <c r="U447" s="207"/>
      <c r="V447" s="207"/>
      <c r="W447" s="207"/>
      <c r="X447" s="207"/>
      <c r="Y447" s="207"/>
      <c r="Z447" s="207">
        <v>3000</v>
      </c>
      <c r="AA447" s="207"/>
      <c r="AB447" s="207"/>
      <c r="AC447" s="207"/>
      <c r="AD447" s="207"/>
      <c r="AE447" s="207">
        <v>30000</v>
      </c>
      <c r="AF447" s="193">
        <f t="shared" si="42"/>
        <v>148840</v>
      </c>
    </row>
    <row r="448" spans="1:32" s="49" customFormat="1" ht="25.5">
      <c r="A448" s="121" t="s">
        <v>102</v>
      </c>
      <c r="B448" s="61">
        <v>152950</v>
      </c>
      <c r="C448" s="61">
        <v>11880</v>
      </c>
      <c r="D448" s="61"/>
      <c r="E448" s="61">
        <v>26640</v>
      </c>
      <c r="F448" s="61">
        <v>3640</v>
      </c>
      <c r="G448" s="61">
        <v>400</v>
      </c>
      <c r="H448" s="61"/>
      <c r="I448" s="61"/>
      <c r="J448" s="61"/>
      <c r="K448" s="61"/>
      <c r="L448" s="61"/>
      <c r="M448" s="209"/>
      <c r="N448" s="209">
        <v>6000</v>
      </c>
      <c r="O448" s="209">
        <v>140000</v>
      </c>
      <c r="P448" s="209"/>
      <c r="Q448" s="209">
        <v>18000</v>
      </c>
      <c r="R448" s="209">
        <v>400</v>
      </c>
      <c r="S448" s="209">
        <v>1500</v>
      </c>
      <c r="T448" s="209"/>
      <c r="U448" s="209"/>
      <c r="V448" s="209"/>
      <c r="W448" s="209"/>
      <c r="X448" s="209"/>
      <c r="Y448" s="209"/>
      <c r="Z448" s="209">
        <v>6490</v>
      </c>
      <c r="AA448" s="209"/>
      <c r="AB448" s="209"/>
      <c r="AC448" s="209"/>
      <c r="AD448" s="209"/>
      <c r="AE448" s="209"/>
      <c r="AF448" s="193">
        <f t="shared" si="42"/>
        <v>367900</v>
      </c>
    </row>
    <row r="449" spans="1:32" s="49" customFormat="1" ht="25.5">
      <c r="A449" s="121" t="s">
        <v>103</v>
      </c>
      <c r="B449" s="60">
        <v>73160</v>
      </c>
      <c r="C449" s="60">
        <v>6090</v>
      </c>
      <c r="D449" s="60"/>
      <c r="E449" s="60">
        <v>14220</v>
      </c>
      <c r="F449" s="60">
        <v>1980</v>
      </c>
      <c r="G449" s="60">
        <v>300</v>
      </c>
      <c r="H449" s="60"/>
      <c r="I449" s="60"/>
      <c r="J449" s="60"/>
      <c r="K449" s="60"/>
      <c r="L449" s="60"/>
      <c r="M449" s="207"/>
      <c r="N449" s="207">
        <v>7000</v>
      </c>
      <c r="O449" s="207">
        <v>65000</v>
      </c>
      <c r="P449" s="207"/>
      <c r="Q449" s="207">
        <v>10500</v>
      </c>
      <c r="R449" s="207">
        <v>700</v>
      </c>
      <c r="S449" s="207">
        <v>5600</v>
      </c>
      <c r="T449" s="207"/>
      <c r="U449" s="207"/>
      <c r="V449" s="207">
        <v>1000</v>
      </c>
      <c r="W449" s="207"/>
      <c r="X449" s="207"/>
      <c r="Y449" s="207">
        <v>150</v>
      </c>
      <c r="Z449" s="207">
        <v>3720</v>
      </c>
      <c r="AA449" s="207"/>
      <c r="AB449" s="207"/>
      <c r="AC449" s="207">
        <v>200</v>
      </c>
      <c r="AD449" s="207"/>
      <c r="AE449" s="207"/>
      <c r="AF449" s="193">
        <f t="shared" si="42"/>
        <v>189620</v>
      </c>
    </row>
    <row r="450" spans="1:32" s="49" customFormat="1" ht="18" customHeight="1">
      <c r="A450" s="114" t="s">
        <v>192</v>
      </c>
      <c r="B450" s="61">
        <v>120100</v>
      </c>
      <c r="C450" s="61">
        <v>9950</v>
      </c>
      <c r="D450" s="61">
        <v>3000</v>
      </c>
      <c r="E450" s="61">
        <v>23800</v>
      </c>
      <c r="F450" s="61">
        <v>3300</v>
      </c>
      <c r="G450" s="61">
        <v>2000</v>
      </c>
      <c r="H450" s="61"/>
      <c r="I450" s="61"/>
      <c r="J450" s="61"/>
      <c r="K450" s="61"/>
      <c r="L450" s="61"/>
      <c r="M450" s="209"/>
      <c r="N450" s="209">
        <v>9000</v>
      </c>
      <c r="O450" s="209">
        <v>205000</v>
      </c>
      <c r="P450" s="209"/>
      <c r="Q450" s="209">
        <v>35000</v>
      </c>
      <c r="R450" s="209">
        <v>500</v>
      </c>
      <c r="S450" s="209">
        <v>5000</v>
      </c>
      <c r="T450" s="209"/>
      <c r="U450" s="209"/>
      <c r="V450" s="209"/>
      <c r="W450" s="209"/>
      <c r="X450" s="209"/>
      <c r="Y450" s="209"/>
      <c r="Z450" s="209">
        <v>5350</v>
      </c>
      <c r="AA450" s="209"/>
      <c r="AB450" s="209"/>
      <c r="AC450" s="209"/>
      <c r="AD450" s="209"/>
      <c r="AE450" s="209"/>
      <c r="AF450" s="193">
        <f t="shared" si="42"/>
        <v>422000</v>
      </c>
    </row>
    <row r="451" spans="1:32" s="49" customFormat="1" ht="18" customHeight="1">
      <c r="A451" s="114" t="s">
        <v>193</v>
      </c>
      <c r="B451" s="60">
        <v>114950</v>
      </c>
      <c r="C451" s="60">
        <v>8480</v>
      </c>
      <c r="D451" s="60"/>
      <c r="E451" s="60">
        <v>19170</v>
      </c>
      <c r="F451" s="60">
        <v>2690</v>
      </c>
      <c r="G451" s="60"/>
      <c r="H451" s="60"/>
      <c r="I451" s="60"/>
      <c r="J451" s="60"/>
      <c r="K451" s="60"/>
      <c r="L451" s="60"/>
      <c r="M451" s="207"/>
      <c r="N451" s="207">
        <v>8500</v>
      </c>
      <c r="O451" s="207">
        <v>40000</v>
      </c>
      <c r="P451" s="207"/>
      <c r="Q451" s="207">
        <v>20000</v>
      </c>
      <c r="R451" s="207">
        <v>300</v>
      </c>
      <c r="S451" s="207">
        <v>2000</v>
      </c>
      <c r="T451" s="207"/>
      <c r="U451" s="207"/>
      <c r="V451" s="207">
        <v>2500</v>
      </c>
      <c r="W451" s="207"/>
      <c r="X451" s="207"/>
      <c r="Y451" s="207"/>
      <c r="Z451" s="207">
        <v>4860</v>
      </c>
      <c r="AA451" s="207"/>
      <c r="AB451" s="207"/>
      <c r="AC451" s="207"/>
      <c r="AD451" s="207"/>
      <c r="AE451" s="207"/>
      <c r="AF451" s="193">
        <f t="shared" si="42"/>
        <v>223450</v>
      </c>
    </row>
    <row r="452" spans="1:32" s="49" customFormat="1" ht="18" customHeight="1" thickBot="1">
      <c r="A452" s="115" t="s">
        <v>191</v>
      </c>
      <c r="B452" s="159">
        <v>43750</v>
      </c>
      <c r="C452" s="159">
        <v>3850</v>
      </c>
      <c r="D452" s="159"/>
      <c r="E452" s="159">
        <v>8500</v>
      </c>
      <c r="F452" s="159">
        <v>1200</v>
      </c>
      <c r="G452" s="159"/>
      <c r="H452" s="159"/>
      <c r="I452" s="159"/>
      <c r="J452" s="159"/>
      <c r="K452" s="159"/>
      <c r="L452" s="159"/>
      <c r="M452" s="136"/>
      <c r="N452" s="136">
        <v>2000</v>
      </c>
      <c r="O452" s="136"/>
      <c r="P452" s="136"/>
      <c r="Q452" s="136">
        <v>5500</v>
      </c>
      <c r="R452" s="136">
        <v>200</v>
      </c>
      <c r="S452" s="136">
        <v>1500</v>
      </c>
      <c r="T452" s="136"/>
      <c r="U452" s="136"/>
      <c r="V452" s="136"/>
      <c r="W452" s="136"/>
      <c r="X452" s="136"/>
      <c r="Y452" s="136"/>
      <c r="Z452" s="136">
        <v>2290</v>
      </c>
      <c r="AA452" s="136"/>
      <c r="AB452" s="136"/>
      <c r="AC452" s="136"/>
      <c r="AD452" s="136"/>
      <c r="AE452" s="136"/>
      <c r="AF452" s="194">
        <f t="shared" si="42"/>
        <v>68790</v>
      </c>
    </row>
    <row r="453" spans="1:32" s="76" customFormat="1" ht="21.75" customHeight="1" thickBot="1">
      <c r="A453" s="154" t="s">
        <v>284</v>
      </c>
      <c r="B453" s="17"/>
      <c r="C453" s="17"/>
      <c r="D453" s="17">
        <f aca="true" t="shared" si="44" ref="D453:F454">D454</f>
        <v>383136</v>
      </c>
      <c r="E453" s="17">
        <f t="shared" si="44"/>
        <v>67834</v>
      </c>
      <c r="F453" s="17">
        <f t="shared" si="44"/>
        <v>9530</v>
      </c>
      <c r="G453" s="17"/>
      <c r="H453" s="17"/>
      <c r="I453" s="17"/>
      <c r="J453" s="17"/>
      <c r="K453" s="17"/>
      <c r="L453" s="17"/>
      <c r="M453" s="205"/>
      <c r="N453" s="205"/>
      <c r="O453" s="205"/>
      <c r="P453" s="205"/>
      <c r="Q453" s="205"/>
      <c r="R453" s="205"/>
      <c r="S453" s="205"/>
      <c r="T453" s="205"/>
      <c r="U453" s="205"/>
      <c r="V453" s="205"/>
      <c r="W453" s="205"/>
      <c r="X453" s="205"/>
      <c r="Y453" s="205"/>
      <c r="Z453" s="205"/>
      <c r="AA453" s="205"/>
      <c r="AB453" s="205"/>
      <c r="AC453" s="205"/>
      <c r="AD453" s="205"/>
      <c r="AE453" s="205"/>
      <c r="AF453" s="191">
        <f t="shared" si="42"/>
        <v>460500</v>
      </c>
    </row>
    <row r="454" spans="1:32" ht="21.75" customHeight="1" thickBot="1">
      <c r="A454" s="132" t="s">
        <v>389</v>
      </c>
      <c r="B454" s="69"/>
      <c r="C454" s="69"/>
      <c r="D454" s="69">
        <f t="shared" si="44"/>
        <v>383136</v>
      </c>
      <c r="E454" s="69">
        <f t="shared" si="44"/>
        <v>67834</v>
      </c>
      <c r="F454" s="69">
        <f t="shared" si="44"/>
        <v>9530</v>
      </c>
      <c r="G454" s="69"/>
      <c r="H454" s="69"/>
      <c r="I454" s="69"/>
      <c r="J454" s="69"/>
      <c r="K454" s="69"/>
      <c r="L454" s="69"/>
      <c r="M454" s="216"/>
      <c r="N454" s="216"/>
      <c r="O454" s="216"/>
      <c r="P454" s="216"/>
      <c r="Q454" s="216"/>
      <c r="R454" s="216"/>
      <c r="S454" s="216"/>
      <c r="T454" s="216"/>
      <c r="U454" s="216"/>
      <c r="V454" s="216"/>
      <c r="W454" s="216"/>
      <c r="X454" s="216"/>
      <c r="Y454" s="216"/>
      <c r="Z454" s="216"/>
      <c r="AA454" s="216"/>
      <c r="AB454" s="216"/>
      <c r="AC454" s="216"/>
      <c r="AD454" s="216"/>
      <c r="AE454" s="216"/>
      <c r="AF454" s="191">
        <f t="shared" si="42"/>
        <v>460500</v>
      </c>
    </row>
    <row r="455" spans="1:32" s="86" customFormat="1" ht="18" customHeight="1">
      <c r="A455" s="133" t="s">
        <v>67</v>
      </c>
      <c r="B455" s="78"/>
      <c r="C455" s="78"/>
      <c r="D455" s="78">
        <f>SUM(D456:D531)</f>
        <v>383136</v>
      </c>
      <c r="E455" s="78">
        <f>SUM(E456:E531)</f>
        <v>67834</v>
      </c>
      <c r="F455" s="78">
        <f>SUM(F456:F531)</f>
        <v>9530</v>
      </c>
      <c r="G455" s="78"/>
      <c r="H455" s="78"/>
      <c r="I455" s="78"/>
      <c r="J455" s="78"/>
      <c r="K455" s="78"/>
      <c r="L455" s="78"/>
      <c r="M455" s="217"/>
      <c r="N455" s="217"/>
      <c r="O455" s="217"/>
      <c r="P455" s="217"/>
      <c r="Q455" s="217"/>
      <c r="R455" s="217"/>
      <c r="S455" s="217"/>
      <c r="T455" s="217"/>
      <c r="U455" s="217"/>
      <c r="V455" s="217"/>
      <c r="W455" s="217"/>
      <c r="X455" s="217"/>
      <c r="Y455" s="217"/>
      <c r="Z455" s="217"/>
      <c r="AA455" s="217"/>
      <c r="AB455" s="217"/>
      <c r="AC455" s="217"/>
      <c r="AD455" s="217"/>
      <c r="AE455" s="217"/>
      <c r="AF455" s="214">
        <f t="shared" si="42"/>
        <v>460500</v>
      </c>
    </row>
    <row r="456" spans="1:32" ht="18" customHeight="1">
      <c r="A456" s="113" t="s">
        <v>152</v>
      </c>
      <c r="B456" s="71"/>
      <c r="C456" s="71"/>
      <c r="D456" s="71">
        <v>3168</v>
      </c>
      <c r="E456" s="71">
        <v>554</v>
      </c>
      <c r="F456" s="71">
        <v>78</v>
      </c>
      <c r="G456" s="71"/>
      <c r="H456" s="71"/>
      <c r="I456" s="71"/>
      <c r="J456" s="71"/>
      <c r="K456" s="71"/>
      <c r="L456" s="71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65"/>
      <c r="AA456" s="65"/>
      <c r="AB456" s="65"/>
      <c r="AC456" s="65"/>
      <c r="AD456" s="65"/>
      <c r="AE456" s="65"/>
      <c r="AF456" s="193">
        <f t="shared" si="42"/>
        <v>3800</v>
      </c>
    </row>
    <row r="457" spans="1:32" ht="18" customHeight="1">
      <c r="A457" s="114" t="s">
        <v>153</v>
      </c>
      <c r="B457" s="12"/>
      <c r="C457" s="12"/>
      <c r="D457" s="12">
        <v>3836</v>
      </c>
      <c r="E457" s="12">
        <v>670</v>
      </c>
      <c r="F457" s="12">
        <v>94</v>
      </c>
      <c r="G457" s="12"/>
      <c r="H457" s="12"/>
      <c r="I457" s="12"/>
      <c r="J457" s="12"/>
      <c r="K457" s="12"/>
      <c r="L457" s="1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193">
        <f t="shared" si="42"/>
        <v>4600</v>
      </c>
    </row>
    <row r="458" spans="1:32" ht="18" customHeight="1">
      <c r="A458" s="113" t="s">
        <v>154</v>
      </c>
      <c r="B458" s="71"/>
      <c r="C458" s="71"/>
      <c r="D458" s="71">
        <v>4610</v>
      </c>
      <c r="E458" s="71">
        <v>830</v>
      </c>
      <c r="F458" s="71">
        <v>110</v>
      </c>
      <c r="G458" s="71"/>
      <c r="H458" s="71"/>
      <c r="I458" s="71"/>
      <c r="J458" s="71"/>
      <c r="K458" s="71"/>
      <c r="L458" s="71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  <c r="Z458" s="65"/>
      <c r="AA458" s="65"/>
      <c r="AB458" s="65"/>
      <c r="AC458" s="65"/>
      <c r="AD458" s="65"/>
      <c r="AE458" s="65"/>
      <c r="AF458" s="193">
        <f t="shared" si="42"/>
        <v>5550</v>
      </c>
    </row>
    <row r="459" spans="1:32" ht="18" customHeight="1">
      <c r="A459" s="114" t="s">
        <v>155</v>
      </c>
      <c r="B459" s="12"/>
      <c r="C459" s="12"/>
      <c r="D459" s="12">
        <v>3836</v>
      </c>
      <c r="E459" s="12">
        <v>670</v>
      </c>
      <c r="F459" s="12">
        <v>94</v>
      </c>
      <c r="G459" s="12"/>
      <c r="H459" s="12"/>
      <c r="I459" s="12"/>
      <c r="J459" s="12"/>
      <c r="K459" s="12"/>
      <c r="L459" s="1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2"/>
      <c r="AF459" s="193">
        <f t="shared" si="42"/>
        <v>4600</v>
      </c>
    </row>
    <row r="460" spans="1:32" ht="18" customHeight="1">
      <c r="A460" s="113" t="s">
        <v>156</v>
      </c>
      <c r="B460" s="71"/>
      <c r="C460" s="71"/>
      <c r="D460" s="71">
        <v>3820</v>
      </c>
      <c r="E460" s="71">
        <v>687</v>
      </c>
      <c r="F460" s="71">
        <v>93</v>
      </c>
      <c r="G460" s="71"/>
      <c r="H460" s="71"/>
      <c r="I460" s="71"/>
      <c r="J460" s="71"/>
      <c r="K460" s="71"/>
      <c r="L460" s="71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  <c r="AA460" s="65"/>
      <c r="AB460" s="65"/>
      <c r="AC460" s="65"/>
      <c r="AD460" s="65"/>
      <c r="AE460" s="65"/>
      <c r="AF460" s="193">
        <f t="shared" si="42"/>
        <v>4600</v>
      </c>
    </row>
    <row r="461" spans="1:32" ht="18" customHeight="1">
      <c r="A461" s="114" t="s">
        <v>157</v>
      </c>
      <c r="B461" s="12"/>
      <c r="C461" s="12"/>
      <c r="D461" s="12">
        <v>2836</v>
      </c>
      <c r="E461" s="12">
        <v>496</v>
      </c>
      <c r="F461" s="12">
        <v>68</v>
      </c>
      <c r="G461" s="12"/>
      <c r="H461" s="12"/>
      <c r="I461" s="12"/>
      <c r="J461" s="12"/>
      <c r="K461" s="12"/>
      <c r="L461" s="1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193">
        <f t="shared" si="42"/>
        <v>3400</v>
      </c>
    </row>
    <row r="462" spans="1:32" ht="18" customHeight="1">
      <c r="A462" s="113" t="s">
        <v>158</v>
      </c>
      <c r="B462" s="71"/>
      <c r="C462" s="71"/>
      <c r="D462" s="71">
        <v>2967</v>
      </c>
      <c r="E462" s="71">
        <v>511</v>
      </c>
      <c r="F462" s="71">
        <v>72</v>
      </c>
      <c r="G462" s="71"/>
      <c r="H462" s="71"/>
      <c r="I462" s="71"/>
      <c r="J462" s="71"/>
      <c r="K462" s="71"/>
      <c r="L462" s="71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  <c r="AA462" s="65"/>
      <c r="AB462" s="65"/>
      <c r="AC462" s="65"/>
      <c r="AD462" s="65"/>
      <c r="AE462" s="65"/>
      <c r="AF462" s="193">
        <f t="shared" si="42"/>
        <v>3550</v>
      </c>
    </row>
    <row r="463" spans="1:32" ht="18" customHeight="1">
      <c r="A463" s="114" t="s">
        <v>159</v>
      </c>
      <c r="B463" s="12"/>
      <c r="C463" s="12"/>
      <c r="D463" s="12">
        <v>3625</v>
      </c>
      <c r="E463" s="12">
        <v>635</v>
      </c>
      <c r="F463" s="12">
        <v>90</v>
      </c>
      <c r="G463" s="12"/>
      <c r="H463" s="12"/>
      <c r="I463" s="12"/>
      <c r="J463" s="12"/>
      <c r="K463" s="12"/>
      <c r="L463" s="1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2"/>
      <c r="AF463" s="193">
        <f t="shared" si="42"/>
        <v>4350</v>
      </c>
    </row>
    <row r="464" spans="1:32" ht="18" customHeight="1">
      <c r="A464" s="113" t="s">
        <v>160</v>
      </c>
      <c r="B464" s="71"/>
      <c r="C464" s="71"/>
      <c r="D464" s="71">
        <v>5510</v>
      </c>
      <c r="E464" s="71">
        <v>955</v>
      </c>
      <c r="F464" s="71">
        <v>135</v>
      </c>
      <c r="G464" s="71"/>
      <c r="H464" s="71"/>
      <c r="I464" s="71"/>
      <c r="J464" s="71"/>
      <c r="K464" s="71"/>
      <c r="L464" s="71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  <c r="Z464" s="65"/>
      <c r="AA464" s="65"/>
      <c r="AB464" s="65"/>
      <c r="AC464" s="65"/>
      <c r="AD464" s="65"/>
      <c r="AE464" s="65"/>
      <c r="AF464" s="193">
        <f t="shared" si="42"/>
        <v>6600</v>
      </c>
    </row>
    <row r="465" spans="1:32" ht="18" customHeight="1">
      <c r="A465" s="114" t="s">
        <v>161</v>
      </c>
      <c r="B465" s="12"/>
      <c r="C465" s="12"/>
      <c r="D465" s="12">
        <v>5920</v>
      </c>
      <c r="E465" s="12">
        <v>1295</v>
      </c>
      <c r="F465" s="12">
        <v>185</v>
      </c>
      <c r="G465" s="12"/>
      <c r="H465" s="12"/>
      <c r="I465" s="12"/>
      <c r="J465" s="12"/>
      <c r="K465" s="12"/>
      <c r="L465" s="1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2"/>
      <c r="AF465" s="193">
        <f t="shared" si="42"/>
        <v>7400</v>
      </c>
    </row>
    <row r="466" spans="1:32" ht="18" customHeight="1">
      <c r="A466" s="113" t="s">
        <v>162</v>
      </c>
      <c r="B466" s="71"/>
      <c r="C466" s="71"/>
      <c r="D466" s="71">
        <v>3833</v>
      </c>
      <c r="E466" s="71">
        <v>671</v>
      </c>
      <c r="F466" s="71">
        <v>96</v>
      </c>
      <c r="G466" s="71"/>
      <c r="H466" s="71"/>
      <c r="I466" s="71"/>
      <c r="J466" s="71"/>
      <c r="K466" s="71"/>
      <c r="L466" s="71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  <c r="AA466" s="65"/>
      <c r="AB466" s="65"/>
      <c r="AC466" s="65"/>
      <c r="AD466" s="65"/>
      <c r="AE466" s="65"/>
      <c r="AF466" s="193">
        <f t="shared" si="42"/>
        <v>4600</v>
      </c>
    </row>
    <row r="467" spans="1:32" ht="18" customHeight="1">
      <c r="A467" s="114" t="s">
        <v>163</v>
      </c>
      <c r="B467" s="12"/>
      <c r="C467" s="12"/>
      <c r="D467" s="12">
        <v>3280</v>
      </c>
      <c r="E467" s="12">
        <v>455</v>
      </c>
      <c r="F467" s="12">
        <v>65</v>
      </c>
      <c r="G467" s="12"/>
      <c r="H467" s="12"/>
      <c r="I467" s="12"/>
      <c r="J467" s="12"/>
      <c r="K467" s="12"/>
      <c r="L467" s="1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2"/>
      <c r="AF467" s="193">
        <f aca="true" t="shared" si="45" ref="AF467:AF530">SUM(B467:AE467)</f>
        <v>3800</v>
      </c>
    </row>
    <row r="468" spans="1:32" ht="18" customHeight="1">
      <c r="A468" s="113" t="s">
        <v>164</v>
      </c>
      <c r="B468" s="71"/>
      <c r="C468" s="71"/>
      <c r="D468" s="71">
        <v>5504</v>
      </c>
      <c r="E468" s="71">
        <v>961</v>
      </c>
      <c r="F468" s="71">
        <v>135</v>
      </c>
      <c r="G468" s="71"/>
      <c r="H468" s="71"/>
      <c r="I468" s="71"/>
      <c r="J468" s="71"/>
      <c r="K468" s="71"/>
      <c r="L468" s="71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  <c r="Z468" s="65"/>
      <c r="AA468" s="65"/>
      <c r="AB468" s="65"/>
      <c r="AC468" s="65"/>
      <c r="AD468" s="65"/>
      <c r="AE468" s="65"/>
      <c r="AF468" s="193">
        <f t="shared" si="45"/>
        <v>6600</v>
      </c>
    </row>
    <row r="469" spans="1:32" ht="18" customHeight="1">
      <c r="A469" s="114" t="s">
        <v>165</v>
      </c>
      <c r="B469" s="12"/>
      <c r="C469" s="12"/>
      <c r="D469" s="12">
        <v>8920</v>
      </c>
      <c r="E469" s="12">
        <v>1560</v>
      </c>
      <c r="F469" s="12">
        <v>220</v>
      </c>
      <c r="G469" s="12"/>
      <c r="H469" s="12"/>
      <c r="I469" s="12"/>
      <c r="J469" s="12"/>
      <c r="K469" s="12"/>
      <c r="L469" s="1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193">
        <f t="shared" si="45"/>
        <v>10700</v>
      </c>
    </row>
    <row r="470" spans="1:32" ht="18" customHeight="1">
      <c r="A470" s="113" t="s">
        <v>166</v>
      </c>
      <c r="B470" s="71"/>
      <c r="C470" s="71"/>
      <c r="D470" s="71">
        <v>4617</v>
      </c>
      <c r="E470" s="71">
        <v>795</v>
      </c>
      <c r="F470" s="71">
        <v>113</v>
      </c>
      <c r="G470" s="71"/>
      <c r="H470" s="71"/>
      <c r="I470" s="71"/>
      <c r="J470" s="71"/>
      <c r="K470" s="71"/>
      <c r="L470" s="71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  <c r="AA470" s="65"/>
      <c r="AB470" s="65"/>
      <c r="AC470" s="65"/>
      <c r="AD470" s="65"/>
      <c r="AE470" s="65"/>
      <c r="AF470" s="193">
        <f t="shared" si="45"/>
        <v>5525</v>
      </c>
    </row>
    <row r="471" spans="1:32" ht="18" customHeight="1">
      <c r="A471" s="114" t="s">
        <v>167</v>
      </c>
      <c r="B471" s="12"/>
      <c r="C471" s="12"/>
      <c r="D471" s="12">
        <v>7938</v>
      </c>
      <c r="E471" s="12">
        <v>1367</v>
      </c>
      <c r="F471" s="12">
        <v>195</v>
      </c>
      <c r="G471" s="12"/>
      <c r="H471" s="12"/>
      <c r="I471" s="12"/>
      <c r="J471" s="12"/>
      <c r="K471" s="12"/>
      <c r="L471" s="1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2"/>
      <c r="AF471" s="193">
        <f t="shared" si="45"/>
        <v>9500</v>
      </c>
    </row>
    <row r="472" spans="1:32" ht="18" customHeight="1">
      <c r="A472" s="113" t="s">
        <v>168</v>
      </c>
      <c r="B472" s="71"/>
      <c r="C472" s="71"/>
      <c r="D472" s="71">
        <v>3168</v>
      </c>
      <c r="E472" s="71">
        <v>554</v>
      </c>
      <c r="F472" s="71">
        <v>78</v>
      </c>
      <c r="G472" s="71"/>
      <c r="H472" s="71"/>
      <c r="I472" s="71"/>
      <c r="J472" s="71"/>
      <c r="K472" s="71"/>
      <c r="L472" s="71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65"/>
      <c r="AA472" s="65"/>
      <c r="AB472" s="65"/>
      <c r="AC472" s="65"/>
      <c r="AD472" s="65"/>
      <c r="AE472" s="65"/>
      <c r="AF472" s="193">
        <f t="shared" si="45"/>
        <v>3800</v>
      </c>
    </row>
    <row r="473" spans="1:32" ht="18" customHeight="1">
      <c r="A473" s="114" t="s">
        <v>169</v>
      </c>
      <c r="B473" s="12"/>
      <c r="C473" s="12"/>
      <c r="D473" s="12">
        <v>3835</v>
      </c>
      <c r="E473" s="12">
        <v>670</v>
      </c>
      <c r="F473" s="12">
        <v>95</v>
      </c>
      <c r="G473" s="12"/>
      <c r="H473" s="12"/>
      <c r="I473" s="12"/>
      <c r="J473" s="12"/>
      <c r="K473" s="12"/>
      <c r="L473" s="1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193">
        <f t="shared" si="45"/>
        <v>4600</v>
      </c>
    </row>
    <row r="474" spans="1:32" ht="18" customHeight="1">
      <c r="A474" s="113" t="s">
        <v>170</v>
      </c>
      <c r="B474" s="71"/>
      <c r="C474" s="71"/>
      <c r="D474" s="71">
        <v>4169</v>
      </c>
      <c r="E474" s="71">
        <v>728</v>
      </c>
      <c r="F474" s="71">
        <v>103</v>
      </c>
      <c r="G474" s="71"/>
      <c r="H474" s="71"/>
      <c r="I474" s="71"/>
      <c r="J474" s="71"/>
      <c r="K474" s="71"/>
      <c r="L474" s="71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  <c r="AA474" s="65"/>
      <c r="AB474" s="65"/>
      <c r="AC474" s="65"/>
      <c r="AD474" s="65"/>
      <c r="AE474" s="65"/>
      <c r="AF474" s="193">
        <f t="shared" si="45"/>
        <v>5000</v>
      </c>
    </row>
    <row r="475" spans="1:32" ht="18" customHeight="1">
      <c r="A475" s="114" t="s">
        <v>171</v>
      </c>
      <c r="B475" s="12"/>
      <c r="C475" s="12"/>
      <c r="D475" s="12">
        <v>3800</v>
      </c>
      <c r="E475" s="12">
        <v>800</v>
      </c>
      <c r="F475" s="12">
        <v>150</v>
      </c>
      <c r="G475" s="12"/>
      <c r="H475" s="12"/>
      <c r="I475" s="12"/>
      <c r="J475" s="12"/>
      <c r="K475" s="12"/>
      <c r="L475" s="1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2"/>
      <c r="AF475" s="193">
        <f t="shared" si="45"/>
        <v>4750</v>
      </c>
    </row>
    <row r="476" spans="1:32" ht="18" customHeight="1">
      <c r="A476" s="113" t="s">
        <v>172</v>
      </c>
      <c r="B476" s="71"/>
      <c r="C476" s="71"/>
      <c r="D476" s="71">
        <v>3175</v>
      </c>
      <c r="E476" s="71">
        <v>547</v>
      </c>
      <c r="F476" s="71">
        <v>78</v>
      </c>
      <c r="G476" s="71"/>
      <c r="H476" s="71"/>
      <c r="I476" s="71"/>
      <c r="J476" s="71"/>
      <c r="K476" s="71"/>
      <c r="L476" s="71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65"/>
      <c r="AA476" s="65"/>
      <c r="AB476" s="65"/>
      <c r="AC476" s="65"/>
      <c r="AD476" s="65"/>
      <c r="AE476" s="65"/>
      <c r="AF476" s="193">
        <f t="shared" si="45"/>
        <v>3800</v>
      </c>
    </row>
    <row r="477" spans="1:32" ht="18" customHeight="1">
      <c r="A477" s="114" t="s">
        <v>173</v>
      </c>
      <c r="B477" s="12"/>
      <c r="C477" s="12"/>
      <c r="D477" s="12">
        <v>3835</v>
      </c>
      <c r="E477" s="12">
        <v>670</v>
      </c>
      <c r="F477" s="12">
        <v>95</v>
      </c>
      <c r="G477" s="12"/>
      <c r="H477" s="12"/>
      <c r="I477" s="12"/>
      <c r="J477" s="12"/>
      <c r="K477" s="12"/>
      <c r="L477" s="1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193">
        <f t="shared" si="45"/>
        <v>4600</v>
      </c>
    </row>
    <row r="478" spans="1:32" ht="18" customHeight="1">
      <c r="A478" s="113" t="s">
        <v>174</v>
      </c>
      <c r="B478" s="71"/>
      <c r="C478" s="71"/>
      <c r="D478" s="71">
        <v>4169</v>
      </c>
      <c r="E478" s="71">
        <v>728</v>
      </c>
      <c r="F478" s="71">
        <v>103</v>
      </c>
      <c r="G478" s="71"/>
      <c r="H478" s="71"/>
      <c r="I478" s="71"/>
      <c r="J478" s="71"/>
      <c r="K478" s="71"/>
      <c r="L478" s="71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  <c r="AA478" s="65"/>
      <c r="AB478" s="65"/>
      <c r="AC478" s="65"/>
      <c r="AD478" s="65"/>
      <c r="AE478" s="65"/>
      <c r="AF478" s="193">
        <f t="shared" si="45"/>
        <v>5000</v>
      </c>
    </row>
    <row r="479" spans="1:32" ht="18" customHeight="1">
      <c r="A479" s="114" t="s">
        <v>175</v>
      </c>
      <c r="B479" s="12"/>
      <c r="C479" s="12"/>
      <c r="D479" s="12">
        <v>5504</v>
      </c>
      <c r="E479" s="12">
        <v>961</v>
      </c>
      <c r="F479" s="12">
        <v>135</v>
      </c>
      <c r="G479" s="12"/>
      <c r="H479" s="12"/>
      <c r="I479" s="12"/>
      <c r="J479" s="12"/>
      <c r="K479" s="12"/>
      <c r="L479" s="1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2"/>
      <c r="AF479" s="193">
        <f t="shared" si="45"/>
        <v>6600</v>
      </c>
    </row>
    <row r="480" spans="1:32" ht="18" customHeight="1">
      <c r="A480" s="113" t="s">
        <v>178</v>
      </c>
      <c r="B480" s="71"/>
      <c r="C480" s="71"/>
      <c r="D480" s="71">
        <v>5504</v>
      </c>
      <c r="E480" s="71">
        <v>961</v>
      </c>
      <c r="F480" s="71">
        <v>135</v>
      </c>
      <c r="G480" s="71"/>
      <c r="H480" s="71"/>
      <c r="I480" s="71"/>
      <c r="J480" s="71"/>
      <c r="K480" s="71"/>
      <c r="L480" s="71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  <c r="AA480" s="65"/>
      <c r="AB480" s="65"/>
      <c r="AC480" s="65"/>
      <c r="AD480" s="65"/>
      <c r="AE480" s="65"/>
      <c r="AF480" s="193">
        <f t="shared" si="45"/>
        <v>6600</v>
      </c>
    </row>
    <row r="481" spans="1:32" ht="18" customHeight="1">
      <c r="A481" s="114" t="s">
        <v>176</v>
      </c>
      <c r="B481" s="12"/>
      <c r="C481" s="12"/>
      <c r="D481" s="12">
        <v>2751</v>
      </c>
      <c r="E481" s="12">
        <v>481</v>
      </c>
      <c r="F481" s="12">
        <v>68</v>
      </c>
      <c r="G481" s="12"/>
      <c r="H481" s="12"/>
      <c r="I481" s="12"/>
      <c r="J481" s="12"/>
      <c r="K481" s="12"/>
      <c r="L481" s="1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193">
        <f t="shared" si="45"/>
        <v>3300</v>
      </c>
    </row>
    <row r="482" spans="1:32" ht="18" customHeight="1">
      <c r="A482" s="113" t="s">
        <v>177</v>
      </c>
      <c r="B482" s="71"/>
      <c r="C482" s="71"/>
      <c r="D482" s="71">
        <v>2335</v>
      </c>
      <c r="E482" s="71">
        <v>406</v>
      </c>
      <c r="F482" s="71">
        <v>59</v>
      </c>
      <c r="G482" s="71"/>
      <c r="H482" s="71"/>
      <c r="I482" s="71"/>
      <c r="J482" s="71"/>
      <c r="K482" s="71"/>
      <c r="L482" s="71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  <c r="AA482" s="65"/>
      <c r="AB482" s="65"/>
      <c r="AC482" s="65"/>
      <c r="AD482" s="65"/>
      <c r="AE482" s="65"/>
      <c r="AF482" s="193">
        <f t="shared" si="45"/>
        <v>2800</v>
      </c>
    </row>
    <row r="483" spans="1:32" ht="18" customHeight="1">
      <c r="A483" s="114" t="s">
        <v>327</v>
      </c>
      <c r="B483" s="12"/>
      <c r="C483" s="12"/>
      <c r="D483" s="12">
        <v>4838</v>
      </c>
      <c r="E483" s="12">
        <v>844</v>
      </c>
      <c r="F483" s="12">
        <v>118</v>
      </c>
      <c r="G483" s="12"/>
      <c r="H483" s="12"/>
      <c r="I483" s="12"/>
      <c r="J483" s="12"/>
      <c r="K483" s="12"/>
      <c r="L483" s="1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2"/>
      <c r="AF483" s="193">
        <f t="shared" si="45"/>
        <v>5800</v>
      </c>
    </row>
    <row r="484" spans="1:32" ht="18" customHeight="1">
      <c r="A484" s="113" t="s">
        <v>225</v>
      </c>
      <c r="B484" s="71"/>
      <c r="C484" s="71"/>
      <c r="D484" s="71">
        <v>5718</v>
      </c>
      <c r="E484" s="71">
        <v>1137</v>
      </c>
      <c r="F484" s="71">
        <v>145</v>
      </c>
      <c r="G484" s="71"/>
      <c r="H484" s="71"/>
      <c r="I484" s="71"/>
      <c r="J484" s="71"/>
      <c r="K484" s="71"/>
      <c r="L484" s="71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  <c r="AA484" s="65"/>
      <c r="AB484" s="65"/>
      <c r="AC484" s="65"/>
      <c r="AD484" s="65"/>
      <c r="AE484" s="65"/>
      <c r="AF484" s="193">
        <f t="shared" si="45"/>
        <v>7000</v>
      </c>
    </row>
    <row r="485" spans="1:32" ht="18" customHeight="1">
      <c r="A485" s="114" t="s">
        <v>300</v>
      </c>
      <c r="B485" s="12"/>
      <c r="C485" s="12"/>
      <c r="D485" s="12">
        <v>4040</v>
      </c>
      <c r="E485" s="12">
        <v>708</v>
      </c>
      <c r="F485" s="12">
        <v>102</v>
      </c>
      <c r="G485" s="12"/>
      <c r="H485" s="12"/>
      <c r="I485" s="12"/>
      <c r="J485" s="12"/>
      <c r="K485" s="12"/>
      <c r="L485" s="1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2"/>
      <c r="AF485" s="193">
        <f t="shared" si="45"/>
        <v>4850</v>
      </c>
    </row>
    <row r="486" spans="1:32" ht="18" customHeight="1">
      <c r="A486" s="113" t="s">
        <v>207</v>
      </c>
      <c r="B486" s="71"/>
      <c r="C486" s="71"/>
      <c r="D486" s="71">
        <v>5378</v>
      </c>
      <c r="E486" s="71">
        <v>940</v>
      </c>
      <c r="F486" s="71">
        <v>132</v>
      </c>
      <c r="G486" s="71"/>
      <c r="H486" s="71"/>
      <c r="I486" s="71"/>
      <c r="J486" s="71"/>
      <c r="K486" s="71"/>
      <c r="L486" s="71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65"/>
      <c r="AA486" s="65"/>
      <c r="AB486" s="65"/>
      <c r="AC486" s="65"/>
      <c r="AD486" s="65"/>
      <c r="AE486" s="65"/>
      <c r="AF486" s="193">
        <f t="shared" si="45"/>
        <v>6450</v>
      </c>
    </row>
    <row r="487" spans="1:32" ht="18" customHeight="1">
      <c r="A487" s="114" t="s">
        <v>208</v>
      </c>
      <c r="B487" s="12"/>
      <c r="C487" s="12"/>
      <c r="D487" s="12">
        <v>4500</v>
      </c>
      <c r="E487" s="12">
        <v>789</v>
      </c>
      <c r="F487" s="12">
        <v>111</v>
      </c>
      <c r="G487" s="12"/>
      <c r="H487" s="12"/>
      <c r="I487" s="12"/>
      <c r="J487" s="12"/>
      <c r="K487" s="12"/>
      <c r="L487" s="1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2"/>
      <c r="AF487" s="193">
        <f t="shared" si="45"/>
        <v>5400</v>
      </c>
    </row>
    <row r="488" spans="1:32" ht="18" customHeight="1">
      <c r="A488" s="113" t="s">
        <v>209</v>
      </c>
      <c r="B488" s="71"/>
      <c r="C488" s="71"/>
      <c r="D488" s="71">
        <v>4716</v>
      </c>
      <c r="E488" s="71">
        <v>818</v>
      </c>
      <c r="F488" s="71">
        <v>116</v>
      </c>
      <c r="G488" s="71"/>
      <c r="H488" s="71"/>
      <c r="I488" s="71"/>
      <c r="J488" s="71"/>
      <c r="K488" s="71"/>
      <c r="L488" s="71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  <c r="Z488" s="65"/>
      <c r="AA488" s="65"/>
      <c r="AB488" s="65"/>
      <c r="AC488" s="65"/>
      <c r="AD488" s="65"/>
      <c r="AE488" s="65"/>
      <c r="AF488" s="193">
        <f t="shared" si="45"/>
        <v>5650</v>
      </c>
    </row>
    <row r="489" spans="1:32" ht="18" customHeight="1">
      <c r="A489" s="114" t="s">
        <v>210</v>
      </c>
      <c r="B489" s="12"/>
      <c r="C489" s="12"/>
      <c r="D489" s="12">
        <v>8467</v>
      </c>
      <c r="E489" s="12">
        <v>1848</v>
      </c>
      <c r="F489" s="12">
        <v>260</v>
      </c>
      <c r="G489" s="12"/>
      <c r="H489" s="12"/>
      <c r="I489" s="12"/>
      <c r="J489" s="12"/>
      <c r="K489" s="12"/>
      <c r="L489" s="1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2"/>
      <c r="AF489" s="193">
        <f t="shared" si="45"/>
        <v>10575</v>
      </c>
    </row>
    <row r="490" spans="1:32" ht="18" customHeight="1">
      <c r="A490" s="113" t="s">
        <v>216</v>
      </c>
      <c r="B490" s="71"/>
      <c r="C490" s="71"/>
      <c r="D490" s="71">
        <v>5169</v>
      </c>
      <c r="E490" s="71">
        <v>904</v>
      </c>
      <c r="F490" s="71">
        <v>127</v>
      </c>
      <c r="G490" s="71"/>
      <c r="H490" s="71"/>
      <c r="I490" s="71"/>
      <c r="J490" s="71"/>
      <c r="K490" s="71"/>
      <c r="L490" s="71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  <c r="AA490" s="65"/>
      <c r="AB490" s="65"/>
      <c r="AC490" s="65"/>
      <c r="AD490" s="65"/>
      <c r="AE490" s="65"/>
      <c r="AF490" s="193">
        <f t="shared" si="45"/>
        <v>6200</v>
      </c>
    </row>
    <row r="491" spans="1:32" ht="18" customHeight="1">
      <c r="A491" s="114" t="s">
        <v>217</v>
      </c>
      <c r="B491" s="12"/>
      <c r="C491" s="12"/>
      <c r="D491" s="12">
        <v>7712</v>
      </c>
      <c r="E491" s="12">
        <v>1349</v>
      </c>
      <c r="F491" s="12">
        <v>189</v>
      </c>
      <c r="G491" s="12"/>
      <c r="H491" s="12"/>
      <c r="I491" s="12"/>
      <c r="J491" s="12"/>
      <c r="K491" s="12"/>
      <c r="L491" s="1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2"/>
      <c r="AF491" s="193">
        <f t="shared" si="45"/>
        <v>9250</v>
      </c>
    </row>
    <row r="492" spans="1:32" ht="18" customHeight="1">
      <c r="A492" s="113" t="s">
        <v>211</v>
      </c>
      <c r="B492" s="71"/>
      <c r="C492" s="71"/>
      <c r="D492" s="71">
        <v>5170</v>
      </c>
      <c r="E492" s="71">
        <v>903</v>
      </c>
      <c r="F492" s="71">
        <v>127</v>
      </c>
      <c r="G492" s="71"/>
      <c r="H492" s="71"/>
      <c r="I492" s="71"/>
      <c r="J492" s="71"/>
      <c r="K492" s="71"/>
      <c r="L492" s="71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  <c r="AA492" s="65"/>
      <c r="AB492" s="65"/>
      <c r="AC492" s="65"/>
      <c r="AD492" s="65"/>
      <c r="AE492" s="65"/>
      <c r="AF492" s="193">
        <f t="shared" si="45"/>
        <v>6200</v>
      </c>
    </row>
    <row r="493" spans="1:32" ht="18" customHeight="1">
      <c r="A493" s="114" t="s">
        <v>218</v>
      </c>
      <c r="B493" s="12"/>
      <c r="C493" s="12"/>
      <c r="D493" s="12">
        <v>4721</v>
      </c>
      <c r="E493" s="12">
        <v>813</v>
      </c>
      <c r="F493" s="12">
        <v>116</v>
      </c>
      <c r="G493" s="12"/>
      <c r="H493" s="12"/>
      <c r="I493" s="12"/>
      <c r="J493" s="12"/>
      <c r="K493" s="12"/>
      <c r="L493" s="1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2"/>
      <c r="AF493" s="193">
        <f t="shared" si="45"/>
        <v>5650</v>
      </c>
    </row>
    <row r="494" spans="1:32" ht="18" customHeight="1">
      <c r="A494" s="113" t="s">
        <v>219</v>
      </c>
      <c r="B494" s="71"/>
      <c r="C494" s="71"/>
      <c r="D494" s="71">
        <v>9710</v>
      </c>
      <c r="E494" s="71">
        <v>1700</v>
      </c>
      <c r="F494" s="71">
        <v>240</v>
      </c>
      <c r="G494" s="71"/>
      <c r="H494" s="71"/>
      <c r="I494" s="71"/>
      <c r="J494" s="71"/>
      <c r="K494" s="71"/>
      <c r="L494" s="71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  <c r="AA494" s="65"/>
      <c r="AB494" s="65"/>
      <c r="AC494" s="65"/>
      <c r="AD494" s="65"/>
      <c r="AE494" s="65"/>
      <c r="AF494" s="193">
        <f t="shared" si="45"/>
        <v>11650</v>
      </c>
    </row>
    <row r="495" spans="1:32" ht="18" customHeight="1">
      <c r="A495" s="114" t="s">
        <v>220</v>
      </c>
      <c r="B495" s="12"/>
      <c r="C495" s="12"/>
      <c r="D495" s="12">
        <v>2340</v>
      </c>
      <c r="E495" s="12">
        <v>403</v>
      </c>
      <c r="F495" s="12">
        <v>57</v>
      </c>
      <c r="G495" s="12"/>
      <c r="H495" s="12"/>
      <c r="I495" s="12"/>
      <c r="J495" s="12"/>
      <c r="K495" s="12"/>
      <c r="L495" s="1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2"/>
      <c r="AF495" s="193">
        <f t="shared" si="45"/>
        <v>2800</v>
      </c>
    </row>
    <row r="496" spans="1:32" ht="18" customHeight="1">
      <c r="A496" s="113" t="s">
        <v>221</v>
      </c>
      <c r="B496" s="71"/>
      <c r="C496" s="71"/>
      <c r="D496" s="71">
        <v>2954</v>
      </c>
      <c r="E496" s="71">
        <v>521</v>
      </c>
      <c r="F496" s="71">
        <v>75</v>
      </c>
      <c r="G496" s="71"/>
      <c r="H496" s="71"/>
      <c r="I496" s="71"/>
      <c r="J496" s="71"/>
      <c r="K496" s="71"/>
      <c r="L496" s="71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  <c r="AA496" s="65"/>
      <c r="AB496" s="65"/>
      <c r="AC496" s="65"/>
      <c r="AD496" s="65"/>
      <c r="AE496" s="65"/>
      <c r="AF496" s="193">
        <f t="shared" si="45"/>
        <v>3550</v>
      </c>
    </row>
    <row r="497" spans="1:32" ht="18" customHeight="1">
      <c r="A497" s="114" t="s">
        <v>212</v>
      </c>
      <c r="B497" s="12"/>
      <c r="C497" s="12"/>
      <c r="D497" s="12">
        <v>5234</v>
      </c>
      <c r="E497" s="12">
        <v>496</v>
      </c>
      <c r="F497" s="12">
        <v>70</v>
      </c>
      <c r="G497" s="12"/>
      <c r="H497" s="12"/>
      <c r="I497" s="12"/>
      <c r="J497" s="12"/>
      <c r="K497" s="12"/>
      <c r="L497" s="1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  <c r="AE497" s="52"/>
      <c r="AF497" s="193">
        <f t="shared" si="45"/>
        <v>5800</v>
      </c>
    </row>
    <row r="498" spans="1:32" ht="18" customHeight="1">
      <c r="A498" s="113" t="s">
        <v>213</v>
      </c>
      <c r="B498" s="71"/>
      <c r="C498" s="71"/>
      <c r="D498" s="71">
        <v>4505</v>
      </c>
      <c r="E498" s="71">
        <v>785</v>
      </c>
      <c r="F498" s="71">
        <v>110</v>
      </c>
      <c r="G498" s="71"/>
      <c r="H498" s="71"/>
      <c r="I498" s="71"/>
      <c r="J498" s="71"/>
      <c r="K498" s="71"/>
      <c r="L498" s="71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65"/>
      <c r="AA498" s="65"/>
      <c r="AB498" s="65"/>
      <c r="AC498" s="65"/>
      <c r="AD498" s="65"/>
      <c r="AE498" s="65"/>
      <c r="AF498" s="193">
        <f t="shared" si="45"/>
        <v>5400</v>
      </c>
    </row>
    <row r="499" spans="1:32" ht="18" customHeight="1">
      <c r="A499" s="114" t="s">
        <v>222</v>
      </c>
      <c r="B499" s="12"/>
      <c r="C499" s="12"/>
      <c r="D499" s="12">
        <v>8047</v>
      </c>
      <c r="E499" s="12">
        <v>1405</v>
      </c>
      <c r="F499" s="12">
        <v>198</v>
      </c>
      <c r="G499" s="12"/>
      <c r="H499" s="12"/>
      <c r="I499" s="12"/>
      <c r="J499" s="12"/>
      <c r="K499" s="12"/>
      <c r="L499" s="1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  <c r="AE499" s="52"/>
      <c r="AF499" s="193">
        <f t="shared" si="45"/>
        <v>9650</v>
      </c>
    </row>
    <row r="500" spans="1:32" ht="18" customHeight="1">
      <c r="A500" s="113" t="s">
        <v>214</v>
      </c>
      <c r="B500" s="71"/>
      <c r="C500" s="71"/>
      <c r="D500" s="71">
        <v>4511</v>
      </c>
      <c r="E500" s="71">
        <v>778</v>
      </c>
      <c r="F500" s="71">
        <v>111</v>
      </c>
      <c r="G500" s="71"/>
      <c r="H500" s="71"/>
      <c r="I500" s="71"/>
      <c r="J500" s="71"/>
      <c r="K500" s="71"/>
      <c r="L500" s="71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  <c r="Z500" s="65"/>
      <c r="AA500" s="65"/>
      <c r="AB500" s="65"/>
      <c r="AC500" s="65"/>
      <c r="AD500" s="65"/>
      <c r="AE500" s="65"/>
      <c r="AF500" s="193">
        <f t="shared" si="45"/>
        <v>5400</v>
      </c>
    </row>
    <row r="501" spans="1:32" ht="18" customHeight="1">
      <c r="A501" s="114" t="s">
        <v>223</v>
      </c>
      <c r="B501" s="12"/>
      <c r="C501" s="12"/>
      <c r="D501" s="12">
        <v>5161</v>
      </c>
      <c r="E501" s="12">
        <v>913</v>
      </c>
      <c r="F501" s="12">
        <v>126</v>
      </c>
      <c r="G501" s="12"/>
      <c r="H501" s="12"/>
      <c r="I501" s="12"/>
      <c r="J501" s="12"/>
      <c r="K501" s="12"/>
      <c r="L501" s="1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  <c r="AE501" s="52"/>
      <c r="AF501" s="193">
        <f t="shared" si="45"/>
        <v>6200</v>
      </c>
    </row>
    <row r="502" spans="1:32" ht="18" customHeight="1">
      <c r="A502" s="113" t="s">
        <v>215</v>
      </c>
      <c r="B502" s="71"/>
      <c r="C502" s="71"/>
      <c r="D502" s="71">
        <v>3843</v>
      </c>
      <c r="E502" s="71">
        <v>662</v>
      </c>
      <c r="F502" s="71">
        <v>95</v>
      </c>
      <c r="G502" s="71"/>
      <c r="H502" s="71"/>
      <c r="I502" s="71"/>
      <c r="J502" s="71"/>
      <c r="K502" s="71"/>
      <c r="L502" s="71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  <c r="AA502" s="65"/>
      <c r="AB502" s="65"/>
      <c r="AC502" s="65"/>
      <c r="AD502" s="65"/>
      <c r="AE502" s="65"/>
      <c r="AF502" s="193">
        <f t="shared" si="45"/>
        <v>4600</v>
      </c>
    </row>
    <row r="503" spans="1:32" ht="18" customHeight="1">
      <c r="A503" s="114" t="s">
        <v>144</v>
      </c>
      <c r="B503" s="12"/>
      <c r="C503" s="12"/>
      <c r="D503" s="12">
        <v>5058</v>
      </c>
      <c r="E503" s="12">
        <v>891</v>
      </c>
      <c r="F503" s="12">
        <v>126</v>
      </c>
      <c r="G503" s="12"/>
      <c r="H503" s="12"/>
      <c r="I503" s="12"/>
      <c r="J503" s="12"/>
      <c r="K503" s="12"/>
      <c r="L503" s="1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  <c r="AE503" s="52"/>
      <c r="AF503" s="193">
        <f t="shared" si="45"/>
        <v>6075</v>
      </c>
    </row>
    <row r="504" spans="1:32" ht="18" customHeight="1">
      <c r="A504" s="113" t="s">
        <v>145</v>
      </c>
      <c r="B504" s="71"/>
      <c r="C504" s="71"/>
      <c r="D504" s="71">
        <v>6183</v>
      </c>
      <c r="E504" s="71">
        <v>1065</v>
      </c>
      <c r="F504" s="71">
        <v>152</v>
      </c>
      <c r="G504" s="71"/>
      <c r="H504" s="71"/>
      <c r="I504" s="71"/>
      <c r="J504" s="71"/>
      <c r="K504" s="71"/>
      <c r="L504" s="71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  <c r="AA504" s="65"/>
      <c r="AB504" s="65"/>
      <c r="AC504" s="65"/>
      <c r="AD504" s="65"/>
      <c r="AE504" s="65"/>
      <c r="AF504" s="193">
        <f t="shared" si="45"/>
        <v>7400</v>
      </c>
    </row>
    <row r="505" spans="1:32" ht="18" customHeight="1">
      <c r="A505" s="114" t="s">
        <v>146</v>
      </c>
      <c r="B505" s="12"/>
      <c r="C505" s="12"/>
      <c r="D505" s="12">
        <v>5848</v>
      </c>
      <c r="E505" s="12">
        <v>1008</v>
      </c>
      <c r="F505" s="12">
        <v>144</v>
      </c>
      <c r="G505" s="12"/>
      <c r="H505" s="12"/>
      <c r="I505" s="12"/>
      <c r="J505" s="12"/>
      <c r="K505" s="12"/>
      <c r="L505" s="1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  <c r="AE505" s="52"/>
      <c r="AF505" s="193">
        <f t="shared" si="45"/>
        <v>7000</v>
      </c>
    </row>
    <row r="506" spans="1:32" ht="18" customHeight="1">
      <c r="A506" s="113" t="s">
        <v>140</v>
      </c>
      <c r="B506" s="71"/>
      <c r="C506" s="71"/>
      <c r="D506" s="71">
        <v>4507</v>
      </c>
      <c r="E506" s="71">
        <v>782</v>
      </c>
      <c r="F506" s="71">
        <v>111</v>
      </c>
      <c r="G506" s="71"/>
      <c r="H506" s="71"/>
      <c r="I506" s="71"/>
      <c r="J506" s="71"/>
      <c r="K506" s="71"/>
      <c r="L506" s="71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  <c r="AA506" s="65"/>
      <c r="AB506" s="65"/>
      <c r="AC506" s="65"/>
      <c r="AD506" s="65"/>
      <c r="AE506" s="65"/>
      <c r="AF506" s="193">
        <f t="shared" si="45"/>
        <v>5400</v>
      </c>
    </row>
    <row r="507" spans="1:32" ht="18" customHeight="1">
      <c r="A507" s="114" t="s">
        <v>297</v>
      </c>
      <c r="B507" s="12"/>
      <c r="C507" s="12"/>
      <c r="D507" s="12">
        <v>6853</v>
      </c>
      <c r="E507" s="12">
        <v>1179</v>
      </c>
      <c r="F507" s="12">
        <v>168</v>
      </c>
      <c r="G507" s="12"/>
      <c r="H507" s="12"/>
      <c r="I507" s="12"/>
      <c r="J507" s="12"/>
      <c r="K507" s="12"/>
      <c r="L507" s="1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2"/>
      <c r="AF507" s="193">
        <f t="shared" si="45"/>
        <v>8200</v>
      </c>
    </row>
    <row r="508" spans="1:32" ht="18" customHeight="1">
      <c r="A508" s="113" t="s">
        <v>141</v>
      </c>
      <c r="B508" s="71"/>
      <c r="C508" s="71"/>
      <c r="D508" s="71">
        <v>5174</v>
      </c>
      <c r="E508" s="71">
        <v>899</v>
      </c>
      <c r="F508" s="71">
        <v>127</v>
      </c>
      <c r="G508" s="71"/>
      <c r="H508" s="71"/>
      <c r="I508" s="71"/>
      <c r="J508" s="71"/>
      <c r="K508" s="71"/>
      <c r="L508" s="71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  <c r="AA508" s="65"/>
      <c r="AB508" s="65"/>
      <c r="AC508" s="65"/>
      <c r="AD508" s="65"/>
      <c r="AE508" s="65"/>
      <c r="AF508" s="193">
        <f t="shared" si="45"/>
        <v>6200</v>
      </c>
    </row>
    <row r="509" spans="1:32" ht="18" customHeight="1">
      <c r="A509" s="114" t="s">
        <v>142</v>
      </c>
      <c r="B509" s="12"/>
      <c r="C509" s="12"/>
      <c r="D509" s="12">
        <v>4408</v>
      </c>
      <c r="E509" s="12">
        <v>759</v>
      </c>
      <c r="F509" s="12">
        <v>108</v>
      </c>
      <c r="G509" s="12"/>
      <c r="H509" s="12"/>
      <c r="I509" s="12"/>
      <c r="J509" s="12"/>
      <c r="K509" s="12"/>
      <c r="L509" s="1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  <c r="AE509" s="52"/>
      <c r="AF509" s="193">
        <f t="shared" si="45"/>
        <v>5275</v>
      </c>
    </row>
    <row r="510" spans="1:32" ht="18" customHeight="1">
      <c r="A510" s="113" t="s">
        <v>277</v>
      </c>
      <c r="B510" s="71"/>
      <c r="C510" s="71"/>
      <c r="D510" s="71">
        <v>3419</v>
      </c>
      <c r="E510" s="71">
        <v>597</v>
      </c>
      <c r="F510" s="71">
        <v>84</v>
      </c>
      <c r="G510" s="71"/>
      <c r="H510" s="71"/>
      <c r="I510" s="71"/>
      <c r="J510" s="71"/>
      <c r="K510" s="71"/>
      <c r="L510" s="71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  <c r="AA510" s="65"/>
      <c r="AB510" s="65"/>
      <c r="AC510" s="65"/>
      <c r="AD510" s="65"/>
      <c r="AE510" s="65"/>
      <c r="AF510" s="193">
        <f t="shared" si="45"/>
        <v>4100</v>
      </c>
    </row>
    <row r="511" spans="1:32" ht="18" customHeight="1">
      <c r="A511" s="114" t="s">
        <v>143</v>
      </c>
      <c r="B511" s="12"/>
      <c r="C511" s="12"/>
      <c r="D511" s="12">
        <v>5830</v>
      </c>
      <c r="E511" s="12">
        <v>1015</v>
      </c>
      <c r="F511" s="12">
        <v>155</v>
      </c>
      <c r="G511" s="12"/>
      <c r="H511" s="12"/>
      <c r="I511" s="12"/>
      <c r="J511" s="12"/>
      <c r="K511" s="12"/>
      <c r="L511" s="1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  <c r="AE511" s="52"/>
      <c r="AF511" s="193">
        <f t="shared" si="45"/>
        <v>7000</v>
      </c>
    </row>
    <row r="512" spans="1:32" ht="18" customHeight="1">
      <c r="A512" s="113" t="s">
        <v>322</v>
      </c>
      <c r="B512" s="71"/>
      <c r="C512" s="71"/>
      <c r="D512" s="71">
        <v>7464</v>
      </c>
      <c r="E512" s="71">
        <v>1303</v>
      </c>
      <c r="F512" s="71">
        <v>183</v>
      </c>
      <c r="G512" s="71"/>
      <c r="H512" s="71"/>
      <c r="I512" s="71"/>
      <c r="J512" s="71"/>
      <c r="K512" s="71"/>
      <c r="L512" s="71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  <c r="AA512" s="65"/>
      <c r="AB512" s="65"/>
      <c r="AC512" s="65"/>
      <c r="AD512" s="65"/>
      <c r="AE512" s="65"/>
      <c r="AF512" s="193">
        <f t="shared" si="45"/>
        <v>8950</v>
      </c>
    </row>
    <row r="513" spans="1:32" ht="18" customHeight="1">
      <c r="A513" s="114" t="s">
        <v>323</v>
      </c>
      <c r="B513" s="12"/>
      <c r="C513" s="12"/>
      <c r="D513" s="12">
        <v>3342</v>
      </c>
      <c r="E513" s="12">
        <v>576</v>
      </c>
      <c r="F513" s="12">
        <v>82</v>
      </c>
      <c r="G513" s="12"/>
      <c r="H513" s="12"/>
      <c r="I513" s="12"/>
      <c r="J513" s="12"/>
      <c r="K513" s="12"/>
      <c r="L513" s="1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  <c r="AE513" s="52"/>
      <c r="AF513" s="193">
        <f t="shared" si="45"/>
        <v>4000</v>
      </c>
    </row>
    <row r="514" spans="1:32" ht="18" customHeight="1">
      <c r="A514" s="113" t="s">
        <v>324</v>
      </c>
      <c r="B514" s="71"/>
      <c r="C514" s="71"/>
      <c r="D514" s="71">
        <v>10633</v>
      </c>
      <c r="E514" s="71">
        <v>2542</v>
      </c>
      <c r="F514" s="71">
        <v>275</v>
      </c>
      <c r="G514" s="71"/>
      <c r="H514" s="71"/>
      <c r="I514" s="71"/>
      <c r="J514" s="71"/>
      <c r="K514" s="71"/>
      <c r="L514" s="71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  <c r="AA514" s="65"/>
      <c r="AB514" s="65"/>
      <c r="AC514" s="65"/>
      <c r="AD514" s="65"/>
      <c r="AE514" s="65"/>
      <c r="AF514" s="193">
        <f t="shared" si="45"/>
        <v>13450</v>
      </c>
    </row>
    <row r="515" spans="1:32" ht="18" customHeight="1">
      <c r="A515" s="114" t="s">
        <v>325</v>
      </c>
      <c r="B515" s="12"/>
      <c r="C515" s="12"/>
      <c r="D515" s="12">
        <v>13927</v>
      </c>
      <c r="E515" s="12">
        <v>2432</v>
      </c>
      <c r="F515" s="12">
        <v>341</v>
      </c>
      <c r="G515" s="12"/>
      <c r="H515" s="12"/>
      <c r="I515" s="12"/>
      <c r="J515" s="12"/>
      <c r="K515" s="12"/>
      <c r="L515" s="1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2"/>
      <c r="AF515" s="193">
        <f t="shared" si="45"/>
        <v>16700</v>
      </c>
    </row>
    <row r="516" spans="1:32" ht="18" customHeight="1">
      <c r="A516" s="113" t="s">
        <v>328</v>
      </c>
      <c r="B516" s="71"/>
      <c r="C516" s="71"/>
      <c r="D516" s="71">
        <v>3671</v>
      </c>
      <c r="E516" s="71">
        <v>638</v>
      </c>
      <c r="F516" s="71">
        <v>91</v>
      </c>
      <c r="G516" s="71"/>
      <c r="H516" s="71"/>
      <c r="I516" s="71"/>
      <c r="J516" s="71"/>
      <c r="K516" s="71"/>
      <c r="L516" s="71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  <c r="AA516" s="65"/>
      <c r="AB516" s="65"/>
      <c r="AC516" s="65"/>
      <c r="AD516" s="65"/>
      <c r="AE516" s="65"/>
      <c r="AF516" s="193">
        <f t="shared" si="45"/>
        <v>4400</v>
      </c>
    </row>
    <row r="517" spans="1:32" ht="18" customHeight="1">
      <c r="A517" s="114" t="s">
        <v>149</v>
      </c>
      <c r="B517" s="12"/>
      <c r="C517" s="12"/>
      <c r="D517" s="12">
        <v>5963</v>
      </c>
      <c r="E517" s="12">
        <v>1041</v>
      </c>
      <c r="F517" s="12">
        <v>146</v>
      </c>
      <c r="G517" s="12"/>
      <c r="H517" s="12"/>
      <c r="I517" s="12"/>
      <c r="J517" s="12"/>
      <c r="K517" s="12"/>
      <c r="L517" s="1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  <c r="AE517" s="52"/>
      <c r="AF517" s="193">
        <f t="shared" si="45"/>
        <v>7150</v>
      </c>
    </row>
    <row r="518" spans="1:32" ht="18" customHeight="1">
      <c r="A518" s="113" t="s">
        <v>148</v>
      </c>
      <c r="B518" s="71"/>
      <c r="C518" s="71"/>
      <c r="D518" s="71">
        <v>5075</v>
      </c>
      <c r="E518" s="71">
        <v>875</v>
      </c>
      <c r="F518" s="71">
        <v>125</v>
      </c>
      <c r="G518" s="71"/>
      <c r="H518" s="71"/>
      <c r="I518" s="71"/>
      <c r="J518" s="71"/>
      <c r="K518" s="71"/>
      <c r="L518" s="71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  <c r="AA518" s="65"/>
      <c r="AB518" s="65"/>
      <c r="AC518" s="65"/>
      <c r="AD518" s="65"/>
      <c r="AE518" s="65"/>
      <c r="AF518" s="193">
        <f t="shared" si="45"/>
        <v>6075</v>
      </c>
    </row>
    <row r="519" spans="1:32" ht="18" customHeight="1">
      <c r="A519" s="114" t="s">
        <v>331</v>
      </c>
      <c r="B519" s="12"/>
      <c r="C519" s="12"/>
      <c r="D519" s="12">
        <v>3760</v>
      </c>
      <c r="E519" s="12">
        <v>648</v>
      </c>
      <c r="F519" s="12">
        <v>92</v>
      </c>
      <c r="G519" s="12"/>
      <c r="H519" s="12"/>
      <c r="I519" s="12"/>
      <c r="J519" s="12"/>
      <c r="K519" s="12"/>
      <c r="L519" s="1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  <c r="AE519" s="52"/>
      <c r="AF519" s="193">
        <f t="shared" si="45"/>
        <v>4500</v>
      </c>
    </row>
    <row r="520" spans="1:32" ht="18" customHeight="1">
      <c r="A520" s="113" t="s">
        <v>317</v>
      </c>
      <c r="B520" s="71"/>
      <c r="C520" s="71"/>
      <c r="D520" s="71">
        <v>6171</v>
      </c>
      <c r="E520" s="71">
        <v>1075</v>
      </c>
      <c r="F520" s="71">
        <v>154</v>
      </c>
      <c r="G520" s="71"/>
      <c r="H520" s="71"/>
      <c r="I520" s="71"/>
      <c r="J520" s="71"/>
      <c r="K520" s="71"/>
      <c r="L520" s="71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  <c r="Z520" s="65"/>
      <c r="AA520" s="65"/>
      <c r="AB520" s="65"/>
      <c r="AC520" s="65"/>
      <c r="AD520" s="65"/>
      <c r="AE520" s="65"/>
      <c r="AF520" s="193">
        <f t="shared" si="45"/>
        <v>7400</v>
      </c>
    </row>
    <row r="521" spans="1:32" ht="18" customHeight="1">
      <c r="A521" s="114" t="s">
        <v>104</v>
      </c>
      <c r="B521" s="12"/>
      <c r="C521" s="12"/>
      <c r="D521" s="12">
        <v>6275</v>
      </c>
      <c r="E521" s="12">
        <v>1095</v>
      </c>
      <c r="F521" s="12">
        <v>155</v>
      </c>
      <c r="G521" s="12"/>
      <c r="H521" s="12"/>
      <c r="I521" s="12"/>
      <c r="J521" s="12"/>
      <c r="K521" s="12"/>
      <c r="L521" s="1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2"/>
      <c r="AF521" s="193">
        <f t="shared" si="45"/>
        <v>7525</v>
      </c>
    </row>
    <row r="522" spans="1:32" ht="18" customHeight="1">
      <c r="A522" s="113" t="s">
        <v>185</v>
      </c>
      <c r="B522" s="71"/>
      <c r="C522" s="71"/>
      <c r="D522" s="71">
        <v>6067</v>
      </c>
      <c r="E522" s="71">
        <v>1059</v>
      </c>
      <c r="F522" s="71">
        <v>149</v>
      </c>
      <c r="G522" s="71"/>
      <c r="H522" s="71"/>
      <c r="I522" s="71"/>
      <c r="J522" s="71"/>
      <c r="K522" s="71"/>
      <c r="L522" s="71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  <c r="Z522" s="65"/>
      <c r="AA522" s="65"/>
      <c r="AB522" s="65"/>
      <c r="AC522" s="65"/>
      <c r="AD522" s="65"/>
      <c r="AE522" s="65"/>
      <c r="AF522" s="193">
        <f t="shared" si="45"/>
        <v>7275</v>
      </c>
    </row>
    <row r="523" spans="1:32" ht="18" customHeight="1">
      <c r="A523" s="114" t="s">
        <v>189</v>
      </c>
      <c r="B523" s="12"/>
      <c r="C523" s="12"/>
      <c r="D523" s="12">
        <v>2729</v>
      </c>
      <c r="E523" s="12">
        <v>478</v>
      </c>
      <c r="F523" s="12">
        <v>68</v>
      </c>
      <c r="G523" s="12"/>
      <c r="H523" s="12"/>
      <c r="I523" s="12"/>
      <c r="J523" s="12"/>
      <c r="K523" s="12"/>
      <c r="L523" s="1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2"/>
      <c r="AF523" s="193">
        <f t="shared" si="45"/>
        <v>3275</v>
      </c>
    </row>
    <row r="524" spans="1:32" ht="18" customHeight="1">
      <c r="A524" s="113" t="s">
        <v>87</v>
      </c>
      <c r="B524" s="71"/>
      <c r="C524" s="71"/>
      <c r="D524" s="71">
        <v>6953</v>
      </c>
      <c r="E524" s="71">
        <v>1200</v>
      </c>
      <c r="F524" s="71">
        <v>172</v>
      </c>
      <c r="G524" s="71"/>
      <c r="H524" s="71"/>
      <c r="I524" s="71"/>
      <c r="J524" s="71"/>
      <c r="K524" s="71"/>
      <c r="L524" s="71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  <c r="Z524" s="65"/>
      <c r="AA524" s="65"/>
      <c r="AB524" s="65"/>
      <c r="AC524" s="65"/>
      <c r="AD524" s="65"/>
      <c r="AE524" s="65"/>
      <c r="AF524" s="193">
        <f t="shared" si="45"/>
        <v>8325</v>
      </c>
    </row>
    <row r="525" spans="1:32" ht="18" customHeight="1">
      <c r="A525" s="114" t="s">
        <v>190</v>
      </c>
      <c r="B525" s="12"/>
      <c r="C525" s="12"/>
      <c r="D525" s="12">
        <v>5838</v>
      </c>
      <c r="E525" s="12">
        <v>1020</v>
      </c>
      <c r="F525" s="12">
        <v>142</v>
      </c>
      <c r="G525" s="12"/>
      <c r="H525" s="12"/>
      <c r="I525" s="12"/>
      <c r="J525" s="12"/>
      <c r="K525" s="12"/>
      <c r="L525" s="1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  <c r="AE525" s="52"/>
      <c r="AF525" s="193">
        <f t="shared" si="45"/>
        <v>7000</v>
      </c>
    </row>
    <row r="526" spans="1:32" ht="18" customHeight="1">
      <c r="A526" s="113" t="s">
        <v>316</v>
      </c>
      <c r="B526" s="71"/>
      <c r="C526" s="71"/>
      <c r="D526" s="71">
        <v>2626</v>
      </c>
      <c r="E526" s="71">
        <v>459</v>
      </c>
      <c r="F526" s="71">
        <v>65</v>
      </c>
      <c r="G526" s="71"/>
      <c r="H526" s="71"/>
      <c r="I526" s="71"/>
      <c r="J526" s="71"/>
      <c r="K526" s="71"/>
      <c r="L526" s="71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  <c r="Z526" s="65"/>
      <c r="AA526" s="65"/>
      <c r="AB526" s="65"/>
      <c r="AC526" s="65"/>
      <c r="AD526" s="65"/>
      <c r="AE526" s="65"/>
      <c r="AF526" s="193">
        <f t="shared" si="45"/>
        <v>3150</v>
      </c>
    </row>
    <row r="527" spans="1:32" ht="18" customHeight="1">
      <c r="A527" s="114" t="s">
        <v>105</v>
      </c>
      <c r="B527" s="12"/>
      <c r="C527" s="12"/>
      <c r="D527" s="12">
        <v>5175</v>
      </c>
      <c r="E527" s="12">
        <v>897</v>
      </c>
      <c r="F527" s="12">
        <v>128</v>
      </c>
      <c r="G527" s="12"/>
      <c r="H527" s="12"/>
      <c r="I527" s="12"/>
      <c r="J527" s="12"/>
      <c r="K527" s="12"/>
      <c r="L527" s="1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2"/>
      <c r="AF527" s="193">
        <f t="shared" si="45"/>
        <v>6200</v>
      </c>
    </row>
    <row r="528" spans="1:32" ht="18" customHeight="1">
      <c r="A528" s="113" t="s">
        <v>320</v>
      </c>
      <c r="B528" s="71"/>
      <c r="C528" s="71"/>
      <c r="D528" s="71">
        <v>1977</v>
      </c>
      <c r="E528" s="71">
        <v>347</v>
      </c>
      <c r="F528" s="71">
        <v>51</v>
      </c>
      <c r="G528" s="71"/>
      <c r="H528" s="71"/>
      <c r="I528" s="71"/>
      <c r="J528" s="71"/>
      <c r="K528" s="71"/>
      <c r="L528" s="71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  <c r="Z528" s="65"/>
      <c r="AA528" s="65"/>
      <c r="AB528" s="65"/>
      <c r="AC528" s="65"/>
      <c r="AD528" s="65"/>
      <c r="AE528" s="65"/>
      <c r="AF528" s="193">
        <f t="shared" si="45"/>
        <v>2375</v>
      </c>
    </row>
    <row r="529" spans="1:32" ht="18" customHeight="1">
      <c r="A529" s="114" t="s">
        <v>318</v>
      </c>
      <c r="B529" s="12"/>
      <c r="C529" s="12"/>
      <c r="D529" s="12">
        <v>5837</v>
      </c>
      <c r="E529" s="12">
        <v>1020</v>
      </c>
      <c r="F529" s="12">
        <v>143</v>
      </c>
      <c r="G529" s="12"/>
      <c r="H529" s="12"/>
      <c r="I529" s="12"/>
      <c r="J529" s="12"/>
      <c r="K529" s="12"/>
      <c r="L529" s="1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  <c r="AE529" s="52"/>
      <c r="AF529" s="193">
        <f t="shared" si="45"/>
        <v>7000</v>
      </c>
    </row>
    <row r="530" spans="1:32" ht="18" customHeight="1">
      <c r="A530" s="113" t="s">
        <v>187</v>
      </c>
      <c r="B530" s="71"/>
      <c r="C530" s="71"/>
      <c r="D530" s="71">
        <v>6838</v>
      </c>
      <c r="E530" s="71">
        <v>1194</v>
      </c>
      <c r="F530" s="71">
        <v>168</v>
      </c>
      <c r="G530" s="71"/>
      <c r="H530" s="71"/>
      <c r="I530" s="71"/>
      <c r="J530" s="71"/>
      <c r="K530" s="71"/>
      <c r="L530" s="71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  <c r="Z530" s="65"/>
      <c r="AA530" s="65"/>
      <c r="AB530" s="65"/>
      <c r="AC530" s="65"/>
      <c r="AD530" s="65"/>
      <c r="AE530" s="65"/>
      <c r="AF530" s="193">
        <f t="shared" si="45"/>
        <v>8200</v>
      </c>
    </row>
    <row r="531" spans="1:32" ht="18" customHeight="1">
      <c r="A531" s="114" t="s">
        <v>147</v>
      </c>
      <c r="B531" s="12"/>
      <c r="C531" s="12"/>
      <c r="D531" s="12">
        <v>2336</v>
      </c>
      <c r="E531" s="12">
        <v>406</v>
      </c>
      <c r="F531" s="12">
        <v>58</v>
      </c>
      <c r="G531" s="12"/>
      <c r="H531" s="12"/>
      <c r="I531" s="12"/>
      <c r="J531" s="12"/>
      <c r="K531" s="12"/>
      <c r="L531" s="1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  <c r="AC531" s="52"/>
      <c r="AD531" s="52"/>
      <c r="AE531" s="52"/>
      <c r="AF531" s="193">
        <f aca="true" t="shared" si="46" ref="AF531:AF570">SUM(B531:AE531)</f>
        <v>2800</v>
      </c>
    </row>
    <row r="532" spans="1:36" s="75" customFormat="1" ht="30.75" customHeight="1" thickBot="1">
      <c r="A532" s="163" t="s">
        <v>390</v>
      </c>
      <c r="B532" s="164"/>
      <c r="C532" s="164"/>
      <c r="D532" s="164"/>
      <c r="E532" s="164"/>
      <c r="F532" s="164"/>
      <c r="G532" s="164"/>
      <c r="H532" s="164"/>
      <c r="I532" s="164">
        <f aca="true" t="shared" si="47" ref="I532:J534">I533</f>
        <v>478445</v>
      </c>
      <c r="J532" s="164">
        <f t="shared" si="47"/>
        <v>224635</v>
      </c>
      <c r="K532" s="164"/>
      <c r="L532" s="164"/>
      <c r="M532" s="219"/>
      <c r="N532" s="219"/>
      <c r="O532" s="219"/>
      <c r="P532" s="219"/>
      <c r="Q532" s="219"/>
      <c r="R532" s="219"/>
      <c r="S532" s="219"/>
      <c r="T532" s="219"/>
      <c r="U532" s="219"/>
      <c r="V532" s="219"/>
      <c r="W532" s="219"/>
      <c r="X532" s="219"/>
      <c r="Y532" s="219"/>
      <c r="Z532" s="219"/>
      <c r="AA532" s="219"/>
      <c r="AB532" s="219"/>
      <c r="AC532" s="219"/>
      <c r="AD532" s="219"/>
      <c r="AE532" s="219"/>
      <c r="AF532" s="220">
        <f t="shared" si="46"/>
        <v>703080</v>
      </c>
      <c r="AH532" s="74"/>
      <c r="AI532" s="74"/>
      <c r="AJ532" s="74"/>
    </row>
    <row r="533" spans="1:32" s="76" customFormat="1" ht="21.75" customHeight="1" thickBot="1" thickTop="1">
      <c r="A533" s="162" t="s">
        <v>391</v>
      </c>
      <c r="B533" s="67"/>
      <c r="C533" s="67"/>
      <c r="D533" s="67"/>
      <c r="E533" s="67"/>
      <c r="F533" s="67"/>
      <c r="G533" s="67"/>
      <c r="H533" s="67"/>
      <c r="I533" s="67">
        <f t="shared" si="47"/>
        <v>478445</v>
      </c>
      <c r="J533" s="67">
        <f t="shared" si="47"/>
        <v>224635</v>
      </c>
      <c r="K533" s="67"/>
      <c r="L533" s="67"/>
      <c r="M533" s="221"/>
      <c r="N533" s="221"/>
      <c r="O533" s="221"/>
      <c r="P533" s="221"/>
      <c r="Q533" s="221"/>
      <c r="R533" s="221"/>
      <c r="S533" s="221"/>
      <c r="T533" s="221"/>
      <c r="U533" s="221"/>
      <c r="V533" s="221"/>
      <c r="W533" s="221"/>
      <c r="X533" s="221"/>
      <c r="Y533" s="221"/>
      <c r="Z533" s="221"/>
      <c r="AA533" s="221"/>
      <c r="AB533" s="221"/>
      <c r="AC533" s="221"/>
      <c r="AD533" s="221"/>
      <c r="AE533" s="221"/>
      <c r="AF533" s="222">
        <f t="shared" si="46"/>
        <v>703080</v>
      </c>
    </row>
    <row r="534" spans="1:32" ht="18" customHeight="1" thickBot="1">
      <c r="A534" s="116" t="s">
        <v>392</v>
      </c>
      <c r="B534" s="69"/>
      <c r="C534" s="69"/>
      <c r="D534" s="69"/>
      <c r="E534" s="69"/>
      <c r="F534" s="69"/>
      <c r="G534" s="69"/>
      <c r="H534" s="69"/>
      <c r="I534" s="69">
        <f t="shared" si="47"/>
        <v>478445</v>
      </c>
      <c r="J534" s="69">
        <f t="shared" si="47"/>
        <v>224635</v>
      </c>
      <c r="K534" s="69"/>
      <c r="L534" s="69"/>
      <c r="M534" s="216"/>
      <c r="N534" s="216"/>
      <c r="O534" s="216"/>
      <c r="P534" s="216"/>
      <c r="Q534" s="216"/>
      <c r="R534" s="216"/>
      <c r="S534" s="216"/>
      <c r="T534" s="216"/>
      <c r="U534" s="216"/>
      <c r="V534" s="216"/>
      <c r="W534" s="216"/>
      <c r="X534" s="216"/>
      <c r="Y534" s="216"/>
      <c r="Z534" s="216"/>
      <c r="AA534" s="216"/>
      <c r="AB534" s="216"/>
      <c r="AC534" s="216"/>
      <c r="AD534" s="216"/>
      <c r="AE534" s="216"/>
      <c r="AF534" s="191">
        <f t="shared" si="46"/>
        <v>703080</v>
      </c>
    </row>
    <row r="535" spans="1:32" s="79" customFormat="1" ht="25.5">
      <c r="A535" s="180" t="s">
        <v>410</v>
      </c>
      <c r="B535" s="70"/>
      <c r="C535" s="70"/>
      <c r="D535" s="70"/>
      <c r="E535" s="70"/>
      <c r="F535" s="70"/>
      <c r="G535" s="70"/>
      <c r="H535" s="70"/>
      <c r="I535" s="70">
        <f>SUM(I536:I566)</f>
        <v>478445</v>
      </c>
      <c r="J535" s="70">
        <f>SUM(J536:J566)</f>
        <v>224635</v>
      </c>
      <c r="K535" s="70"/>
      <c r="L535" s="70"/>
      <c r="M535" s="223"/>
      <c r="N535" s="223"/>
      <c r="O535" s="223"/>
      <c r="P535" s="223"/>
      <c r="Q535" s="223"/>
      <c r="R535" s="223"/>
      <c r="S535" s="223"/>
      <c r="T535" s="223"/>
      <c r="U535" s="223"/>
      <c r="V535" s="223"/>
      <c r="W535" s="223"/>
      <c r="X535" s="223"/>
      <c r="Y535" s="223"/>
      <c r="Z535" s="223"/>
      <c r="AA535" s="223"/>
      <c r="AB535" s="223"/>
      <c r="AC535" s="223"/>
      <c r="AD535" s="223"/>
      <c r="AE535" s="223"/>
      <c r="AF535" s="224">
        <f t="shared" si="46"/>
        <v>703080</v>
      </c>
    </row>
    <row r="536" spans="1:32" ht="18" customHeight="1">
      <c r="A536" s="179" t="s">
        <v>400</v>
      </c>
      <c r="B536" s="174"/>
      <c r="C536" s="173"/>
      <c r="D536" s="173"/>
      <c r="E536" s="173"/>
      <c r="F536" s="173"/>
      <c r="G536" s="173"/>
      <c r="H536" s="173"/>
      <c r="I536" s="184">
        <v>6614</v>
      </c>
      <c r="J536" s="184">
        <v>3106</v>
      </c>
      <c r="K536" s="173"/>
      <c r="L536" s="173"/>
      <c r="M536" s="225"/>
      <c r="N536" s="225"/>
      <c r="O536" s="225"/>
      <c r="P536" s="225"/>
      <c r="Q536" s="225"/>
      <c r="R536" s="225"/>
      <c r="S536" s="225"/>
      <c r="T536" s="225"/>
      <c r="U536" s="225"/>
      <c r="V536" s="225"/>
      <c r="W536" s="225"/>
      <c r="X536" s="225"/>
      <c r="Y536" s="225"/>
      <c r="Z536" s="225"/>
      <c r="AA536" s="225"/>
      <c r="AB536" s="225"/>
      <c r="AC536" s="225"/>
      <c r="AD536" s="225"/>
      <c r="AE536" s="225"/>
      <c r="AF536" s="190">
        <f t="shared" si="46"/>
        <v>9720</v>
      </c>
    </row>
    <row r="537" spans="1:32" ht="18" customHeight="1">
      <c r="A537" s="177" t="s">
        <v>401</v>
      </c>
      <c r="B537" s="175"/>
      <c r="C537" s="12"/>
      <c r="D537" s="12"/>
      <c r="E537" s="12"/>
      <c r="F537" s="12"/>
      <c r="G537" s="12"/>
      <c r="H537" s="12"/>
      <c r="I537" s="181">
        <v>11575</v>
      </c>
      <c r="J537" s="181">
        <v>5435</v>
      </c>
      <c r="K537" s="12"/>
      <c r="L537" s="1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  <c r="AC537" s="52"/>
      <c r="AD537" s="52"/>
      <c r="AE537" s="52"/>
      <c r="AF537" s="193">
        <f t="shared" si="46"/>
        <v>17010</v>
      </c>
    </row>
    <row r="538" spans="1:32" ht="18" customHeight="1">
      <c r="A538" s="177" t="s">
        <v>402</v>
      </c>
      <c r="B538" s="175"/>
      <c r="C538" s="12"/>
      <c r="D538" s="12"/>
      <c r="E538" s="12"/>
      <c r="F538" s="12"/>
      <c r="G538" s="12"/>
      <c r="H538" s="12"/>
      <c r="I538" s="181">
        <v>15985</v>
      </c>
      <c r="J538" s="181">
        <v>7505</v>
      </c>
      <c r="K538" s="12"/>
      <c r="L538" s="1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  <c r="AC538" s="52"/>
      <c r="AD538" s="52"/>
      <c r="AE538" s="52"/>
      <c r="AF538" s="193">
        <f t="shared" si="46"/>
        <v>23490</v>
      </c>
    </row>
    <row r="539" spans="1:32" ht="18" customHeight="1">
      <c r="A539" s="177" t="s">
        <v>403</v>
      </c>
      <c r="B539" s="175"/>
      <c r="C539" s="12"/>
      <c r="D539" s="12"/>
      <c r="E539" s="12"/>
      <c r="F539" s="12"/>
      <c r="G539" s="12"/>
      <c r="H539" s="12"/>
      <c r="I539" s="181">
        <v>17087</v>
      </c>
      <c r="J539" s="181">
        <v>8023</v>
      </c>
      <c r="K539" s="12"/>
      <c r="L539" s="1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  <c r="AE539" s="52"/>
      <c r="AF539" s="193">
        <f t="shared" si="46"/>
        <v>25110</v>
      </c>
    </row>
    <row r="540" spans="1:32" ht="18" customHeight="1">
      <c r="A540" s="177" t="s">
        <v>404</v>
      </c>
      <c r="B540" s="175"/>
      <c r="C540" s="12"/>
      <c r="D540" s="12"/>
      <c r="E540" s="12"/>
      <c r="F540" s="12"/>
      <c r="G540" s="12"/>
      <c r="H540" s="12"/>
      <c r="I540" s="181">
        <v>15985</v>
      </c>
      <c r="J540" s="181">
        <v>7505</v>
      </c>
      <c r="K540" s="12"/>
      <c r="L540" s="1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  <c r="AC540" s="52"/>
      <c r="AD540" s="52"/>
      <c r="AE540" s="52"/>
      <c r="AF540" s="193">
        <f t="shared" si="46"/>
        <v>23490</v>
      </c>
    </row>
    <row r="541" spans="1:32" ht="18" customHeight="1">
      <c r="A541" s="177" t="s">
        <v>405</v>
      </c>
      <c r="B541" s="176"/>
      <c r="C541" s="71"/>
      <c r="D541" s="71"/>
      <c r="E541" s="71"/>
      <c r="F541" s="71"/>
      <c r="G541" s="71"/>
      <c r="H541" s="71"/>
      <c r="I541" s="181">
        <v>11575</v>
      </c>
      <c r="J541" s="181">
        <v>5435</v>
      </c>
      <c r="K541" s="71"/>
      <c r="L541" s="71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  <c r="AA541" s="65"/>
      <c r="AB541" s="65"/>
      <c r="AC541" s="65"/>
      <c r="AD541" s="65"/>
      <c r="AE541" s="65"/>
      <c r="AF541" s="193">
        <f t="shared" si="46"/>
        <v>17010</v>
      </c>
    </row>
    <row r="542" spans="1:32" ht="18" customHeight="1">
      <c r="A542" s="177" t="s">
        <v>406</v>
      </c>
      <c r="B542" s="175"/>
      <c r="C542" s="12"/>
      <c r="D542" s="12"/>
      <c r="E542" s="12"/>
      <c r="F542" s="12"/>
      <c r="G542" s="12"/>
      <c r="H542" s="12"/>
      <c r="I542" s="181">
        <v>14883</v>
      </c>
      <c r="J542" s="181">
        <v>6987</v>
      </c>
      <c r="K542" s="12"/>
      <c r="L542" s="1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  <c r="AE542" s="52"/>
      <c r="AF542" s="193">
        <f t="shared" si="46"/>
        <v>21870</v>
      </c>
    </row>
    <row r="543" spans="1:32" ht="18" customHeight="1">
      <c r="A543" s="177" t="s">
        <v>407</v>
      </c>
      <c r="B543" s="176"/>
      <c r="C543" s="71"/>
      <c r="D543" s="71"/>
      <c r="E543" s="71"/>
      <c r="F543" s="71"/>
      <c r="G543" s="71"/>
      <c r="H543" s="71"/>
      <c r="I543" s="181">
        <v>12127</v>
      </c>
      <c r="J543" s="181">
        <v>5693</v>
      </c>
      <c r="K543" s="71"/>
      <c r="L543" s="71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  <c r="AA543" s="65"/>
      <c r="AB543" s="65"/>
      <c r="AC543" s="65"/>
      <c r="AD543" s="65"/>
      <c r="AE543" s="65"/>
      <c r="AF543" s="193">
        <f t="shared" si="46"/>
        <v>17820</v>
      </c>
    </row>
    <row r="544" spans="1:32" ht="18" customHeight="1">
      <c r="A544" s="177" t="s">
        <v>393</v>
      </c>
      <c r="B544" s="175"/>
      <c r="C544" s="12"/>
      <c r="D544" s="12"/>
      <c r="E544" s="12"/>
      <c r="F544" s="12"/>
      <c r="G544" s="12"/>
      <c r="H544" s="12"/>
      <c r="I544" s="181">
        <v>12678</v>
      </c>
      <c r="J544" s="181">
        <v>5952</v>
      </c>
      <c r="K544" s="12"/>
      <c r="L544" s="1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193">
        <f t="shared" si="46"/>
        <v>18630</v>
      </c>
    </row>
    <row r="545" spans="1:32" ht="18" customHeight="1">
      <c r="A545" s="177" t="s">
        <v>322</v>
      </c>
      <c r="B545" s="176"/>
      <c r="C545" s="71"/>
      <c r="D545" s="71"/>
      <c r="E545" s="71"/>
      <c r="F545" s="71"/>
      <c r="G545" s="71"/>
      <c r="H545" s="71"/>
      <c r="I545" s="181">
        <v>1654</v>
      </c>
      <c r="J545" s="181">
        <v>776</v>
      </c>
      <c r="K545" s="71"/>
      <c r="L545" s="71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  <c r="AA545" s="65"/>
      <c r="AB545" s="65"/>
      <c r="AC545" s="65"/>
      <c r="AD545" s="65"/>
      <c r="AE545" s="65"/>
      <c r="AF545" s="193">
        <f t="shared" si="46"/>
        <v>2430</v>
      </c>
    </row>
    <row r="546" spans="1:32" ht="18" customHeight="1">
      <c r="A546" s="177" t="s">
        <v>323</v>
      </c>
      <c r="B546" s="175"/>
      <c r="C546" s="12"/>
      <c r="D546" s="12"/>
      <c r="E546" s="12"/>
      <c r="F546" s="12"/>
      <c r="G546" s="12"/>
      <c r="H546" s="12"/>
      <c r="I546" s="181">
        <v>551</v>
      </c>
      <c r="J546" s="181">
        <v>259</v>
      </c>
      <c r="K546" s="12"/>
      <c r="L546" s="1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  <c r="AC546" s="52"/>
      <c r="AD546" s="52"/>
      <c r="AE546" s="52"/>
      <c r="AF546" s="193">
        <f t="shared" si="46"/>
        <v>810</v>
      </c>
    </row>
    <row r="547" spans="1:32" ht="18" customHeight="1">
      <c r="A547" s="177" t="s">
        <v>324</v>
      </c>
      <c r="B547" s="176"/>
      <c r="C547" s="71"/>
      <c r="D547" s="71"/>
      <c r="E547" s="71"/>
      <c r="F547" s="71"/>
      <c r="G547" s="71"/>
      <c r="H547" s="71"/>
      <c r="I547" s="181">
        <v>3858</v>
      </c>
      <c r="J547" s="181">
        <v>1812</v>
      </c>
      <c r="K547" s="71"/>
      <c r="L547" s="71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  <c r="AA547" s="65"/>
      <c r="AB547" s="65"/>
      <c r="AC547" s="65"/>
      <c r="AD547" s="65"/>
      <c r="AE547" s="65"/>
      <c r="AF547" s="193">
        <f t="shared" si="46"/>
        <v>5670</v>
      </c>
    </row>
    <row r="548" spans="1:32" ht="18" customHeight="1">
      <c r="A548" s="177" t="s">
        <v>325</v>
      </c>
      <c r="B548" s="175"/>
      <c r="C548" s="12"/>
      <c r="D548" s="12"/>
      <c r="E548" s="12"/>
      <c r="F548" s="12"/>
      <c r="G548" s="12"/>
      <c r="H548" s="12"/>
      <c r="I548" s="181">
        <v>4410</v>
      </c>
      <c r="J548" s="181">
        <v>2070</v>
      </c>
      <c r="K548" s="12"/>
      <c r="L548" s="1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  <c r="AC548" s="52"/>
      <c r="AD548" s="52"/>
      <c r="AE548" s="52"/>
      <c r="AF548" s="193">
        <f t="shared" si="46"/>
        <v>6480</v>
      </c>
    </row>
    <row r="549" spans="1:32" ht="18" customHeight="1">
      <c r="A549" s="177" t="s">
        <v>328</v>
      </c>
      <c r="B549" s="176"/>
      <c r="C549" s="71"/>
      <c r="D549" s="71"/>
      <c r="E549" s="71"/>
      <c r="F549" s="71"/>
      <c r="G549" s="71"/>
      <c r="H549" s="71"/>
      <c r="I549" s="181">
        <v>1102</v>
      </c>
      <c r="J549" s="181">
        <v>518</v>
      </c>
      <c r="K549" s="71"/>
      <c r="L549" s="71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  <c r="AA549" s="65"/>
      <c r="AB549" s="65"/>
      <c r="AC549" s="65"/>
      <c r="AD549" s="65"/>
      <c r="AE549" s="65"/>
      <c r="AF549" s="193">
        <f t="shared" si="46"/>
        <v>1620</v>
      </c>
    </row>
    <row r="550" spans="1:32" ht="18" customHeight="1">
      <c r="A550" s="177" t="s">
        <v>394</v>
      </c>
      <c r="B550" s="175"/>
      <c r="C550" s="12"/>
      <c r="D550" s="12"/>
      <c r="E550" s="12"/>
      <c r="F550" s="12"/>
      <c r="G550" s="12"/>
      <c r="H550" s="12"/>
      <c r="I550" s="181">
        <v>41340</v>
      </c>
      <c r="J550" s="181">
        <v>19410</v>
      </c>
      <c r="K550" s="12"/>
      <c r="L550" s="1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  <c r="AC550" s="52"/>
      <c r="AD550" s="52"/>
      <c r="AE550" s="52"/>
      <c r="AF550" s="193">
        <f t="shared" si="46"/>
        <v>60750</v>
      </c>
    </row>
    <row r="551" spans="1:32" ht="18" customHeight="1">
      <c r="A551" s="177" t="s">
        <v>395</v>
      </c>
      <c r="B551" s="176"/>
      <c r="C551" s="71"/>
      <c r="D551" s="71"/>
      <c r="E551" s="71"/>
      <c r="F551" s="71"/>
      <c r="G551" s="71"/>
      <c r="H551" s="71"/>
      <c r="I551" s="181">
        <v>12678</v>
      </c>
      <c r="J551" s="181">
        <v>5952</v>
      </c>
      <c r="K551" s="71"/>
      <c r="L551" s="71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  <c r="AA551" s="65"/>
      <c r="AB551" s="65"/>
      <c r="AC551" s="65"/>
      <c r="AD551" s="65"/>
      <c r="AE551" s="65"/>
      <c r="AF551" s="193">
        <f t="shared" si="46"/>
        <v>18630</v>
      </c>
    </row>
    <row r="552" spans="1:32" ht="18" customHeight="1">
      <c r="A552" s="177" t="s">
        <v>396</v>
      </c>
      <c r="B552" s="175"/>
      <c r="C552" s="12"/>
      <c r="D552" s="12"/>
      <c r="E552" s="12"/>
      <c r="F552" s="12"/>
      <c r="G552" s="12"/>
      <c r="H552" s="12"/>
      <c r="I552" s="181">
        <v>34726</v>
      </c>
      <c r="J552" s="181">
        <v>16304</v>
      </c>
      <c r="K552" s="12"/>
      <c r="L552" s="1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193">
        <f t="shared" si="46"/>
        <v>51030</v>
      </c>
    </row>
    <row r="553" spans="1:32" ht="18" customHeight="1">
      <c r="A553" s="177" t="s">
        <v>397</v>
      </c>
      <c r="B553" s="176"/>
      <c r="C553" s="71"/>
      <c r="D553" s="71"/>
      <c r="E553" s="71"/>
      <c r="F553" s="71"/>
      <c r="G553" s="71"/>
      <c r="H553" s="71"/>
      <c r="I553" s="181">
        <v>1102</v>
      </c>
      <c r="J553" s="181">
        <v>518</v>
      </c>
      <c r="K553" s="71"/>
      <c r="L553" s="71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  <c r="AA553" s="65"/>
      <c r="AB553" s="65"/>
      <c r="AC553" s="65"/>
      <c r="AD553" s="65"/>
      <c r="AE553" s="65"/>
      <c r="AF553" s="193">
        <f t="shared" si="46"/>
        <v>1620</v>
      </c>
    </row>
    <row r="554" spans="1:32" ht="18" customHeight="1">
      <c r="A554" s="177" t="s">
        <v>398</v>
      </c>
      <c r="B554" s="175"/>
      <c r="C554" s="12"/>
      <c r="D554" s="12"/>
      <c r="E554" s="12"/>
      <c r="F554" s="12"/>
      <c r="G554" s="12"/>
      <c r="H554" s="12"/>
      <c r="I554" s="181">
        <v>7166</v>
      </c>
      <c r="J554" s="181">
        <v>3364</v>
      </c>
      <c r="K554" s="12"/>
      <c r="L554" s="1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  <c r="AC554" s="52"/>
      <c r="AD554" s="52"/>
      <c r="AE554" s="52"/>
      <c r="AF554" s="193">
        <f t="shared" si="46"/>
        <v>10530</v>
      </c>
    </row>
    <row r="555" spans="1:32" ht="18" customHeight="1">
      <c r="A555" s="177" t="s">
        <v>188</v>
      </c>
      <c r="B555" s="176"/>
      <c r="C555" s="71"/>
      <c r="D555" s="71"/>
      <c r="E555" s="71"/>
      <c r="F555" s="71"/>
      <c r="G555" s="71"/>
      <c r="H555" s="71"/>
      <c r="I555" s="181">
        <v>46301</v>
      </c>
      <c r="J555" s="181">
        <v>21739</v>
      </c>
      <c r="K555" s="71"/>
      <c r="L555" s="71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  <c r="AA555" s="65"/>
      <c r="AB555" s="65"/>
      <c r="AC555" s="65"/>
      <c r="AD555" s="65"/>
      <c r="AE555" s="65"/>
      <c r="AF555" s="193">
        <f t="shared" si="46"/>
        <v>68040</v>
      </c>
    </row>
    <row r="556" spans="1:32" ht="18" customHeight="1">
      <c r="A556" s="177" t="s">
        <v>185</v>
      </c>
      <c r="B556" s="175"/>
      <c r="C556" s="12"/>
      <c r="D556" s="12"/>
      <c r="E556" s="12"/>
      <c r="F556" s="12"/>
      <c r="G556" s="12"/>
      <c r="H556" s="12"/>
      <c r="I556" s="181">
        <v>25355</v>
      </c>
      <c r="J556" s="181">
        <v>11905</v>
      </c>
      <c r="K556" s="12"/>
      <c r="L556" s="1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  <c r="AC556" s="52"/>
      <c r="AD556" s="52"/>
      <c r="AE556" s="52"/>
      <c r="AF556" s="193">
        <f t="shared" si="46"/>
        <v>37260</v>
      </c>
    </row>
    <row r="557" spans="1:32" ht="18" customHeight="1">
      <c r="A557" s="177" t="s">
        <v>189</v>
      </c>
      <c r="B557" s="176"/>
      <c r="C557" s="71"/>
      <c r="D557" s="71"/>
      <c r="E557" s="71"/>
      <c r="F557" s="71"/>
      <c r="G557" s="71"/>
      <c r="H557" s="71"/>
      <c r="I557" s="181">
        <v>14883</v>
      </c>
      <c r="J557" s="181">
        <v>6987</v>
      </c>
      <c r="K557" s="71"/>
      <c r="L557" s="71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  <c r="AA557" s="65"/>
      <c r="AB557" s="65"/>
      <c r="AC557" s="65"/>
      <c r="AD557" s="65"/>
      <c r="AE557" s="65"/>
      <c r="AF557" s="193">
        <f t="shared" si="46"/>
        <v>21870</v>
      </c>
    </row>
    <row r="558" spans="1:32" ht="18" customHeight="1">
      <c r="A558" s="177" t="s">
        <v>408</v>
      </c>
      <c r="B558" s="175"/>
      <c r="C558" s="12"/>
      <c r="D558" s="12"/>
      <c r="E558" s="12"/>
      <c r="F558" s="12"/>
      <c r="G558" s="12"/>
      <c r="H558" s="12"/>
      <c r="I558" s="181">
        <v>4961</v>
      </c>
      <c r="J558" s="181">
        <v>2329</v>
      </c>
      <c r="K558" s="12"/>
      <c r="L558" s="1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  <c r="AC558" s="52"/>
      <c r="AD558" s="52"/>
      <c r="AE558" s="52"/>
      <c r="AF558" s="193">
        <f t="shared" si="46"/>
        <v>7290</v>
      </c>
    </row>
    <row r="559" spans="1:32" ht="18" customHeight="1">
      <c r="A559" s="178" t="s">
        <v>399</v>
      </c>
      <c r="B559" s="176"/>
      <c r="C559" s="71"/>
      <c r="D559" s="71"/>
      <c r="E559" s="71"/>
      <c r="F559" s="71"/>
      <c r="G559" s="71"/>
      <c r="H559" s="71"/>
      <c r="I559" s="181">
        <v>45750</v>
      </c>
      <c r="J559" s="181">
        <v>21480</v>
      </c>
      <c r="K559" s="71"/>
      <c r="L559" s="71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  <c r="AA559" s="65"/>
      <c r="AB559" s="65"/>
      <c r="AC559" s="65"/>
      <c r="AD559" s="65"/>
      <c r="AE559" s="65"/>
      <c r="AF559" s="193">
        <f t="shared" si="46"/>
        <v>67230</v>
      </c>
    </row>
    <row r="560" spans="1:32" ht="18" customHeight="1">
      <c r="A560" s="177" t="s">
        <v>149</v>
      </c>
      <c r="B560" s="175"/>
      <c r="C560" s="12"/>
      <c r="D560" s="12"/>
      <c r="E560" s="12"/>
      <c r="F560" s="12"/>
      <c r="G560" s="12"/>
      <c r="H560" s="12"/>
      <c r="I560" s="181">
        <v>16536</v>
      </c>
      <c r="J560" s="181">
        <v>7764</v>
      </c>
      <c r="K560" s="12"/>
      <c r="L560" s="1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  <c r="AC560" s="52"/>
      <c r="AD560" s="52"/>
      <c r="AE560" s="52"/>
      <c r="AF560" s="193">
        <f t="shared" si="46"/>
        <v>24300</v>
      </c>
    </row>
    <row r="561" spans="1:32" ht="18" customHeight="1">
      <c r="A561" s="178" t="s">
        <v>409</v>
      </c>
      <c r="B561" s="176"/>
      <c r="C561" s="71"/>
      <c r="D561" s="71"/>
      <c r="E561" s="71"/>
      <c r="F561" s="71"/>
      <c r="G561" s="71"/>
      <c r="H561" s="71"/>
      <c r="I561" s="181">
        <v>28111</v>
      </c>
      <c r="J561" s="181">
        <v>13199</v>
      </c>
      <c r="K561" s="71"/>
      <c r="L561" s="71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  <c r="AA561" s="65"/>
      <c r="AB561" s="65"/>
      <c r="AC561" s="65"/>
      <c r="AD561" s="65"/>
      <c r="AE561" s="65"/>
      <c r="AF561" s="193">
        <f t="shared" si="46"/>
        <v>41310</v>
      </c>
    </row>
    <row r="562" spans="1:32" ht="18" customHeight="1">
      <c r="A562" s="177" t="s">
        <v>148</v>
      </c>
      <c r="B562" s="175"/>
      <c r="C562" s="12"/>
      <c r="D562" s="12"/>
      <c r="E562" s="12"/>
      <c r="F562" s="12"/>
      <c r="G562" s="12"/>
      <c r="H562" s="12"/>
      <c r="I562" s="181">
        <v>6614</v>
      </c>
      <c r="J562" s="181">
        <v>3106</v>
      </c>
      <c r="K562" s="12"/>
      <c r="L562" s="1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  <c r="AC562" s="52"/>
      <c r="AD562" s="52"/>
      <c r="AE562" s="52"/>
      <c r="AF562" s="193">
        <f t="shared" si="46"/>
        <v>9720</v>
      </c>
    </row>
    <row r="563" spans="1:32" ht="18" customHeight="1">
      <c r="A563" s="178" t="s">
        <v>317</v>
      </c>
      <c r="B563" s="176"/>
      <c r="C563" s="71"/>
      <c r="D563" s="71"/>
      <c r="E563" s="71"/>
      <c r="F563" s="71"/>
      <c r="G563" s="71"/>
      <c r="H563" s="71"/>
      <c r="I563" s="181">
        <v>41340</v>
      </c>
      <c r="J563" s="181">
        <v>19410</v>
      </c>
      <c r="K563" s="71"/>
      <c r="L563" s="71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  <c r="AA563" s="65"/>
      <c r="AB563" s="65"/>
      <c r="AC563" s="65"/>
      <c r="AD563" s="65"/>
      <c r="AE563" s="65"/>
      <c r="AF563" s="193">
        <f t="shared" si="46"/>
        <v>60750</v>
      </c>
    </row>
    <row r="564" spans="1:32" ht="18" customHeight="1">
      <c r="A564" s="177" t="s">
        <v>187</v>
      </c>
      <c r="B564" s="175"/>
      <c r="C564" s="12"/>
      <c r="D564" s="12"/>
      <c r="E564" s="12"/>
      <c r="F564" s="12"/>
      <c r="G564" s="12"/>
      <c r="H564" s="12"/>
      <c r="I564" s="181">
        <v>14883</v>
      </c>
      <c r="J564" s="181">
        <v>6987</v>
      </c>
      <c r="K564" s="12"/>
      <c r="L564" s="1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  <c r="AC564" s="52"/>
      <c r="AD564" s="52"/>
      <c r="AE564" s="52"/>
      <c r="AF564" s="193">
        <f t="shared" si="46"/>
        <v>21870</v>
      </c>
    </row>
    <row r="565" spans="1:32" ht="26.25">
      <c r="A565" s="178" t="s">
        <v>417</v>
      </c>
      <c r="B565" s="176"/>
      <c r="C565" s="71"/>
      <c r="D565" s="71"/>
      <c r="E565" s="71"/>
      <c r="F565" s="71"/>
      <c r="G565" s="71"/>
      <c r="H565" s="71"/>
      <c r="I565" s="181">
        <v>4961</v>
      </c>
      <c r="J565" s="181">
        <v>2329</v>
      </c>
      <c r="K565" s="71"/>
      <c r="L565" s="71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  <c r="AA565" s="65"/>
      <c r="AB565" s="65"/>
      <c r="AC565" s="65"/>
      <c r="AD565" s="65"/>
      <c r="AE565" s="65"/>
      <c r="AF565" s="193">
        <f t="shared" si="46"/>
        <v>7290</v>
      </c>
    </row>
    <row r="566" spans="1:32" ht="26.25">
      <c r="A566" s="178" t="s">
        <v>418</v>
      </c>
      <c r="B566" s="175"/>
      <c r="C566" s="12"/>
      <c r="D566" s="12"/>
      <c r="E566" s="12"/>
      <c r="F566" s="12"/>
      <c r="G566" s="12"/>
      <c r="H566" s="12"/>
      <c r="I566" s="181">
        <v>1654</v>
      </c>
      <c r="J566" s="181">
        <v>776</v>
      </c>
      <c r="K566" s="12"/>
      <c r="L566" s="1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  <c r="AC566" s="52"/>
      <c r="AD566" s="52"/>
      <c r="AE566" s="52"/>
      <c r="AF566" s="193">
        <f t="shared" si="46"/>
        <v>2430</v>
      </c>
    </row>
    <row r="567" spans="1:36" s="75" customFormat="1" ht="30.75" customHeight="1" thickBot="1">
      <c r="A567" s="163" t="s">
        <v>68</v>
      </c>
      <c r="B567" s="164"/>
      <c r="C567" s="164"/>
      <c r="D567" s="164"/>
      <c r="E567" s="164"/>
      <c r="F567" s="164"/>
      <c r="G567" s="164"/>
      <c r="H567" s="164"/>
      <c r="I567" s="164"/>
      <c r="J567" s="164"/>
      <c r="K567" s="164"/>
      <c r="L567" s="164">
        <f>L568</f>
        <v>890</v>
      </c>
      <c r="M567" s="219"/>
      <c r="N567" s="219"/>
      <c r="O567" s="219"/>
      <c r="P567" s="219"/>
      <c r="Q567" s="219"/>
      <c r="R567" s="219"/>
      <c r="S567" s="219"/>
      <c r="T567" s="219"/>
      <c r="U567" s="219"/>
      <c r="V567" s="219"/>
      <c r="W567" s="219"/>
      <c r="X567" s="219"/>
      <c r="Y567" s="219"/>
      <c r="Z567" s="219"/>
      <c r="AA567" s="219"/>
      <c r="AB567" s="219"/>
      <c r="AC567" s="219"/>
      <c r="AD567" s="219"/>
      <c r="AE567" s="219"/>
      <c r="AF567" s="220">
        <f t="shared" si="46"/>
        <v>890</v>
      </c>
      <c r="AH567" s="74"/>
      <c r="AI567" s="74"/>
      <c r="AJ567" s="74"/>
    </row>
    <row r="568" spans="1:32" s="76" customFormat="1" ht="21.75" customHeight="1" thickBot="1" thickTop="1">
      <c r="A568" s="162" t="s">
        <v>416</v>
      </c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>
        <f>L569</f>
        <v>890</v>
      </c>
      <c r="M568" s="221"/>
      <c r="N568" s="221"/>
      <c r="O568" s="221"/>
      <c r="P568" s="221"/>
      <c r="Q568" s="221"/>
      <c r="R568" s="221"/>
      <c r="S568" s="221"/>
      <c r="T568" s="221"/>
      <c r="U568" s="221"/>
      <c r="V568" s="221"/>
      <c r="W568" s="221"/>
      <c r="X568" s="221"/>
      <c r="Y568" s="221"/>
      <c r="Z568" s="221"/>
      <c r="AA568" s="221"/>
      <c r="AB568" s="221"/>
      <c r="AC568" s="221"/>
      <c r="AD568" s="221"/>
      <c r="AE568" s="221"/>
      <c r="AF568" s="222">
        <f t="shared" si="46"/>
        <v>890</v>
      </c>
    </row>
    <row r="569" spans="1:32" ht="39" thickBot="1">
      <c r="A569" s="116" t="s">
        <v>106</v>
      </c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>
        <f>SUM(L570:L570)</f>
        <v>890</v>
      </c>
      <c r="M569" s="216"/>
      <c r="N569" s="216"/>
      <c r="O569" s="216"/>
      <c r="P569" s="216"/>
      <c r="Q569" s="216"/>
      <c r="R569" s="216"/>
      <c r="S569" s="216"/>
      <c r="T569" s="216"/>
      <c r="U569" s="216"/>
      <c r="V569" s="216"/>
      <c r="W569" s="216"/>
      <c r="X569" s="216"/>
      <c r="Y569" s="216"/>
      <c r="Z569" s="216"/>
      <c r="AA569" s="216"/>
      <c r="AB569" s="216"/>
      <c r="AC569" s="216"/>
      <c r="AD569" s="216"/>
      <c r="AE569" s="216"/>
      <c r="AF569" s="191">
        <f t="shared" si="46"/>
        <v>890</v>
      </c>
    </row>
    <row r="570" spans="1:32" ht="18" customHeight="1" thickBot="1">
      <c r="A570" s="160" t="s">
        <v>190</v>
      </c>
      <c r="B570" s="161"/>
      <c r="C570" s="161"/>
      <c r="D570" s="161"/>
      <c r="E570" s="161"/>
      <c r="F570" s="161"/>
      <c r="G570" s="161"/>
      <c r="H570" s="161"/>
      <c r="I570" s="161"/>
      <c r="J570" s="161"/>
      <c r="K570" s="161"/>
      <c r="L570" s="161">
        <v>890</v>
      </c>
      <c r="M570" s="226"/>
      <c r="N570" s="226"/>
      <c r="O570" s="226"/>
      <c r="P570" s="226"/>
      <c r="Q570" s="226"/>
      <c r="R570" s="226"/>
      <c r="S570" s="226"/>
      <c r="T570" s="226"/>
      <c r="U570" s="226"/>
      <c r="V570" s="226"/>
      <c r="W570" s="226"/>
      <c r="X570" s="226"/>
      <c r="Y570" s="226"/>
      <c r="Z570" s="226"/>
      <c r="AA570" s="226"/>
      <c r="AB570" s="226"/>
      <c r="AC570" s="226"/>
      <c r="AD570" s="226"/>
      <c r="AE570" s="226"/>
      <c r="AF570" s="222">
        <f t="shared" si="46"/>
        <v>890</v>
      </c>
    </row>
    <row r="571" spans="13:32" ht="12.75">
      <c r="M571" s="227"/>
      <c r="N571" s="227"/>
      <c r="O571" s="227"/>
      <c r="P571" s="227"/>
      <c r="Q571" s="227"/>
      <c r="R571" s="227"/>
      <c r="S571" s="227"/>
      <c r="T571" s="227"/>
      <c r="U571" s="227"/>
      <c r="V571" s="227"/>
      <c r="W571" s="227"/>
      <c r="X571" s="227"/>
      <c r="Y571" s="227"/>
      <c r="Z571" s="227"/>
      <c r="AA571" s="227"/>
      <c r="AB571" s="227"/>
      <c r="AC571" s="227"/>
      <c r="AD571" s="227"/>
      <c r="AE571" s="227"/>
      <c r="AF571" s="228"/>
    </row>
    <row r="572" spans="13:32" ht="12.75">
      <c r="M572" s="227"/>
      <c r="N572" s="227"/>
      <c r="O572" s="227"/>
      <c r="P572" s="227"/>
      <c r="Q572" s="227"/>
      <c r="R572" s="227"/>
      <c r="S572" s="227"/>
      <c r="T572" s="227"/>
      <c r="U572" s="227"/>
      <c r="V572" s="227"/>
      <c r="W572" s="227"/>
      <c r="X572" s="227"/>
      <c r="Y572" s="227"/>
      <c r="Z572" s="227"/>
      <c r="AA572" s="227"/>
      <c r="AB572" s="227"/>
      <c r="AC572" s="227"/>
      <c r="AD572" s="227"/>
      <c r="AE572" s="227"/>
      <c r="AF572" s="228"/>
    </row>
    <row r="573" spans="13:32" ht="12.75">
      <c r="M573" s="227"/>
      <c r="N573" s="227"/>
      <c r="O573" s="227"/>
      <c r="P573" s="227"/>
      <c r="Q573" s="227"/>
      <c r="R573" s="227"/>
      <c r="S573" s="227"/>
      <c r="T573" s="227"/>
      <c r="U573" s="227"/>
      <c r="V573" s="227"/>
      <c r="W573" s="227"/>
      <c r="X573" s="227"/>
      <c r="Y573" s="227"/>
      <c r="Z573" s="227"/>
      <c r="AA573" s="227"/>
      <c r="AB573" s="227"/>
      <c r="AC573" s="227"/>
      <c r="AD573" s="227"/>
      <c r="AE573" s="227"/>
      <c r="AF573" s="228"/>
    </row>
    <row r="574" spans="2:32" ht="14.25">
      <c r="B574" s="239" t="s">
        <v>419</v>
      </c>
      <c r="C574" s="240"/>
      <c r="D574" s="241" t="s">
        <v>420</v>
      </c>
      <c r="AF574" s="4"/>
    </row>
    <row r="575" spans="2:32" ht="14.25">
      <c r="B575" s="239" t="s">
        <v>421</v>
      </c>
      <c r="C575" s="240"/>
      <c r="D575" s="241" t="s">
        <v>422</v>
      </c>
      <c r="AF575" s="4"/>
    </row>
    <row r="576" ht="12.75">
      <c r="AF576" s="4"/>
    </row>
    <row r="577" ht="12.75">
      <c r="AF577" s="4"/>
    </row>
    <row r="578" ht="12.75">
      <c r="AF578" s="4"/>
    </row>
    <row r="579" ht="12.75">
      <c r="AF579" s="4"/>
    </row>
    <row r="580" ht="12.75">
      <c r="AF580" s="4"/>
    </row>
    <row r="581" ht="12.75">
      <c r="AF581" s="4"/>
    </row>
    <row r="582" ht="12.75">
      <c r="AF582" s="4"/>
    </row>
    <row r="583" ht="12.75">
      <c r="AF583" s="4"/>
    </row>
    <row r="584" ht="12.75">
      <c r="AF584" s="4"/>
    </row>
    <row r="585" ht="12.75">
      <c r="AF585" s="4"/>
    </row>
    <row r="586" ht="12.75">
      <c r="AF586" s="4"/>
    </row>
    <row r="587" ht="12.75">
      <c r="AF587" s="4"/>
    </row>
    <row r="588" ht="12.75">
      <c r="AF588" s="4"/>
    </row>
    <row r="589" ht="12.75">
      <c r="AF589" s="4"/>
    </row>
    <row r="590" ht="12.75">
      <c r="AF590" s="4"/>
    </row>
    <row r="591" ht="12.75">
      <c r="AF591" s="4"/>
    </row>
    <row r="592" ht="12.75">
      <c r="AF592" s="4"/>
    </row>
    <row r="593" ht="12.75">
      <c r="AF593" s="4"/>
    </row>
    <row r="594" ht="12.75">
      <c r="AF594" s="4"/>
    </row>
    <row r="595" ht="12.75">
      <c r="AF595" s="4"/>
    </row>
    <row r="596" ht="12.75">
      <c r="AF596" s="4"/>
    </row>
    <row r="597" ht="12.75">
      <c r="AF597" s="4"/>
    </row>
    <row r="598" ht="12.75">
      <c r="AF598" s="4"/>
    </row>
    <row r="599" ht="12.75">
      <c r="AF599" s="4"/>
    </row>
    <row r="600" ht="12.75">
      <c r="AF600" s="4"/>
    </row>
    <row r="601" ht="12.75">
      <c r="AF601" s="4"/>
    </row>
    <row r="602" ht="12.75">
      <c r="AF602" s="4"/>
    </row>
    <row r="603" ht="12.75">
      <c r="AF603" s="4"/>
    </row>
    <row r="604" ht="12.75">
      <c r="AF604" s="4"/>
    </row>
    <row r="605" ht="12.75">
      <c r="AF605" s="4"/>
    </row>
    <row r="606" ht="12.75">
      <c r="AF606" s="4"/>
    </row>
    <row r="607" ht="12.75">
      <c r="AF607" s="4"/>
    </row>
    <row r="608" ht="12.75">
      <c r="AF608" s="4"/>
    </row>
    <row r="609" ht="12.75">
      <c r="AF609" s="4"/>
    </row>
    <row r="610" ht="12.75">
      <c r="AF610" s="4"/>
    </row>
    <row r="611" ht="12.75">
      <c r="AF611" s="4"/>
    </row>
    <row r="612" ht="12.75">
      <c r="AF612" s="4"/>
    </row>
    <row r="613" ht="12.75">
      <c r="AF613" s="4"/>
    </row>
    <row r="614" ht="12.75">
      <c r="AF614" s="4"/>
    </row>
    <row r="615" ht="12.75">
      <c r="AF615" s="4"/>
    </row>
    <row r="616" ht="12.75">
      <c r="AF616" s="4"/>
    </row>
    <row r="617" ht="12.75">
      <c r="AF617" s="4"/>
    </row>
    <row r="618" ht="12.75">
      <c r="AF618" s="4"/>
    </row>
    <row r="619" ht="12.75">
      <c r="AF619" s="4"/>
    </row>
    <row r="620" ht="12.75">
      <c r="AF620" s="4"/>
    </row>
    <row r="621" ht="12.75">
      <c r="AF621" s="4"/>
    </row>
    <row r="622" ht="12.75">
      <c r="AF622" s="4"/>
    </row>
    <row r="623" ht="12.75">
      <c r="AF623" s="4"/>
    </row>
    <row r="624" ht="12.75">
      <c r="AF624" s="4"/>
    </row>
    <row r="625" ht="12.75">
      <c r="AF625" s="4"/>
    </row>
    <row r="626" ht="12.75">
      <c r="AF626" s="4"/>
    </row>
    <row r="627" ht="12.75">
      <c r="AF627" s="4"/>
    </row>
    <row r="628" ht="12.75">
      <c r="AF628" s="4"/>
    </row>
    <row r="629" ht="12.75">
      <c r="AF629" s="4"/>
    </row>
    <row r="630" ht="12.75">
      <c r="AF630" s="4"/>
    </row>
    <row r="631" ht="12.75">
      <c r="AF631" s="4"/>
    </row>
    <row r="632" ht="12.75">
      <c r="AF632" s="4"/>
    </row>
    <row r="633" ht="12.75">
      <c r="AF633" s="4"/>
    </row>
    <row r="634" ht="12.75">
      <c r="AF634" s="4"/>
    </row>
    <row r="635" ht="12.75">
      <c r="AF635" s="4"/>
    </row>
    <row r="636" ht="12.75">
      <c r="AF636" s="4"/>
    </row>
    <row r="637" ht="12.75">
      <c r="AF637" s="4"/>
    </row>
    <row r="638" ht="12.75">
      <c r="AF638" s="4"/>
    </row>
    <row r="639" ht="12.75">
      <c r="AF639" s="4"/>
    </row>
    <row r="640" ht="12.75">
      <c r="AF640" s="4"/>
    </row>
    <row r="641" ht="12.75">
      <c r="AF641" s="4"/>
    </row>
    <row r="642" ht="12.75">
      <c r="AF642" s="4"/>
    </row>
    <row r="643" ht="12.75">
      <c r="AF643" s="4"/>
    </row>
    <row r="644" ht="12.75">
      <c r="AF644" s="4"/>
    </row>
    <row r="645" ht="12.75">
      <c r="AF645" s="4"/>
    </row>
    <row r="646" ht="12.75">
      <c r="AF646" s="4"/>
    </row>
    <row r="647" ht="12.75">
      <c r="AF647" s="4"/>
    </row>
    <row r="648" ht="12.75">
      <c r="AF648" s="4"/>
    </row>
    <row r="649" ht="12.75">
      <c r="AF649" s="4"/>
    </row>
    <row r="650" ht="12.75">
      <c r="AF650" s="4"/>
    </row>
    <row r="651" ht="12.75">
      <c r="AF651" s="4"/>
    </row>
    <row r="652" ht="12.75">
      <c r="AF652" s="4"/>
    </row>
    <row r="653" ht="12.75">
      <c r="AF653" s="4"/>
    </row>
    <row r="654" ht="12.75">
      <c r="AF654" s="4"/>
    </row>
    <row r="655" ht="12.75">
      <c r="AF655" s="4"/>
    </row>
    <row r="656" ht="12.75">
      <c r="AF656" s="4"/>
    </row>
    <row r="657" ht="12.75">
      <c r="AF657" s="4"/>
    </row>
    <row r="658" ht="12.75">
      <c r="AF658" s="4"/>
    </row>
    <row r="659" ht="12.75">
      <c r="AF659" s="4"/>
    </row>
    <row r="660" ht="12.75">
      <c r="AF660" s="4"/>
    </row>
    <row r="661" ht="12.75">
      <c r="AF661" s="4"/>
    </row>
    <row r="662" ht="12.75">
      <c r="AF662" s="4"/>
    </row>
    <row r="663" ht="12.75">
      <c r="AF663" s="4"/>
    </row>
    <row r="664" ht="12.75">
      <c r="AF664" s="4"/>
    </row>
    <row r="665" ht="12.75">
      <c r="AF665" s="4"/>
    </row>
    <row r="666" ht="12.75">
      <c r="AF666" s="4"/>
    </row>
    <row r="667" ht="12.75">
      <c r="AF667" s="4"/>
    </row>
    <row r="668" ht="12.75">
      <c r="AF668" s="4"/>
    </row>
  </sheetData>
  <conditionalFormatting sqref="N101:N161">
    <cfRule type="cellIs" priority="1" dxfId="0" operator="lessThan" stopIfTrue="1">
      <formula>0</formula>
    </cfRule>
  </conditionalFormatting>
  <printOptions horizontalCentered="1"/>
  <pageMargins left="0.1968503937007874" right="0.07874015748031496" top="0.3937007874015748" bottom="0.3937007874015748" header="0.15748031496062992" footer="0.15748031496062992"/>
  <pageSetup blackAndWhite="1" firstPageNumber="275" useFirstPageNumber="1" horizontalDpi="600" verticalDpi="600" orientation="landscape" paperSize="9" scale="38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Oświaty i Wychowania</dc:creator>
  <cp:keywords/>
  <dc:description/>
  <cp:lastModifiedBy>um</cp:lastModifiedBy>
  <cp:lastPrinted>2007-02-28T12:20:52Z</cp:lastPrinted>
  <dcterms:created xsi:type="dcterms:W3CDTF">1997-11-14T11:37:34Z</dcterms:created>
  <dcterms:modified xsi:type="dcterms:W3CDTF">2007-02-28T12:22:43Z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