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4" activeTab="14"/>
  </bookViews>
  <sheets>
    <sheet name="dochRM" sheetId="1" r:id="rId1"/>
    <sheet name="wydRM" sheetId="2" r:id="rId2"/>
    <sheet name="inwest" sheetId="3" r:id="rId3"/>
    <sheet name="UE" sheetId="4" r:id="rId4"/>
    <sheet name="UE wpi" sheetId="5" r:id="rId5"/>
    <sheet name="remonty" sheetId="6" r:id="rId6"/>
    <sheet name="pozab" sheetId="7" r:id="rId7"/>
    <sheet name="dotacje" sheetId="8" r:id="rId8"/>
    <sheet name="doch Pr" sheetId="9" r:id="rId9"/>
    <sheet name="Wyd Pr" sheetId="10" r:id="rId10"/>
    <sheet name="jednostki" sheetId="11" r:id="rId11"/>
    <sheet name="szkoly" sheetId="12" r:id="rId12"/>
    <sheet name="Doch-harm" sheetId="13" r:id="rId13"/>
    <sheet name="Wyd-harm" sheetId="14" r:id="rId14"/>
    <sheet name="zlecone " sheetId="15" r:id="rId15"/>
  </sheets>
  <definedNames>
    <definedName name="_xlnm.Print_Titles" localSheetId="8">'doch Pr'!$7:$7</definedName>
    <definedName name="_xlnm.Print_Titles" localSheetId="12">'Doch-harm'!$11:$13</definedName>
    <definedName name="_xlnm.Print_Titles" localSheetId="0">'dochRM'!$7:$7</definedName>
    <definedName name="_xlnm.Print_Titles" localSheetId="2">'inwest'!$10:$10</definedName>
    <definedName name="_xlnm.Print_Titles" localSheetId="10">'jednostki'!$9:$9</definedName>
    <definedName name="_xlnm.Print_Titles" localSheetId="5">'remonty'!$9:$9</definedName>
    <definedName name="_xlnm.Print_Titles" localSheetId="11">'szkoly'!$3:$11</definedName>
    <definedName name="_xlnm.Print_Titles" localSheetId="9">'Wyd Pr'!$8:$8</definedName>
    <definedName name="_xlnm.Print_Titles" localSheetId="13">'Wyd-harm'!$7:$9</definedName>
    <definedName name="_xlnm.Print_Titles" localSheetId="1">'wydRM'!$8:$8</definedName>
    <definedName name="_xlnm.Print_Titles" localSheetId="14">'zlecone '!$9:$9</definedName>
  </definedNames>
  <calcPr fullCalcOnLoad="1"/>
</workbook>
</file>

<file path=xl/sharedStrings.xml><?xml version="1.0" encoding="utf-8"?>
<sst xmlns="http://schemas.openxmlformats.org/spreadsheetml/2006/main" count="3167" uniqueCount="919">
  <si>
    <t>Specjalne ośrodki szkolno - wychowawcze</t>
  </si>
  <si>
    <t>Inne formy pomocy dla uczniów</t>
  </si>
  <si>
    <t>stołówki szkolne, z tego:</t>
  </si>
  <si>
    <t>prowadzenie innowacyjnych zajęć edukacyjnych dla dzieci 
i młodzieży niepełnosprawnej</t>
  </si>
  <si>
    <t xml:space="preserve">realizacja zadań wynikających ze strategii działań na rzecz osób niepełnosprawnych, w tym: </t>
  </si>
  <si>
    <t>Dodatkowe wynagrodzenie roczne</t>
  </si>
  <si>
    <t>Poradnie psychologiczno - pedagogiczne, w tym poradnie specjalistyczne</t>
  </si>
  <si>
    <t>inwestycje - zakupy inwestycyjne</t>
  </si>
  <si>
    <t xml:space="preserve">1.11 Kancelaria Prezydenta Miasta </t>
  </si>
  <si>
    <t>Bezpieczeństow publiczne i ochrona przeciwpożarowa</t>
  </si>
  <si>
    <t>dotacja celowa z budżetu państwa na podniesienie standardów w domach pomocy społecznej</t>
  </si>
  <si>
    <t>dotacja celowa z budżetu państwa na sfinansowanie prac komisji kwalifikacyjnych 
i egzaminacyjnych</t>
  </si>
  <si>
    <t>dotacja celowa z budżetu państwa na podniesienie standardów w placówkach opiekuńczo - wychowawczych</t>
  </si>
  <si>
    <t>modernizacja budynków mieszkalnych DPS im. Matki Teresy z Kalkuty</t>
  </si>
  <si>
    <t>do zarządzenia nr 508/2006</t>
  </si>
  <si>
    <t>z dnia 22 listopada 2006 roku</t>
  </si>
  <si>
    <t>węzeł drogowy Poniatowskiego (wiadukt z połączeniem do ul. ks. Popiełuszki)</t>
  </si>
  <si>
    <t>przedłużenie ul. Krańcowej do ul. Kunickiego wraz z mostem na rzece Czerniejówce</t>
  </si>
  <si>
    <t>przebudowa ulic: 3-go Maja i Radziwiłowskiej wraz ze skrzyżowaniem</t>
  </si>
  <si>
    <t>obwodnica miejska od węzła al. Tysiąclecia - ul. Hutnicza do ul. Mełgiewskiej</t>
  </si>
  <si>
    <t>budowa gimnazjum przy ul. Roztocze</t>
  </si>
  <si>
    <t>Szkoła Podstawowa nr 39 przy ul. Krężnickiej</t>
  </si>
  <si>
    <t>odprowadzenie wód deszczowych z osiedli: Szerokie, Lipniak, Węglin Północny, Sławin</t>
  </si>
  <si>
    <t xml:space="preserve">kanalizacja sanitarna i deszczowa NF w kierunku os. Felin i w os. Felin </t>
  </si>
  <si>
    <t xml:space="preserve">odprowadzenie wód deszczowych z ulic: Rozmarynowej, Kwiatów Polnych do zbiornika przy ul. Skowronkowej </t>
  </si>
  <si>
    <t>odprowadzenie wód deszczowych z ulic: Platanowej, Osikowej, Jabłonowej, Skalistej, Sławinkowskiej</t>
  </si>
  <si>
    <t>sieć wodociągowa w ul. Nałęczowskiej</t>
  </si>
  <si>
    <t>odprowadzenie wód deszczowych z osiedli Rudnik i Bursaki</t>
  </si>
  <si>
    <t>rewitalizacja terenów zdegradowanych w dolinach rzecznych Lublina (w tym ścieżki rowerowe)</t>
  </si>
  <si>
    <t>infrastruktura dla aktywizacji gospodarczej 
w dzielnicy Bursaki</t>
  </si>
  <si>
    <t>kolektor sanitarny AN-AS w os. Lipniak do granic miasta</t>
  </si>
  <si>
    <t>inwestycje realizowane przy udziale mieszkańców i innych podmiotów</t>
  </si>
  <si>
    <t>infrastruktura techniczna dla inwestorów budownictwa wielorodzinnego</t>
  </si>
  <si>
    <t>Ośrodek Sportów Terenowych przy ul. Janowskiej</t>
  </si>
  <si>
    <t>budowa Parków Sportowych - skateparków</t>
  </si>
  <si>
    <t>dotacja dla MOSiR "Bystrzyca"</t>
  </si>
  <si>
    <t>w tym: inwestycje</t>
  </si>
  <si>
    <t>Dotacje celowe z budżetu na finansowanie lub dofinansowanie kosztów realizacji inwestycji i zakupów inwestycyjnych zakładów budżetowych</t>
  </si>
  <si>
    <t>budowa wielofunkcyjnej hali sportowo-widowiskowej przy ul. Kazimierza Wielkiego</t>
  </si>
  <si>
    <t>modernizacja hali sportowo - widowiskowej przy Al. Zygmuntowskich 4 - etap II</t>
  </si>
  <si>
    <t>modernizacja ujęcia wody i hydroforni przy ul. Kazimierza Wielkiego</t>
  </si>
  <si>
    <t>Zestawienie przychodów i wydatków zakładów budżetowych, gospodarstw pomocniczych</t>
  </si>
  <si>
    <t>oraz rachunku dochodów własnych na 2006 rok</t>
  </si>
  <si>
    <t>w  złotych</t>
  </si>
  <si>
    <t>Przychody wg uchwały nr 849/XXXVI/2005 Rady Miasta Lublin z dnia 29.12.2005 r. 
z późn. zm.</t>
  </si>
  <si>
    <t>Przychody / Dochody 
po zmianach</t>
  </si>
  <si>
    <t>Wydatki wg uchwały nr 849/XXXVI/2005 Rady Miasta Lublin z dnia 29.12.2005 r. 
z późn. zm.</t>
  </si>
  <si>
    <t>Wydatki po zmianach</t>
  </si>
  <si>
    <t>ogółem</t>
  </si>
  <si>
    <t xml:space="preserve">w tym: dotacja
z budżetu                                </t>
  </si>
  <si>
    <t>Stawka dotacji</t>
  </si>
  <si>
    <t>w tym dotacja 
z budżetu</t>
  </si>
  <si>
    <t xml:space="preserve">Zakres dotacji </t>
  </si>
  <si>
    <t xml:space="preserve">w tym:             wynagrodzenia  </t>
  </si>
  <si>
    <t xml:space="preserve">Razem zakłady budżetowe </t>
  </si>
  <si>
    <t>dotacje celowe na inwestycje</t>
  </si>
  <si>
    <t>Miejski Ośrodek Sportu i Rekreacji "Bystrzyca"</t>
  </si>
  <si>
    <t>w tym:</t>
  </si>
  <si>
    <t>Razem gospodarstwa pomocnicze</t>
  </si>
  <si>
    <t>Razem rachunki dochodów własnych</t>
  </si>
  <si>
    <t xml:space="preserve">budowa wielofunkcyjnej hali sportowo-widowiskowej przy 
ul. Kazimierza Wielkiego                                             </t>
  </si>
  <si>
    <t>modernizacja hali sportowo-widowiskowej przy 
Al. Zygmuntowskich 4 - etap II</t>
  </si>
  <si>
    <t>modernizacja krytej pływalni przy Al. Zygmuntowskich 4</t>
  </si>
  <si>
    <t>dotacja celowa z budżetu państwa na sfinansowanie dodatku do wynagrodzenia pracownika socjalnego</t>
  </si>
  <si>
    <t>Dotacje celowe otrzymane z budżetu państwa na realizację bieżących zadań własnych powiatu</t>
  </si>
  <si>
    <t>Centrum Interwencji Kryzysowej, w tym:</t>
  </si>
  <si>
    <t>Zasiłki i pomoc w naturze oraz składki na ubezpieczenia emerytalne i rentowe</t>
  </si>
  <si>
    <t>dotacja celowa z budżetu państwa na zasiłki i pomoc w naturze oraz na składki na ubezpieczenia emerytalne i rentowe</t>
  </si>
  <si>
    <t>Dotacje celowe otrzymane z budżetu państwa na realizację własnych zadań bieżących gmin</t>
  </si>
  <si>
    <t>świadczenia społeczne</t>
  </si>
  <si>
    <t>dotacja celowa z budżetu państwa na sfinansowanie kosztów wydawania decyzji o świadczeniach zdrowotnych</t>
  </si>
  <si>
    <t>Dotacje celowe otrzymane z budżetu państwa na realizację zadań bieżących 
z zakresu administracji rządowej oraz innych zadań zleconych gminie ustawami</t>
  </si>
  <si>
    <t>wydawanie decyzji o świadczeniach zdrowotnych</t>
  </si>
  <si>
    <t xml:space="preserve">Ośrodki wsparcia </t>
  </si>
  <si>
    <t>Usuwanie skutków klęsk żywiołowych</t>
  </si>
  <si>
    <t>mieszkania chronione</t>
  </si>
  <si>
    <t>Rodziny zastępcze</t>
  </si>
  <si>
    <t>Urzędy wojewódzkie</t>
  </si>
  <si>
    <t>dotacja celowa z budżetu państwa na realizację bieżących zadań z zakresu administracji rządowej</t>
  </si>
  <si>
    <t>Nadzór budowlany</t>
  </si>
  <si>
    <t>dotacja celowa z budżetu państwa na utrzymanie Powiatowego Inspektoratu Nadzoru Budowlanego</t>
  </si>
  <si>
    <t>dotacja celowa z budżetu państwa na sfinansowanie kosztów wykonania zastępczego</t>
  </si>
  <si>
    <t>sfinansowanie kosztów wykonania zastępczego</t>
  </si>
  <si>
    <t>modernizacja obiektu</t>
  </si>
  <si>
    <t>1.2 Wydział Funduszy Europejskich</t>
  </si>
  <si>
    <t xml:space="preserve">1.3 Wydział Finansowy </t>
  </si>
  <si>
    <t>1.4 Wydział Gospodarki Komunalnej</t>
  </si>
  <si>
    <t>przebudowa ulic: 3-go Maja i Radziwiłłowskiej wraz ze skrzyżowaniem</t>
  </si>
  <si>
    <t>węzeł drogowy Poniatowskiego (wiadukt z połączeniem 
do ul. ks. Popiełuszki)</t>
  </si>
  <si>
    <t xml:space="preserve">wydatki związane z utrzymaniem grobów i cmentarzy </t>
  </si>
  <si>
    <t>1.5 Wydział Informatyki i Telekomunikacji</t>
  </si>
  <si>
    <t>1.9 Wydział Spraw Społecznych</t>
  </si>
  <si>
    <t>1.10 Wydział Strategii i Rozwoju</t>
  </si>
  <si>
    <t xml:space="preserve">Zmiany </t>
  </si>
  <si>
    <t>2006 rok</t>
  </si>
  <si>
    <t>4. Zespół Placówek Wsparcia Dziecka i Rodziny</t>
  </si>
  <si>
    <t>1.1 Wydział Bezpieczeństwa Mieszkańców i Zarządzania Kryzysowego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</si>
  <si>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</si>
  <si>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</si>
  <si>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</si>
  <si>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</si>
  <si>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</si>
  <si>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</si>
  <si>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</si>
  <si>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</si>
  <si>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</si>
  <si>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</si>
  <si>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</si>
  <si>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</si>
  <si>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</si>
  <si>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12</t>
  </si>
  <si>
    <t>Gimnazjum nr 16</t>
  </si>
  <si>
    <t>Gimnazjum nr 18</t>
  </si>
  <si>
    <t>Gimnazjum nr 19</t>
  </si>
  <si>
    <t>II Liceum Ogólnokształcące</t>
  </si>
  <si>
    <t>III Liceum Ogólnokształcące</t>
  </si>
  <si>
    <t>IV Liceum Ogólnokształcące</t>
  </si>
  <si>
    <t>VI Liceum Ogólnokształcące</t>
  </si>
  <si>
    <t>VIII Liceum Ogólnokształcące</t>
  </si>
  <si>
    <t>Zespół Szkół Ogólnokształcących nr 2</t>
  </si>
  <si>
    <t>Zespół Szkół Ogólnokształcących nr 4</t>
  </si>
  <si>
    <t>Zespół Szkół Ogólnokształcących nr 6</t>
  </si>
  <si>
    <t>Zespół Szkół Odzieżowo-Włókienniczych</t>
  </si>
  <si>
    <t>Lubelskie Centrum Edukacji Zawodowej</t>
  </si>
  <si>
    <t>Dział 854 - Edukacyjna opieka wychowawcza</t>
  </si>
  <si>
    <t>Wydatki inwestycyjne jednostek budżetowych</t>
  </si>
  <si>
    <t>Gospodarka komunalna i ochrona środowiska</t>
  </si>
  <si>
    <t xml:space="preserve">wynagrodzenia </t>
  </si>
  <si>
    <t>2. Komenda Straży Miejskiej</t>
  </si>
  <si>
    <t>Straż Miejska</t>
  </si>
  <si>
    <t>inwestycje, w tym:</t>
  </si>
  <si>
    <t>pomoc materialna dla uczniów w ramach Narodowego Programu Stypendialnego</t>
  </si>
  <si>
    <t>Wynagrodzenia</t>
  </si>
  <si>
    <t xml:space="preserve">       Nazwa</t>
  </si>
  <si>
    <t>§ 4040</t>
  </si>
  <si>
    <t>§ 4170</t>
  </si>
  <si>
    <t>§ 4110</t>
  </si>
  <si>
    <t>§ 4120</t>
  </si>
  <si>
    <t>§ 3240</t>
  </si>
  <si>
    <t>§ 3260</t>
  </si>
  <si>
    <t>§ 4140</t>
  </si>
  <si>
    <t>§ 4210</t>
  </si>
  <si>
    <t>§ 4240</t>
  </si>
  <si>
    <t>§ 4260</t>
  </si>
  <si>
    <t>§ 4270</t>
  </si>
  <si>
    <t>§ 4300</t>
  </si>
  <si>
    <t>5. Dom Dziecka im. Janusza Korczaka</t>
  </si>
  <si>
    <t>§ 4430</t>
  </si>
  <si>
    <t xml:space="preserve">           paragrafu</t>
  </si>
  <si>
    <t>Dodatkowe</t>
  </si>
  <si>
    <t>Wynagro-</t>
  </si>
  <si>
    <t>Składki na</t>
  </si>
  <si>
    <t>Składki</t>
  </si>
  <si>
    <t>Stypendia</t>
  </si>
  <si>
    <t>Inne formy</t>
  </si>
  <si>
    <t>Wpłaty na</t>
  </si>
  <si>
    <t>Zakup</t>
  </si>
  <si>
    <t>wynagr.</t>
  </si>
  <si>
    <t>dzenia</t>
  </si>
  <si>
    <t>ubezpiecz.</t>
  </si>
  <si>
    <t xml:space="preserve">na </t>
  </si>
  <si>
    <t>dla</t>
  </si>
  <si>
    <t>pomocy</t>
  </si>
  <si>
    <t>Państwowy</t>
  </si>
  <si>
    <t xml:space="preserve">materiałów </t>
  </si>
  <si>
    <t>energii</t>
  </si>
  <si>
    <t xml:space="preserve">usług </t>
  </si>
  <si>
    <t>usług</t>
  </si>
  <si>
    <t>roczne</t>
  </si>
  <si>
    <t>bezosobowe</t>
  </si>
  <si>
    <t>społeczne</t>
  </si>
  <si>
    <t>Fundusz</t>
  </si>
  <si>
    <t>uczniów</t>
  </si>
  <si>
    <t xml:space="preserve">dla </t>
  </si>
  <si>
    <t>i</t>
  </si>
  <si>
    <t>naukowych,</t>
  </si>
  <si>
    <t>remontowych</t>
  </si>
  <si>
    <t>pozostałych</t>
  </si>
  <si>
    <t>Razem</t>
  </si>
  <si>
    <t>Pracy</t>
  </si>
  <si>
    <t>Rehabilitacji</t>
  </si>
  <si>
    <t>wyposażenia</t>
  </si>
  <si>
    <t>dydaktycznych</t>
  </si>
  <si>
    <t xml:space="preserve">Osób </t>
  </si>
  <si>
    <t>i książek</t>
  </si>
  <si>
    <t xml:space="preserve">       szkoły</t>
  </si>
  <si>
    <t>Niepełnospr.</t>
  </si>
  <si>
    <t>Dział 801 - Oświata i wychowanie</t>
  </si>
  <si>
    <t xml:space="preserve">rozdz. 80104 - Przedszkola </t>
  </si>
  <si>
    <t>rozdz. 80130 - Szkoły zawodowe</t>
  </si>
  <si>
    <t>Zespół Szkół Elektronicznych</t>
  </si>
  <si>
    <t>Zespół Szkół Energetycznych</t>
  </si>
  <si>
    <t>Zespół Szkół Samochodowych</t>
  </si>
  <si>
    <t>Zespół Szkół nr 1</t>
  </si>
  <si>
    <t>Zespół Szkół nr 3</t>
  </si>
  <si>
    <t>Zespół Szkół nr 5</t>
  </si>
  <si>
    <t>Zespół Szkół Ogólnokształcących nr 1</t>
  </si>
  <si>
    <t>rozdz. 85415 - Pomoc materialna dla uczniów</t>
  </si>
  <si>
    <t>rozdz. 85495 - Pozostała działalność (stołówki szkolne)</t>
  </si>
  <si>
    <t>Dział 851 - Ochrona zdrowia</t>
  </si>
  <si>
    <t>Przedszkola</t>
  </si>
  <si>
    <t>Pomoc materialna dla uczniów</t>
  </si>
  <si>
    <t>Szkoły podstawowe</t>
  </si>
  <si>
    <t>Gimnazja</t>
  </si>
  <si>
    <t>Licea ogólnokształcące</t>
  </si>
  <si>
    <t>Placówki wychowania pozaszkolnego</t>
  </si>
  <si>
    <t>Dokształcanie i doskonalenie nauczycieli</t>
  </si>
  <si>
    <t>Zakup pomocy naukowych, dydaktycznych i książek</t>
  </si>
  <si>
    <t>Drogi publiczne w miastach na prawach powiatu</t>
  </si>
  <si>
    <t>Dotacje celowe z budżetu państwa na zadania zlecone z zakresu administracji rządowej</t>
  </si>
  <si>
    <t>Dochody budżetu miasta na 2006 rok</t>
  </si>
  <si>
    <t>Dochody                                                                                                                                            (nazwa działu, rozdziału, źródła dochodów, paragrafu)</t>
  </si>
  <si>
    <t xml:space="preserve">Plan według uchwały    
nr 849/XXXVI/2005                              
Rady Miasta Lublin
z 29.12.2005 r.
z późn. zm.                    </t>
  </si>
  <si>
    <t>Dochody budżetu miasta ogółem</t>
  </si>
  <si>
    <t>Dochody własne</t>
  </si>
  <si>
    <t>Subwencje i dotacja rekompensująca</t>
  </si>
  <si>
    <t>Dotacje celowe i inne środki na zadania własne</t>
  </si>
  <si>
    <t>Dotacje celowe i inne środki na zadania realizowane na podstawie porozumień i umów</t>
  </si>
  <si>
    <t xml:space="preserve">Dotacje celowe z budżetu państwa na zadania zlecone z zakresu administracji rządowej </t>
  </si>
  <si>
    <t>Subwencje</t>
  </si>
  <si>
    <t>Domy pomocy społecznej</t>
  </si>
  <si>
    <r>
      <t>Dochody gminy ogółem,</t>
    </r>
    <r>
      <rPr>
        <sz val="10"/>
        <rFont val="Arial CE"/>
        <family val="2"/>
      </rPr>
      <t xml:space="preserve"> z tego:</t>
    </r>
  </si>
  <si>
    <t>Dochody gminy, z tego:</t>
  </si>
  <si>
    <t>Harmonogram realizacji dochodów budżetu miasta  w 2006 roku</t>
  </si>
  <si>
    <t xml:space="preserve">Rozdz. </t>
  </si>
  <si>
    <t xml:space="preserve"> (nazwa działu, rozdziału)</t>
  </si>
  <si>
    <t>Dochody ogółem</t>
  </si>
  <si>
    <t>1.1 Wydział Finansowy</t>
  </si>
  <si>
    <t xml:space="preserve">    mgr Irena Szumlak</t>
  </si>
  <si>
    <t xml:space="preserve">          Andrzej Pruszkowski</t>
  </si>
  <si>
    <t>Internaty i bursy szkolne</t>
  </si>
  <si>
    <t>Centra kształcenia ustawicznego 
i praktycznego oraz ośrodki dokształcania zawodowego</t>
  </si>
  <si>
    <t>Załącznik nr 3</t>
  </si>
  <si>
    <t>Przedszkole nr 69</t>
  </si>
  <si>
    <t>Wydatki osobowe niezaliczone do wynagrodzeń</t>
  </si>
  <si>
    <t>Planowane wydatki majątkowe na 2006 rok</t>
  </si>
  <si>
    <t>zadania realizowane w ramach Gminnego Programu Przeciwdziałania Narkomanii</t>
  </si>
  <si>
    <t>zadania realizowane w ramach Gminnego Programu Profilaktyki 
i Rozwiązywania Problemów Alkoholowych</t>
  </si>
  <si>
    <t>realizacja zadań wynikających ze strategii działań na rzecz osób niepełnosprawnych</t>
  </si>
  <si>
    <t>w tym: dotacje</t>
  </si>
  <si>
    <t>Euroregionalny Ośrodek Informacji i Współpracy Kulturalnej 
w Lublinie</t>
  </si>
  <si>
    <t>kluby samopomocy działające przy ul. Pozytywistów 
i ul. Nałkowskich</t>
  </si>
  <si>
    <t>Plan według uchwały    
nr 849/XXXVI/2005                              
Rady Miasta Lublin
z 29.12.2005 r.
z późn. zm.</t>
  </si>
  <si>
    <t>z tego ze środków:</t>
  </si>
  <si>
    <t xml:space="preserve">Rozdz.                          </t>
  </si>
  <si>
    <t>Nazwa: działu, rozdziału, 
                             zadania inwestycyjnego</t>
  </si>
  <si>
    <t>własnych 
i innych zwrotnych</t>
  </si>
  <si>
    <t>Unii Europejskiej</t>
  </si>
  <si>
    <t>z budżetu państwa i innych bezzwrotnych</t>
  </si>
  <si>
    <t>inwestycji 
po zmianach</t>
  </si>
  <si>
    <t>Ogółem wydatki majątkowe</t>
  </si>
  <si>
    <t>Plan remontów na 2006 rok</t>
  </si>
  <si>
    <t xml:space="preserve">Nazwa: działu, rozdziału, zadania </t>
  </si>
  <si>
    <t>Zmniejszenie</t>
  </si>
  <si>
    <t>Ogółem remonty</t>
  </si>
  <si>
    <t>Zadania własne</t>
  </si>
  <si>
    <t xml:space="preserve">Plan według uchwały    
nr 849/XXXVI/2005                             
Rady Miasta Lublin
z 29.12.2005 r.     
z późn. zm.            </t>
  </si>
  <si>
    <t>Drogi publiczne gminne</t>
  </si>
  <si>
    <t>Działalność usługowa</t>
  </si>
  <si>
    <t>Załącznik nr 2</t>
  </si>
  <si>
    <t>Gospodarstwa pomocnicze</t>
  </si>
  <si>
    <t>Ośrodki wsparcia</t>
  </si>
  <si>
    <t>Plany zagospodarowania przestrzennego</t>
  </si>
  <si>
    <t>Gospodarka ściekowa i ochrona wód</t>
  </si>
  <si>
    <t>Gospodarka odpadami</t>
  </si>
  <si>
    <t>Kultura i ochrona dziedzictwa narodowego</t>
  </si>
  <si>
    <t>Kultura fizyczna i sport</t>
  </si>
  <si>
    <t>Centra kultury i sztuki</t>
  </si>
  <si>
    <t>Instytucje kultury fizycznej</t>
  </si>
  <si>
    <t>dokształcanie i doskonalenie zawodowe nauczycieli</t>
  </si>
  <si>
    <t>Oddziały przedszkolne w szkołach podstawowych</t>
  </si>
  <si>
    <t>Szkoły podstawowe specjalne</t>
  </si>
  <si>
    <t>Przedszkola specjalne</t>
  </si>
  <si>
    <t>Przedszkole nr 16</t>
  </si>
  <si>
    <t>Przedszkole nr 36</t>
  </si>
  <si>
    <t>Przedszkole nr 39</t>
  </si>
  <si>
    <t>Przedszkole nr 47</t>
  </si>
  <si>
    <t>Przedszkole nr 48</t>
  </si>
  <si>
    <t>Przedszkole nr 58</t>
  </si>
  <si>
    <t>rozdz. 85403 - Specjalne ośrodki szkolno-wychowawcze</t>
  </si>
  <si>
    <t>Dochody powiatu ogółem, z tego:</t>
  </si>
  <si>
    <t>Specjalny Ośrodek Szkolno - Wychowawczy dla Dzieci i Młodzieży Słabo Widzącej</t>
  </si>
  <si>
    <t>Specjalny Ośrodek Szkolno-Wychowawczy nr 2</t>
  </si>
  <si>
    <t>Gimnazja specjalne</t>
  </si>
  <si>
    <t>Dowożenie uczniów do szkół</t>
  </si>
  <si>
    <t>Licea ogólnokształcące specjalne</t>
  </si>
  <si>
    <t>Licea profilowane</t>
  </si>
  <si>
    <t>Licea profilowane specjalne</t>
  </si>
  <si>
    <t>Szkoły artystyczne</t>
  </si>
  <si>
    <t>Szkoły zawodowe specjalne</t>
  </si>
  <si>
    <t>Zadania w zakresie kultury fizycznej i sportu</t>
  </si>
  <si>
    <t>Świetlice szkolne</t>
  </si>
  <si>
    <t>Specjalne ośrodki szkolno-wychowawcze</t>
  </si>
  <si>
    <t>Poradnie psychologiczno - pedagogiczne, 
w tym poradnie specjalistyczne</t>
  </si>
  <si>
    <t>Szkolne schroniska młodzieżowe</t>
  </si>
  <si>
    <t>Młodzieżowe ośrodki socjoterapii</t>
  </si>
  <si>
    <t>Składki na ubezpieczenie zdrowotne oraz świadczenia dla osób nieobjętych obowiązkiem ubezpieczenia zdrowotnego</t>
  </si>
  <si>
    <t>Wydatki na zadania realizowane 
na podstawie porozumień i umów</t>
  </si>
  <si>
    <t>Placówki opiekuńczo-wychowawcze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</si>
  <si>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</si>
  <si>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</si>
  <si>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</si>
  <si>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</si>
  <si>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</si>
  <si>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</si>
  <si>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Ochrona zabytków i opieka nad zabytkami</t>
  </si>
  <si>
    <t>Plan dochodów 
po zmianach</t>
  </si>
  <si>
    <t>Zakup usług remontowych - remonty szkół</t>
  </si>
  <si>
    <t>termomodernizacje obiektów</t>
  </si>
  <si>
    <t>rozdz. 80101 - Szkoły podstawowe</t>
  </si>
  <si>
    <t>,</t>
  </si>
  <si>
    <t>Dochody powiatu, z tego:</t>
  </si>
  <si>
    <t>Jednostka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</si>
  <si>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</si>
  <si>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</si>
  <si>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</si>
  <si>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</si>
  <si>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budżetu państwa 
i innych bezzwrotnych</t>
  </si>
  <si>
    <t>Wydatki na 2007 rok</t>
  </si>
  <si>
    <t xml:space="preserve">Ogółem </t>
  </si>
  <si>
    <t>Świadczenia społeczne</t>
  </si>
  <si>
    <t>Zadania realizowane na podstawie porozumień i umów</t>
  </si>
  <si>
    <t>Wydatki na 2006 rok z późn. zm.,  
z tego ze środków:</t>
  </si>
  <si>
    <t>Wydatki na 2007 rok z późn. zm.,  
z tego ze środków:</t>
  </si>
  <si>
    <t>Wydatki na 2008 rok z późn. zm.,  
z tego ze środków:</t>
  </si>
  <si>
    <t>Załącznik nr 6</t>
  </si>
  <si>
    <t>Planowane wydatki na wieloletnie programy i projekty inwestycyjne współfinansowane ze środków</t>
  </si>
  <si>
    <t>europejskich w latach 2006-2008</t>
  </si>
  <si>
    <t>Wydatki na 2006 rok po zmianach, 
z tego ze środków:</t>
  </si>
  <si>
    <t>Urząd Miasta Lublin</t>
  </si>
  <si>
    <t>§ 4010</t>
  </si>
  <si>
    <t xml:space="preserve">Wynagrodzenia </t>
  </si>
  <si>
    <t>osobowe</t>
  </si>
  <si>
    <t>pracowników</t>
  </si>
  <si>
    <t>§ 3020</t>
  </si>
  <si>
    <t>niezaliczone</t>
  </si>
  <si>
    <t xml:space="preserve">do </t>
  </si>
  <si>
    <t>wynagrodzeń</t>
  </si>
  <si>
    <t>na</t>
  </si>
  <si>
    <t>§ 4440</t>
  </si>
  <si>
    <t>Odpisy</t>
  </si>
  <si>
    <t>zakładowy</t>
  </si>
  <si>
    <t>fundusz</t>
  </si>
  <si>
    <t>świadczeń</t>
  </si>
  <si>
    <t>socjalnych</t>
  </si>
  <si>
    <t>rozdz. 80101 - Szkoły podstawowe - akcja "Bezpieczna droga"</t>
  </si>
  <si>
    <t>akcja "Bezpieczna droga"</t>
  </si>
  <si>
    <t>Odpisy na zakładowy fundusz świadczeń socjalnych</t>
  </si>
  <si>
    <t>wynagrodzenia</t>
  </si>
  <si>
    <t>rozdz. 80103 - Oddziały przedszkolne w szkołach podstawowych</t>
  </si>
  <si>
    <t>Młodzieżowy Dom Kultury</t>
  </si>
  <si>
    <t>Załącznik nr 12</t>
  </si>
  <si>
    <t>Załącznik nr 4</t>
  </si>
  <si>
    <t>Planowane wydatki na programy i projekty realizowane ze środków pochodzących z budżetu Unii Europejskiej</t>
  </si>
  <si>
    <t>Wydatki na 2008 rok 
z tego ze środków:</t>
  </si>
  <si>
    <t>2005-2007</t>
  </si>
  <si>
    <t>Dotacje celowe z budżetu państwa na zadania z zakresu administracji rządowej</t>
  </si>
  <si>
    <t>rozdz. 80146 - Dokształcanie 
i doskonalenie nauczycieli</t>
  </si>
  <si>
    <t>Zespół Szkół Włókienniczych 
(XXIII LO)</t>
  </si>
  <si>
    <t>rezerwa budżetowa</t>
  </si>
  <si>
    <t>inwestycje, z tego:</t>
  </si>
  <si>
    <t>Przedszkole nr 3</t>
  </si>
  <si>
    <t>Przedszkole nr 5</t>
  </si>
  <si>
    <t>Przedszkole nr 6</t>
  </si>
  <si>
    <t>Przedszkole nr 7</t>
  </si>
  <si>
    <t>Przedszkole nr 9</t>
  </si>
  <si>
    <t>Przedszkole nr 12</t>
  </si>
  <si>
    <t>Przedszkole nr 13</t>
  </si>
  <si>
    <t>Przedszkole nr 14</t>
  </si>
  <si>
    <t>Przedszkole nr 15</t>
  </si>
  <si>
    <t>Przedszkole nr 18</t>
  </si>
  <si>
    <t>Przedszkole nr 19</t>
  </si>
  <si>
    <t>Przedszkole nr 22</t>
  </si>
  <si>
    <t>Przedszkole nr 26</t>
  </si>
  <si>
    <t>Przedszkole nr 28</t>
  </si>
  <si>
    <t>Przedszkole nr 33</t>
  </si>
  <si>
    <t>Przedszkole nr 34</t>
  </si>
  <si>
    <t>Przedszkole nr 35</t>
  </si>
  <si>
    <t>Przedszkole nr 37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</si>
  <si>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</si>
  <si>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</si>
  <si>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</si>
  <si>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</si>
  <si>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</si>
  <si>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</si>
  <si>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49</t>
  </si>
  <si>
    <t>Przedszkole nr 53</t>
  </si>
  <si>
    <t>Przedszkole nr 57</t>
  </si>
  <si>
    <t>Przedszkole nr 59</t>
  </si>
  <si>
    <t>Dotacje celowe otrzymane z budżetu państwa na realizację zadań bieżących  
z zakresu administracji rządowej oraz innych zadań zleconych gminie ustawami</t>
  </si>
  <si>
    <t>dotacja celowa z budżetu państwa na sfinansowanie kosztów wydawania decyzji 
o świadczeniach zdrowotnych</t>
  </si>
  <si>
    <t>Przedszkole nr 63</t>
  </si>
  <si>
    <t>Przedszkole nr 64</t>
  </si>
  <si>
    <t>Przedszkole nr 65</t>
  </si>
  <si>
    <t>Przedszkole nr 66</t>
  </si>
  <si>
    <t>Przedszkole nr 67</t>
  </si>
  <si>
    <t>Przedszkole nr 70</t>
  </si>
  <si>
    <t>Przedszkole nr 73</t>
  </si>
  <si>
    <t>Przedszkole nr 74</t>
  </si>
  <si>
    <t>Przedszkole nr 75</t>
  </si>
  <si>
    <t>Przedszkole nr 76</t>
  </si>
  <si>
    <t>Przedszkole nr 77</t>
  </si>
  <si>
    <t>Przedszkole nr 79</t>
  </si>
  <si>
    <t>Przedszkole nr 81</t>
  </si>
  <si>
    <t>Przedszkole nr 83</t>
  </si>
  <si>
    <t>Specjalny Ośrodek Szkolno - Wychowawczy dla Dzieci 
i Młodzieży Słabo Widzącej 
(SP S nr 54)</t>
  </si>
  <si>
    <t>Specjalny Ośrodek Szkolno-Wychowawczy dla Dzieci 
i Młodzieży Niesłyszącej i Słabo Słyszącej (XVI LPS)</t>
  </si>
  <si>
    <t>Państwowe Szkoły Budownictwa 
i Geodezji</t>
  </si>
  <si>
    <t>Zespół Szkół Chemicznych 
i Przemysłu Spożywczego</t>
  </si>
  <si>
    <t>Centrum Kształcenia Ustawicznego 
nr 1</t>
  </si>
  <si>
    <t>Centrum Kształcenia Ustawicznego 
nr 2</t>
  </si>
  <si>
    <t>przebudowa al. Tysiąclecia na odcinku od ronda Dmowskiego do wiaduktu Hutnicza-Łęczyńska wraz z remontem mostu na rzece Bystrzycy oraz budowa wiaduktu nad al. Tysiąclecia, budowa lewej jezdni ul. Graffa</t>
  </si>
  <si>
    <t>2005-2006</t>
  </si>
  <si>
    <t>dotacja celowa z budżetu państwa na dofinansowanie pracodawcom kosztów przygotowania zawodowego młodocianych pracowników</t>
  </si>
  <si>
    <t>dotacja celowa z budżetu państwa na wydatki związane ze zwrotem podatku akcyzowego producentom rolnym</t>
  </si>
  <si>
    <t>Świadczenia rodzinne, zaliczka alimentacyjna oraz składki na ubezpieczenia emerytalne i rentowe z ubezpieczenia społecznego</t>
  </si>
  <si>
    <t>dotacja celowa z budżetu państwa na wydatki związane z wypłatą świadczeń rodzinnych, zaliczki alimentacyjnej</t>
  </si>
  <si>
    <t>dotacja celowa z budżetu państwa na wypłaty zasiłków celowych dla rodzin poszkodowanych wskutek powodzi i suszy</t>
  </si>
  <si>
    <t>Dotacje celowe otrzymane z budżetu państwa na inwestycje i zakupy inwestycyjne z zakresu administracji rządowej oraz inne zadania zlecone ustawami realizowane przez powiat</t>
  </si>
  <si>
    <t>Ogółem, z tego:</t>
  </si>
  <si>
    <t>dotacja na stypendia</t>
  </si>
  <si>
    <t>pomoc materialna dla uczniów pochodzących 
z rodzin byłych pracowników państwowych przedsiębiorstw gospodarki rolnej</t>
  </si>
  <si>
    <t xml:space="preserve">Zadania z zakresu pomocy społecznej </t>
  </si>
  <si>
    <t xml:space="preserve">Zadania z zakresu odnowy i konserwacji zabytków </t>
  </si>
  <si>
    <t>Zadania z zakresu rehabilitacji zawodowej i społecznej oraz zatrudniania osób niepełnosprawnych</t>
  </si>
  <si>
    <t xml:space="preserve">Zadania realizowane na podstawie ustawy
o działalności pożytku publicznego i o wolontariacie </t>
  </si>
  <si>
    <t>Dotacja z budżetu na 2006 rok wg uchwały Rady Miasta Lublin nr 849/XXXVI/2005 z dnia 29.12.2005 r. z późn. zm.</t>
  </si>
  <si>
    <t xml:space="preserve">nauczanie języka angielskiego w pierwszych klasach </t>
  </si>
  <si>
    <t>dofinansowanie pracodawcom kosztów przygotowania zawodowego młodocianych pracowników</t>
  </si>
  <si>
    <t xml:space="preserve">komisje kwalifikacyjne i egzaminacyjne - wynagrodzenia </t>
  </si>
  <si>
    <t xml:space="preserve">dotacje na utrzymanie dzieci umieszczonych w rodzinach zastępczych na terenie innych powiatów  </t>
  </si>
  <si>
    <t>Dotacje celowe przekazane dla powiatu na zadania bieżące realizowane na podstawie porozumień między jednostkami samorządu terytorialnego</t>
  </si>
  <si>
    <t>Usługi opiekuńcze i specjalistyczne usługi opiekuńcze</t>
  </si>
  <si>
    <t>usługi opiekuńcze</t>
  </si>
  <si>
    <t>Zespoły do spraw orzekania o niepełnosprawności</t>
  </si>
  <si>
    <t xml:space="preserve">pomoc dla repatriantów </t>
  </si>
  <si>
    <t>odprowadzenie wód deszczowych z ulic: Platanowej, Osikowej, Jabłoniowej, Skalistej, Sławinkowskiej</t>
  </si>
  <si>
    <t>przebudowa kanalizacji deszczowej w ul. Lipowej</t>
  </si>
  <si>
    <t>Utrzymanie zieleni w miastach i gminach</t>
  </si>
  <si>
    <t>inwestycje - Ogród Saski</t>
  </si>
  <si>
    <t>Oświetlenie ulic, placów i dróg</t>
  </si>
  <si>
    <t>oświetlenie dróg</t>
  </si>
  <si>
    <t>konserwacja i obsługa urządzeń oświetlenia</t>
  </si>
  <si>
    <t>infrastruktura dla aktywizacji gospodarczej w dzielnicy Bursaki</t>
  </si>
  <si>
    <t xml:space="preserve">modernizacja krytej pływalni przy Al. Zygmuntowskich 4 w Lublinie </t>
  </si>
  <si>
    <t>upowszechnianie kultury fizycznej</t>
  </si>
  <si>
    <t>Skarbnik Miasta Lublin</t>
  </si>
  <si>
    <t>PREZYDENT MIASTA LUBLIN</t>
  </si>
  <si>
    <t xml:space="preserve">       Andrzej Pruszkowski</t>
  </si>
  <si>
    <t xml:space="preserve">  mgr Irena Szumlak</t>
  </si>
  <si>
    <t>wydatki związane ze zwrotem podatku akcyzowego producentom rolnym</t>
  </si>
  <si>
    <t>kluby samopomocy działające przy ul. Pozytywistów i ul. Nałkowskich</t>
  </si>
  <si>
    <t>zasiłki celowe dla rodzin poszkodowanych wskutek powodzi i suszy</t>
  </si>
  <si>
    <t>świadczenia rodzinne</t>
  </si>
  <si>
    <t>zakupy inwestycyjne w ramach projektu: "Program stypendialny Miasta Lublin szansą ponadgimnazjalistów z terenów wiejskich"</t>
  </si>
  <si>
    <t>przebudowa al. Kraśnickiej (odcinek 
od ul. Roztocze do granic miasta)</t>
  </si>
  <si>
    <t>przebudowa ulic: 3-go Maja i Radziwiłłowskiej 
wraz ze skrzyżowaniem</t>
  </si>
  <si>
    <t>modernizacja budynków mieszkalnych DPS 
im. Matki Teresy z Kalkuty</t>
  </si>
  <si>
    <t>Ogród Saski</t>
  </si>
  <si>
    <t>przebudowa kanalizacji deszczowej 
w ul. Lipowej</t>
  </si>
  <si>
    <t>Utrzymanie zieleni w miastach i gmianach</t>
  </si>
  <si>
    <t>rozdz. 85406 - Poradnie psychologiczno-pedagogiczne, 
w tym poradnie specjalistyzne</t>
  </si>
  <si>
    <t>Dotacja podmiotowa z budżetu dla publicznej jednostki systemu oświaty prowadzonej przez osobę prawną inną niż jednostka samorządu terytorialnego lub przez osobę fizyczną</t>
  </si>
  <si>
    <t>budowa wielofunkcyjnej hali sportowo-widowiskowej 
przy ul. Kazimierza Wielkiego</t>
  </si>
  <si>
    <t>dotacja celowa z budżetu państwa na sfinansowanie wprowadzenia od 1 września 
2006 r. nauczania języka angielskiego w pierwszych klasach</t>
  </si>
  <si>
    <t>Przedszkole Prywatne "PIOTRUŚ PAN"; Mirosława Kamienobrodzka, 
ul. Krasińskiego 3/53, 20-709 Lublin</t>
  </si>
  <si>
    <t>Przedszkole Prywatne "PIOTRUŚ PAN 2"; Mirosława Kamienobrodzka, 
ul. Krasińskiego 3/53, 20-709 Lublin</t>
  </si>
  <si>
    <t>Pierwsza Społeczna Szkoła Podstawowa; Społeczne Stowarzyszenie Edukacyjne, 
ul. Herbowa 18 A, 20-551 Lublin</t>
  </si>
  <si>
    <t>Katolicka Szkoła Podstawowa im. św Jadwigi Królowej; Parafia Rzymsko-Katolicka św. Jadwigi Królowej, ul. Koncertowa 15, 20-866 Lublin</t>
  </si>
  <si>
    <t>Katolickie Przedszkole im. św. Franciszka z Asyżu; Zgromadzenie Siósr Służek NMP Niepokalanej, ul. Mickiewicza 7, 27-600 Sandomierz</t>
  </si>
  <si>
    <t>Przedszkole Parafialne im. bł. Honorata Koźmińskiego; Parafia Rzymsko-Katolicka św. Stanisława Biskupa i Męczennika, ul. Zbożowa 75, 20-827 Lublin</t>
  </si>
  <si>
    <t>Zasadnicza Szkoła Zawodowa Przyzakładowa ZDZ im. B. Parczyńskiego; Zakład Doskonalenia Zawodowego, ul. Królewska 15, 20-950 Lublin</t>
  </si>
  <si>
    <t>6. Rodzinny Dom Dziecka</t>
  </si>
  <si>
    <t>7. Pogotowie Opiekuńcze</t>
  </si>
  <si>
    <t>8. Dom Pomocy Społecznej "Betania"</t>
  </si>
  <si>
    <t>9. Dom Pomocy Społecznej im. Matki Teresy z Kalkuty</t>
  </si>
  <si>
    <t>inwestycje - modernizacja budynków mieszkalnych</t>
  </si>
  <si>
    <t>11. Dom Pomocy Społecznej im. W. Michelisowej</t>
  </si>
  <si>
    <t>12. Zespół Dziennych Domów Pomocy Społecznej</t>
  </si>
  <si>
    <t>13.  Miejski Ośrodek Pomocy Rodzinie</t>
  </si>
  <si>
    <t>15. Powiatowy Inspektorat Nadzoru Budowlanego</t>
  </si>
  <si>
    <t>16. Szkoły i placówki oświatowe</t>
  </si>
  <si>
    <t>8. Dom Pomocy Społecznej Betania</t>
  </si>
  <si>
    <t>10. Dom Pomocy Społecznej 
im. W. Michelisowej</t>
  </si>
  <si>
    <t>11. Dom Pomocy Społecznej dla Osób Niepełnosprawnych Fizycznie</t>
  </si>
  <si>
    <t>13. Miejski Ośrodek Pomocy Rodzinie</t>
  </si>
  <si>
    <t>14. Miejski Urząd Pracy</t>
  </si>
  <si>
    <t>15. Komenda Miejska Państwowej Straży Pożarnej</t>
  </si>
  <si>
    <t>16. Powiatowy Inspektorat 
Nadzoru Budowlanego</t>
  </si>
  <si>
    <t>17.  Szkoły i placówki oświatowe</t>
  </si>
  <si>
    <t>Dotacje celowe otrzymane z budżetu państwa na zadania bieżące 
z zakresu administracji rządowej oraz inne zadania zlecone ustawami realizowane przez powiat</t>
  </si>
  <si>
    <t>dotacja celowa z budżetu państwa na realizację bieżących zadań 
z zakresu administracji rządowej</t>
  </si>
  <si>
    <t>Dotacje celowe otrzymane z budżetu państwa na realizację zadań bieżących z zakresu administracji rządowej oraz innych zadań zleconych gminie ustawami</t>
  </si>
  <si>
    <t xml:space="preserve">Wydatki na zadania realizowane na podstawie porozumień i umów </t>
  </si>
  <si>
    <t>Przedszkole nr 31</t>
  </si>
  <si>
    <t>Przedszkole nr 52</t>
  </si>
  <si>
    <t>Przedszkole nr 72</t>
  </si>
  <si>
    <t>Przedszkole nr 2</t>
  </si>
  <si>
    <t>Przedszkole nr 32</t>
  </si>
  <si>
    <t>Przedszkole nr 50</t>
  </si>
  <si>
    <t>Przedszkole nr 54</t>
  </si>
  <si>
    <t>Przedszkole nr 56</t>
  </si>
  <si>
    <t xml:space="preserve">dowożenie uczniów </t>
  </si>
  <si>
    <t>Wydatki na 2007 rok z późn. zm.
z tego ze środków:</t>
  </si>
  <si>
    <t>Wydatki na 2008 rok z późn. zm.
z tego ze środków:</t>
  </si>
  <si>
    <t>Wydatki na 2007 rok po zmianach
z tego ze środków:</t>
  </si>
  <si>
    <t>Wydatki na 2008 rok po zmianach
z tego ze środków:</t>
  </si>
  <si>
    <t>Łączne nakłady finansowe
po zmianach</t>
  </si>
  <si>
    <t>Zrealizowane nakłady finansowe
po zmianach</t>
  </si>
  <si>
    <t>Wydatki na 2007 rok po zmianach, 
z tego ze środków:</t>
  </si>
  <si>
    <t>Wydatki na 2008 rok po zmianach, 
z tego ze środków:</t>
  </si>
  <si>
    <t>Wydatki na 2006 rok
ogółem
z późn. zm.</t>
  </si>
  <si>
    <t xml:space="preserve">
z tego ze środków:</t>
  </si>
  <si>
    <t>Wydatki na 2006 rok
ogółem
po zmianach</t>
  </si>
  <si>
    <t>Promocja jednostek samorządu terytorialnego</t>
  </si>
  <si>
    <t>Załącznik nr 1</t>
  </si>
  <si>
    <t>Dochody                                                                                                                                            (nazwa działu, rozdziału, źródła dochodów)</t>
  </si>
  <si>
    <t>Zespół Szkół Ogólnokształcących nr 6 (SP nr 17)</t>
  </si>
  <si>
    <t>rozdz. 85407 - Placówki wychowania pozaszkolnego</t>
  </si>
  <si>
    <t>Przedszkole nr 4</t>
  </si>
  <si>
    <t>Przedszkole nr 10</t>
  </si>
  <si>
    <t>Przedszkole nr 25</t>
  </si>
  <si>
    <t>Przedszkole nr 78</t>
  </si>
  <si>
    <t>rozdz. 85446 - Dokształcanie 
i doskonalenie nauczycieli</t>
  </si>
  <si>
    <t>Młodzieżowy Dom Kultury nr 2</t>
  </si>
  <si>
    <t>Szkoła Podstawowa nr 46</t>
  </si>
  <si>
    <t>Zespół Szkół Ogólnokształcących nr 4 (SP nr 44)</t>
  </si>
  <si>
    <t>Szkoła Podstawowa nr 25</t>
  </si>
  <si>
    <t>rozdz. 80113 - Dowożenie uczniów do szkół</t>
  </si>
  <si>
    <t>rozdz. 80121 - Licea ogólnokształcące specjalne</t>
  </si>
  <si>
    <t>rozdz. 80123 - Licea profilowane</t>
  </si>
  <si>
    <t>§ 4280</t>
  </si>
  <si>
    <t>zdrowotnych</t>
  </si>
  <si>
    <t>Zespół Szkół Ogólnokształcących nr 2 (SP nr 11)</t>
  </si>
  <si>
    <t>Zespół Szkół Ogólnokształcących nr 5 (SP nr 22)</t>
  </si>
  <si>
    <t>Zespół Szkół nr 4</t>
  </si>
  <si>
    <t>Zespół Szkół nr 4 (SP S nr 26)</t>
  </si>
  <si>
    <t>Specjalny Ośrodek Szkolno-Wychowawczy nr 2 (SP S nr 53)</t>
  </si>
  <si>
    <t>Specjalny Ośrodek Szkolno - Wychowawczy dla Dzieci 
i Młodzieży Niesłyszącej i Słabo Słyszącej (SP S nr 55)</t>
  </si>
  <si>
    <t>rozdz. 80102 - Szkoły podstawowe specjalne</t>
  </si>
  <si>
    <t>rozdz. 80105 - Przedszkola specjalne</t>
  </si>
  <si>
    <t>Przedszkole Specjalne nr 11</t>
  </si>
  <si>
    <t>Zespół Szkół nr 6 (G nr 4 i G dla Dorosłych)</t>
  </si>
  <si>
    <t>rozdz. 80111 - Gimnazja specjalne</t>
  </si>
  <si>
    <t>Specjalny Ośrodek Szkolno-Wychowawczy nr 2  (GS nr 21)</t>
  </si>
  <si>
    <t>Specjalny Ośrodek Szkolno-Wychowawczy dla Dzieci
i Młodzieży Niesłyszącej i Słabo Słyszącej (GS nr 23)</t>
  </si>
  <si>
    <t>Państwowe Szkoły Budownictwa i Geodezji (XI LO)</t>
  </si>
  <si>
    <t>Zespół Szkół Ogólnokształcących nr 1 (XIV LO)</t>
  </si>
  <si>
    <t>Zespół Szkół Ogólnokształcących nr 2 (XVIII LO)</t>
  </si>
  <si>
    <t>Zespół Szkół Ogólnokształcących nr 5 (XIX LO)</t>
  </si>
  <si>
    <t>Zespół Szkół Ogólnokształcących nr 4 (XX LO)</t>
  </si>
  <si>
    <t>Zespół Szkół Ogólnokształcących nr 6 (XXII LO)</t>
  </si>
  <si>
    <t>Zespół Szkół nr 5 (XXIV LO)</t>
  </si>
  <si>
    <t>Specjalny Ośrodek Szkolno-Wychowawczy dla Dzieci
i Młodzieży Słabo Widzącej</t>
  </si>
  <si>
    <t>Specjalny Ośrodek Szkolno-Wychowawczy nr 1</t>
  </si>
  <si>
    <t>rozdz. 80140 - Centra kształcenia ustawicznego i praktycznego oraz ośrodki dokształcania zawodowego</t>
  </si>
  <si>
    <t>Pogotowie Opiekuńcze</t>
  </si>
  <si>
    <t>prowadzenie innowacyjnych zajęć edukacyjnych dla dzieci i młodzieży niepełnosprawnej</t>
  </si>
  <si>
    <t>Specjalny Ośrodek Szkolno - Wychowawczy dla Dzieci 
i Młodzieży Niesłyszącej i Słabo Słyszącej</t>
  </si>
  <si>
    <t>Poradnia Psychologiczno-Pedagogiczna nr 1</t>
  </si>
  <si>
    <t>Bursa Szkolna nr 5</t>
  </si>
  <si>
    <t>Zespół Szkół Transportowo-Komunikacyjnych</t>
  </si>
  <si>
    <t>program wyrównywania szans edukacyjnych dzieci i młodzieży</t>
  </si>
  <si>
    <t>Pogotowie Opiekuńcze (SP)</t>
  </si>
  <si>
    <t>Specjalny Ośrodek Szkolno - Wychowawczy dla Dzieci 
i Młodzieży Słabo Widzącej</t>
  </si>
  <si>
    <t>Zespół Szkół Ogólnokształcących nr 4 (G nr 6)</t>
  </si>
  <si>
    <t>Gimnazjum nr 24</t>
  </si>
  <si>
    <t>Specjalny Ośrodek Szkolno-Wychowawczy dla Dzieci 
i Młodzieży Słabo Widzącej (GS nr 22)</t>
  </si>
  <si>
    <t>Zespół Szkół Chemicznych i Przemysłu Spożywczego (XII LO)</t>
  </si>
  <si>
    <t>Zespół Szkół Energetycznych (IV LP)</t>
  </si>
  <si>
    <t>Zespół Szkół Chemicznych i Przemysłu Spożywczego (VI LP)</t>
  </si>
  <si>
    <t>Zespół Szkół nr 6 (XVII LP dla Dorosłych)</t>
  </si>
  <si>
    <t>rozdz. 80124 - Licea profilowane specjalne</t>
  </si>
  <si>
    <t>Zespół Poradni nr 1</t>
  </si>
  <si>
    <t>Centra kształcenia ustawicznego i praktycznego oraz ośrodki dokształcania zawodowego</t>
  </si>
  <si>
    <t>rozdz. 80134 - Szkoły zawodowe specjalne</t>
  </si>
  <si>
    <t>rozdz. 85401 - Świetlice szkolne</t>
  </si>
  <si>
    <t>rozdz. 85410 -  Internaty i bursy szkolne</t>
  </si>
  <si>
    <t>Bursa Szkolna nr 2</t>
  </si>
  <si>
    <t>Szkoła Podstawowa nr 40</t>
  </si>
  <si>
    <t>IX Liceum Ogólnokształcące</t>
  </si>
  <si>
    <t>rozdz. 85417 - Szkolne schroniska młodzieżowe</t>
  </si>
  <si>
    <t>Szkolne Schronisko Młodzieżowe</t>
  </si>
  <si>
    <t>Szkoła Podstawowa nr 7</t>
  </si>
  <si>
    <t>Gimnazjum nr 13</t>
  </si>
  <si>
    <t>Zespół Szkół Budowlanych</t>
  </si>
  <si>
    <t>Jednostki specjalistycznego poradnictwa, mieszkania chronione i ośrodki interwencji kryzysowej</t>
  </si>
  <si>
    <t>Drogi wewnętrzne</t>
  </si>
  <si>
    <t>modernizacja węzła cieplnego i kotłowni, wymiana instalacji centralnego ogrzewania oraz okien i drzwi zewnętrznych, docieplenie dachu, stropodachu i ścian zewnętrznych</t>
  </si>
  <si>
    <t>4. Zespół Placówek Wsparcia Dziecka 
i Rodziny</t>
  </si>
  <si>
    <t>Zespół Szkół Ogólnokształcących nr 5</t>
  </si>
  <si>
    <t>V Liceum Ogólnokształcące</t>
  </si>
  <si>
    <t>Zespół Szkół Ekonomicznych</t>
  </si>
  <si>
    <t>Zespół Szkół Włókienniczych</t>
  </si>
  <si>
    <t>Zespół Szkół nr 6</t>
  </si>
  <si>
    <t>3. Zespół Placówek Opiekuńczo-Wychowawczych "Pogodny Dom"</t>
  </si>
  <si>
    <t>1.6 Wydział Organizacyjny</t>
  </si>
  <si>
    <t>Wpłaty na Państwowy Fundusz Rehabilitacji Osób Niepełnosprawnych</t>
  </si>
  <si>
    <t>1.7 Wydział Oświaty i Wychowania</t>
  </si>
  <si>
    <t>Powiatowe urzędy pracy</t>
  </si>
  <si>
    <t>Cmentarze</t>
  </si>
  <si>
    <t>Gospodarka nieruchomościami</t>
  </si>
  <si>
    <t xml:space="preserve">Wydatki na zadania realizowane na podstawie porozumień 
i umów </t>
  </si>
  <si>
    <t>Wynagrodzenia osobowe pracowników</t>
  </si>
  <si>
    <t>Harmonogram realizacji wydatków budżetu miasta w 2006 roku</t>
  </si>
  <si>
    <t>Prezydenta Miasta Lublin</t>
  </si>
  <si>
    <t>w złotych</t>
  </si>
  <si>
    <t>Treść</t>
  </si>
  <si>
    <t>Plan</t>
  </si>
  <si>
    <t>Miesiące</t>
  </si>
  <si>
    <t>Dział</t>
  </si>
  <si>
    <t>Rozdz.</t>
  </si>
  <si>
    <t>(nazwa działu, rozdziału)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</si>
  <si>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</si>
  <si>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</si>
  <si>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</si>
  <si>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</si>
  <si>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</si>
  <si>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</si>
  <si>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</si>
  <si>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</si>
  <si>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</si>
  <si>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</si>
  <si>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</si>
  <si>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</si>
  <si>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ogółem</t>
  </si>
  <si>
    <t>z tego:</t>
  </si>
  <si>
    <t>758</t>
  </si>
  <si>
    <t>75860</t>
  </si>
  <si>
    <t>1.3 Wydział Gospodarki Komunalnej</t>
  </si>
  <si>
    <t>1.4 Wydział Informatyki 
i Telekomunikacji</t>
  </si>
  <si>
    <t>1.5 Wydział Organizacyjny</t>
  </si>
  <si>
    <t>1.6 Wydział Oświaty i Wychowania</t>
  </si>
  <si>
    <t>1.7 Wydział Spraw Administracyjnych</t>
  </si>
  <si>
    <t>1.8 Wydział Spraw Społecznych</t>
  </si>
  <si>
    <t>1.9 Wydział Strategii i Rozwoju</t>
  </si>
  <si>
    <t>1.10 Kancelaria Prezydenta Miasta</t>
  </si>
  <si>
    <t>10. Dom Pomocy Społecznej dla Osób Niepełnosprawnych Fizycznie</t>
  </si>
  <si>
    <t>14. Komenda Miejska Państwowej Straży Pożarnej</t>
  </si>
  <si>
    <t>1. Urząd Miasta</t>
  </si>
  <si>
    <t>Wydatki na zadania własne</t>
  </si>
  <si>
    <t>Bezpieczeństwo publiczne i ochrona przeciwpożarowa</t>
  </si>
  <si>
    <t>Różne rozliczenia</t>
  </si>
  <si>
    <t>Rezerwy ogólne i celowe</t>
  </si>
  <si>
    <t>Transport i łączność</t>
  </si>
  <si>
    <t>Lokalny transport zbiorowy</t>
  </si>
  <si>
    <t>Pozostała działalność</t>
  </si>
  <si>
    <t>Oświata i wychowanie</t>
  </si>
  <si>
    <t>Pomoc społeczna</t>
  </si>
  <si>
    <t>Edukacyjna opieka wychowawcza</t>
  </si>
  <si>
    <t>Ochrona zdrowia</t>
  </si>
  <si>
    <t>Administracja publiczna</t>
  </si>
  <si>
    <t xml:space="preserve">Podział planowanych dochodów i wydatków budżetu miasta </t>
  </si>
  <si>
    <t>na 2006 rok według jednostek organizacyjnych realizujących budżet</t>
  </si>
  <si>
    <t xml:space="preserve">Rozdz.      </t>
  </si>
  <si>
    <t>§</t>
  </si>
  <si>
    <t xml:space="preserve">Treść   </t>
  </si>
  <si>
    <t>Dochody</t>
  </si>
  <si>
    <t>Wydatki</t>
  </si>
  <si>
    <t>Zmniejszenia</t>
  </si>
  <si>
    <t>Zwiększenia</t>
  </si>
  <si>
    <t>Ogółem</t>
  </si>
  <si>
    <t xml:space="preserve">Wydatki na zadania własne </t>
  </si>
  <si>
    <t>Zakup materiałów i wyposażenia</t>
  </si>
  <si>
    <t>Zakup usług pozostałych</t>
  </si>
  <si>
    <t>Rezerwy</t>
  </si>
  <si>
    <t>Urzędy miast i miast na prawach powiatu</t>
  </si>
  <si>
    <t>wydatki rzeczowe</t>
  </si>
  <si>
    <t>Wydatki budżetu miasta na 2006 rok</t>
  </si>
  <si>
    <t>Dz.</t>
  </si>
  <si>
    <t>Wydatki                                                                                                                               (nazwa działu, rozdziału, zadania, paragrafu)</t>
  </si>
  <si>
    <t xml:space="preserve">Plan według uchwały    
nr 849/XXXVI/2005                              
Rady Miasta Lublin
z 29.12.2005 r. 
z późn. zm.                      </t>
  </si>
  <si>
    <t>Plan po zmianach</t>
  </si>
  <si>
    <t>Przeciwdziałanie alkoholizmowi</t>
  </si>
  <si>
    <t>Wynagrodzenia bezosobowe</t>
  </si>
  <si>
    <t>Wydatki na zadania realizowane na podstawie porozumień i umów</t>
  </si>
  <si>
    <t>Wydatki na zadania zlecone, z tego:</t>
  </si>
  <si>
    <t>Wydatki na zadania ustawowo zlecone gminie</t>
  </si>
  <si>
    <t>Wydatki na zadania z zakresu administracji rządowej wykonywane przez powiat</t>
  </si>
  <si>
    <t>Gospodarka mieszkaniowa</t>
  </si>
  <si>
    <t>Gospodarka gruntami i nieruchomościami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</si>
  <si>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</si>
  <si>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</si>
  <si>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związanych z realizacją powyższych zadań na 2006 rok</t>
  </si>
  <si>
    <t>Zmiany</t>
  </si>
  <si>
    <t>Plan wydatków 
po zmianach</t>
  </si>
  <si>
    <t>Rozdz.
§</t>
  </si>
  <si>
    <t>(nazwa działu, rozdziału, źródła dochodów, zadania, paragrafu)</t>
  </si>
  <si>
    <t>Zadania zlecone ogółem</t>
  </si>
  <si>
    <t>Zadania ustawowo zlecone gminie</t>
  </si>
  <si>
    <t>Zadania z zakresu administracji rządowej wykonywane przez powiat</t>
  </si>
  <si>
    <t>Pozostałe zadania w zakresie polityki społecznej</t>
  </si>
  <si>
    <t>pochodne od wynagrodzeń</t>
  </si>
  <si>
    <t>Szkoły zawodowe</t>
  </si>
  <si>
    <t xml:space="preserve">Przedszkola </t>
  </si>
  <si>
    <t>Zakup usług remontowych - remonty przedszkoli</t>
  </si>
  <si>
    <t>inwestycyjne</t>
  </si>
  <si>
    <t>jednostek</t>
  </si>
  <si>
    <t>budżetowych</t>
  </si>
  <si>
    <t>Dochody
według zarządzenia   
nr 20/2006                              
Prezydenta Miasta Lublin
z 19.01.2006 r.
z późn. zm.</t>
  </si>
  <si>
    <t>Wydatki
według zarządzenia   
nr 20/2006                              
Prezydenta Miasta Lublin
z 19.01.2006 r.
z późn. zm.</t>
  </si>
  <si>
    <t>Podróże służbowe zagraniczne</t>
  </si>
  <si>
    <t>Placówki oświatowe - zmiany</t>
  </si>
  <si>
    <t>Inwestycje</t>
  </si>
  <si>
    <t>Pochodne od wynagrodzeń</t>
  </si>
  <si>
    <t>Wydatki rzeczowe</t>
  </si>
  <si>
    <t>Różne</t>
  </si>
  <si>
    <t>opłaty</t>
  </si>
  <si>
    <t>i składki</t>
  </si>
  <si>
    <t>OGÓŁEM</t>
  </si>
  <si>
    <t>Szkoła Podstawowa nr 30</t>
  </si>
  <si>
    <t>rozdz. 80110 - Gimnazja</t>
  </si>
  <si>
    <t>Gimnazjum nr 14</t>
  </si>
  <si>
    <t>Gimnazjum nr 15</t>
  </si>
  <si>
    <t>Załącznik nr 13</t>
  </si>
  <si>
    <t>Gimnazjum nr 17</t>
  </si>
  <si>
    <t>rozdz. 80120 - Licea ogólnokształcące</t>
  </si>
  <si>
    <t>I Liceum Ogólnokształcące</t>
  </si>
  <si>
    <t>VII Liceum Ogólnokształcące</t>
  </si>
  <si>
    <t>Szkoła Podstawowa nr 2</t>
  </si>
  <si>
    <t>Szkoła Podstawowa nr 3</t>
  </si>
  <si>
    <t>Szkoła Podstawowa nr 4</t>
  </si>
  <si>
    <t>Szkoła Podstawowa nr 6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</si>
  <si>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</si>
  <si>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</si>
  <si>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</si>
  <si>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</si>
  <si>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</si>
  <si>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</si>
  <si>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Składki na ubezpieczenia społeczne</t>
  </si>
  <si>
    <t>Składki na Fundusz Pracy</t>
  </si>
  <si>
    <t>Zakup energii</t>
  </si>
  <si>
    <t>Zakup usług zdrowotnych</t>
  </si>
  <si>
    <t>Różne opłaty i składki</t>
  </si>
  <si>
    <t>Programy polityki zdrowotnej</t>
  </si>
  <si>
    <t xml:space="preserve">realizacja projektu "EduPart. Partnerstwo na rzecz edukacji i pobudzania aktywności rodzin" w ramach programu Socrates Grundtvig 2 </t>
  </si>
  <si>
    <t>termomodernizacja budynku biurowego przy 
ul. Wieniawskiej 14</t>
  </si>
  <si>
    <t>termomodernizacja budynku Szkoły Podstawowej nr 29</t>
  </si>
  <si>
    <t>Wydatki                                                                                                                               (nazwa działu, rozdziału, zadania)</t>
  </si>
  <si>
    <t xml:space="preserve">inwestycje </t>
  </si>
  <si>
    <t>Dotacja podmiotowa z budżetu dla niepublicznej jednostki systemu oświaty</t>
  </si>
  <si>
    <t>Prywatne Przedszkole "STRUMYK" A. i W. Rożek nr 1; 
Anna i Wiesław Rożek, ul. Lwowska 24/34, 20-128 Lublin</t>
  </si>
  <si>
    <t>Prywatne Przedszkole "STRUMYK" A. i W. Rożek nr 3; 
Anna i Wiesław Rożek, ul. Lwowska 24/34, 20-128 Lublin</t>
  </si>
  <si>
    <t xml:space="preserve">dotacje dla publicznych i niepublicznych przedszkoli </t>
  </si>
  <si>
    <t>Prywatne Przedszkole "STRUMYK" A. i W. Rożek nr 2; 
Anna i Wiesław Rożek, ul. Lwowska 24/34, 20-128 Lublin</t>
  </si>
  <si>
    <t>Przedszkole Prywatne "JAGODY"; Jadwiga Puła, ul. Skierki 1/77, 20-601 Lublin</t>
  </si>
  <si>
    <t>Przedszkole Publiczne "Jadwisia"; Parafia Rzymsko-Katolicka pw. Trójcy Przenajświętszej, ul. Władysława Jagiełły 7, 20-281 Lublin</t>
  </si>
  <si>
    <t xml:space="preserve">Szkoły zawodowe </t>
  </si>
  <si>
    <t>dotacje dla publicznych i niepublicznych szkół zawodowych</t>
  </si>
  <si>
    <t>Zespół Szkół Rzemiosła i Przedsiębiorczości; Izba Rzemiosła 
i Przedsiębiorczości, ul. Rynek 2, 20-111 Lublin</t>
  </si>
  <si>
    <t>rozdz. 80101 - Szkoły podstawowe - wyprawka szkolna</t>
  </si>
  <si>
    <t>rozdz. 80102 - Szkoły podstawowe specjalne - nauczanie języka angielskiego w pierwszych klasach szkół podstawowych</t>
  </si>
  <si>
    <t>Gimnazjum nr 11</t>
  </si>
  <si>
    <t>Zespół Szkół nr 7 (Gimnazjum nr 24)</t>
  </si>
  <si>
    <t xml:space="preserve">Specjalny Ośrodek Szkolno-Wychowawczy dla Dzieci 
i Młodzieży Słabo Widzącej </t>
  </si>
  <si>
    <t>Zespół Szkół Ekonomicznych
(XVI LO)</t>
  </si>
  <si>
    <t>rozdz. 80132 - Szkoły artystyczne</t>
  </si>
  <si>
    <t>Szkoła Muzyczna I i II stopnia im. T. Szeligowskiego</t>
  </si>
  <si>
    <t>Zespół Szkół Chemicznych i Przemysłu Spożywczego</t>
  </si>
  <si>
    <t xml:space="preserve">Zespół Szkół nr 7 </t>
  </si>
  <si>
    <t xml:space="preserve">Państwowe Szkoły Budownictwa i Geodezji </t>
  </si>
  <si>
    <t xml:space="preserve">Wykaz zadań miasta realizowanych przez podmioty niezaliczone do sektora </t>
  </si>
  <si>
    <t xml:space="preserve">finansów publicznych </t>
  </si>
  <si>
    <t xml:space="preserve">                                                         w złotych</t>
  </si>
  <si>
    <t>Nazwa działu, rozdziału, zadania</t>
  </si>
  <si>
    <t>Dotacja po zmianach</t>
  </si>
  <si>
    <t>Przeznaczenie dotacji (cel publiczny)</t>
  </si>
  <si>
    <t>Zadania z zakresu oświaty</t>
  </si>
  <si>
    <r>
      <t>w tym:</t>
    </r>
    <r>
      <rPr>
        <b/>
        <sz val="10"/>
        <rFont val="Arial CE"/>
        <family val="2"/>
      </rPr>
      <t xml:space="preserve">
Zadania własne</t>
    </r>
  </si>
  <si>
    <t>Zespół Szkół im. św. St. Kostki; Archidiecezja Lubelska, 
ul. Prymasa Stefana Wyszyńskiego 2, 20-950 Lublin</t>
  </si>
  <si>
    <t>Załącznik nr 14</t>
  </si>
  <si>
    <t>Poradnia Psychologiczno - Pedagogiczna nr 3</t>
  </si>
  <si>
    <t>wynagrodzenie</t>
  </si>
  <si>
    <t>§ 6060</t>
  </si>
  <si>
    <t>na zakupy</t>
  </si>
  <si>
    <t>rozdz. 85421 - Młodzieżowe ośrodki socjoterapii</t>
  </si>
  <si>
    <t>Młodzieżowy Ośrodek Socjoterapii</t>
  </si>
  <si>
    <t>§ 4220</t>
  </si>
  <si>
    <t>środków</t>
  </si>
  <si>
    <t>żywności</t>
  </si>
  <si>
    <t>zadania realizowane w ramach Gminnego Programu Profilaktyki i Rozwiązywania Problemów Alkoholowych, z tego: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</si>
  <si>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</si>
  <si>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Zakup środków żywności</t>
  </si>
  <si>
    <t xml:space="preserve">realizacja zadań wynikających ze strategii działań na rzecz osób niepełnosprawnych, z tego: </t>
  </si>
  <si>
    <t>rozdz. 85195 - Pozostała działalność</t>
  </si>
  <si>
    <t>rozdz. 85154 - Przeciwdziałanie alkoholizmowi</t>
  </si>
  <si>
    <t>Szkoła Podstawowa nr 27</t>
  </si>
  <si>
    <t>Szkoła Podstawowa nr 28</t>
  </si>
  <si>
    <t>Szkoła Podstawowa nr 29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</si>
  <si>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</si>
  <si>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</si>
  <si>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</si>
  <si>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</si>
  <si>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</si>
  <si>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42</t>
  </si>
  <si>
    <t>Szkoła Podstawowa nr 43</t>
  </si>
  <si>
    <t>Zakup usług remontowych - remonty</t>
  </si>
  <si>
    <t>modernizacja i termomodernizacja obiektu</t>
  </si>
  <si>
    <t>inwestycje - cmentarz komunalny</t>
  </si>
  <si>
    <t>cmentarz komunalny</t>
  </si>
  <si>
    <t>promocja miasta</t>
  </si>
  <si>
    <t xml:space="preserve">Gospodarka komunalna i ochrona środowiska </t>
  </si>
  <si>
    <t>Oczyszczanie miast i wsi</t>
  </si>
  <si>
    <t>oczyszczanie miasta</t>
  </si>
  <si>
    <t>Kary i odszkodowania wypłacane na rzecz fizycznych</t>
  </si>
  <si>
    <t>Koszty postępowania sądowego i prokuratorskiego</t>
  </si>
  <si>
    <t>Komendy powiatowe Państwowej Straży Pożarnej</t>
  </si>
  <si>
    <t>Pozostałe należności żołnierzy zawodowych i nadterminowych oraz funkcjonariuszy</t>
  </si>
  <si>
    <t>Zakup materiałów i wyposażenia - remonty</t>
  </si>
  <si>
    <t>remonty</t>
  </si>
  <si>
    <t>Zadania zlecone, z tego:</t>
  </si>
  <si>
    <t>wydatki związane z utrzymaniem grobów i cmentarzy</t>
  </si>
  <si>
    <t>rezerwa celowa na finansowanie projektów współfinansowanych ze środków Unii Europejskiej</t>
  </si>
  <si>
    <t>Ośrodki pomocy społecznej</t>
  </si>
  <si>
    <t>realizacja projektu "Edupart. Partnerstwo na rzecz edukacji i pobudzania aktywności rodzin" w ramach programu SOCRATES: GRUNDTVIG 2</t>
  </si>
  <si>
    <t xml:space="preserve">rozwój partnerstwa edukacyjnego pomiędzy organizacjami partnerskimi z Niemiec, Austrii, Litwy 
i Polski polegający na wymianie doświadczeń </t>
  </si>
  <si>
    <t>MOPR</t>
  </si>
  <si>
    <t>Placówki opiekuńczo-wychowacze</t>
  </si>
  <si>
    <t>świadczenia dla bezrobotnych za wykonywanie prac społecznie użytecznych</t>
  </si>
  <si>
    <t>Euroregiony</t>
  </si>
  <si>
    <t>realizacja projektu "Współpraca kulturalna Lublina, Brześcia i Łucka - działania informacyjne i artystyczne"</t>
  </si>
  <si>
    <t>Zakłady gospodarki mieszkaniowej</t>
  </si>
  <si>
    <t xml:space="preserve">Dotacja przedmiotowa z budżetu dla zakładu budżetowego </t>
  </si>
  <si>
    <t>remonty budynków komunalnych</t>
  </si>
  <si>
    <t>remonty budynków Wspólnot Mieszkaniowych</t>
  </si>
  <si>
    <t>remonty budynków o własności mieszanej</t>
  </si>
  <si>
    <t>dotacja dla Zarządu Nieruchomości Komunalnych, w tym:</t>
  </si>
  <si>
    <t xml:space="preserve">Gospodarka mieszkaniowa </t>
  </si>
  <si>
    <t>Obrona narodowa</t>
  </si>
  <si>
    <t>Pozostałe wydatki obronne</t>
  </si>
  <si>
    <t>szkolenia obronne</t>
  </si>
  <si>
    <t>Lecznictwo ambulatoryjne</t>
  </si>
  <si>
    <t>Zwalczanie narkomanii</t>
  </si>
  <si>
    <t>zadania realizowane w ramach Gminnego Programu Przeciwdziałania Narkomanii, z tego:</t>
  </si>
  <si>
    <t>Podróże służbowe krajowe</t>
  </si>
  <si>
    <t xml:space="preserve">modernizacje budynków </t>
  </si>
  <si>
    <t>termomodernizacje budynków</t>
  </si>
  <si>
    <t>Zakup usług remontowych - remont obiektu</t>
  </si>
  <si>
    <t>Centrum Powiadamiania Ratunkowego</t>
  </si>
  <si>
    <t>mieszkania chronione, w tym:</t>
  </si>
  <si>
    <t>Wynagrodzenia osobowe członków korpusu służby cywilnej</t>
  </si>
  <si>
    <t>§ 3248</t>
  </si>
  <si>
    <t>§ 3249</t>
  </si>
  <si>
    <t>V Liceum Ogólnokształcace</t>
  </si>
  <si>
    <t>Zespół Szkół Ogólnokształcacych nr 5</t>
  </si>
  <si>
    <t xml:space="preserve">Zespół Szkół Chemicznych i Przemysłu Spożywczego </t>
  </si>
  <si>
    <t>Zespół Szkół Ogólnokształcacych nr 6</t>
  </si>
  <si>
    <t>Zespół Szkół Odzieżowo - Włókienniczych</t>
  </si>
  <si>
    <t>Zespół Szkół Transportowo - Komunikacyjnych</t>
  </si>
  <si>
    <t>Państwowe Szkoły Budownictwa i Geodezji</t>
  </si>
  <si>
    <t>realizacja projektu "Program stypendialny Miasta Lublin szansą ponadgimnazjalistów z terenów wiejskich"</t>
  </si>
  <si>
    <t>w tym wynagrodzenia</t>
  </si>
  <si>
    <t>w tym: remonty</t>
  </si>
  <si>
    <t>w tym: wynagrodzenia</t>
  </si>
  <si>
    <t>inwestycje</t>
  </si>
  <si>
    <t>zwiększanie dostępności pomocy terapeutycznej i rehabilitacyjnej dla osób uzależnionych i osób zagrożonych uzależnieniem</t>
  </si>
  <si>
    <t>udzielanie rodzinom, w których występują problemy narkomanii, pomocy psychospołecznej i prawnej</t>
  </si>
  <si>
    <t>pomoc społeczna osobom uzależnionym i rodzinom osób uzależnionych dotkniętych ubóstwem, wykluczeniem społecznym i integrowanie ze środowiskiem lokalnym tych osób z wykorzystaniem pracy socjalnej i kontraktu socjalnego</t>
  </si>
  <si>
    <t>pokrycie kosztów obsługi realizowanych zadań</t>
  </si>
  <si>
    <t>zadania realizowane w ramach Gminnego Programu Profilaktyki 
i Rozwiązywania Problemów Alkoholowych, z tego:</t>
  </si>
  <si>
    <t>zadania realizowane w ramach Gminnego Programu Profilaktyki 
i Rozwiązywania Problemów Alkoholowych, w tym:</t>
  </si>
  <si>
    <t>zadania realizowane w ramach Gminnego Programu Przeciwdziałania Narkomanii, w tym:</t>
  </si>
  <si>
    <t>010</t>
  </si>
  <si>
    <t>Rolnictwo i łowiectwo</t>
  </si>
  <si>
    <t>01030</t>
  </si>
  <si>
    <t xml:space="preserve">Izby rolnicze </t>
  </si>
  <si>
    <t>wpłaty na rzecz Lubelskiej Izby Rolniczej</t>
  </si>
  <si>
    <t>Wpłaty gmin na rzecz izb rolniczych w wysokości 2% uzyskanych wpływów z podatku rolnego</t>
  </si>
  <si>
    <t>Izby rolnicze</t>
  </si>
  <si>
    <t>realizacja projektu "TURYSTYKA BEZ GRANIC - Promocja ośrodków turystycznych Euroregionu Bug"</t>
  </si>
  <si>
    <t>Zakup usług remontowych - remont przedszkola</t>
  </si>
  <si>
    <t xml:space="preserve">termomodernizacje obiektów </t>
  </si>
  <si>
    <t>modernizacja ujęcia wody i hydroforni 
przy ul. Kazimierza Wielkiego</t>
  </si>
  <si>
    <t xml:space="preserve">modernizacja krytej pływalni 
przy Al. Zygmuntowskich 4 w Lublinie </t>
  </si>
  <si>
    <t>dotacja celowa z budżetu państwa na dofinansowanie funkcjonowania Centrum Powiadamiania Ratunkowego</t>
  </si>
  <si>
    <t xml:space="preserve">remonty szkół </t>
  </si>
  <si>
    <t>remonty przedszkoli</t>
  </si>
  <si>
    <t>remont przedszkola</t>
  </si>
  <si>
    <t>modernizacja i termomodernizacja budynku DPS dla Osób Niepełnosprawnych Fizycznie</t>
  </si>
  <si>
    <t>roboty termomodernizacyjne i ogólnobudowlane DPS Betania</t>
  </si>
  <si>
    <t>sprzątanie przystanków i utrzymanie wiat przystankowych</t>
  </si>
  <si>
    <t>Kary i odszkodowania wypłacane na rzecz osób prawnych i innych jednostek organizacyjnych</t>
  </si>
  <si>
    <t>Biblioteki</t>
  </si>
  <si>
    <t>Pozostałe zadania w zakresie kultury</t>
  </si>
  <si>
    <t>Euroregionalny Ośrodek Informacji i Współpracy Kulturalnej w Lublinie</t>
  </si>
  <si>
    <t xml:space="preserve">Wynagrodzenia bezosobowe </t>
  </si>
  <si>
    <t>Komisje poborowe</t>
  </si>
  <si>
    <t>dotacja celowa z budżetu państwa na przeprowadzenie poboru do wojska</t>
  </si>
  <si>
    <t>Dotacje celowe otrzymane z budżetu państwa na zadania bieżące z zakresu administracji rządowej oraz inne zadania zlecone ustawami realizowane przez powiat</t>
  </si>
  <si>
    <t>przeprowadzenie poboru do wojska</t>
  </si>
  <si>
    <t>1.8 Wydział Spraw Administracyjnych</t>
  </si>
  <si>
    <t>Ratownictwo medyczne</t>
  </si>
  <si>
    <t>Dotacje celowe otrzymane z budżetu państwa na realizację inwestycji i zakupów inwestycyjnych własnych powiatu</t>
  </si>
  <si>
    <t>modernizacja pomieszczeń</t>
  </si>
  <si>
    <t>zakupy inwestycyjne</t>
  </si>
  <si>
    <t>Wydatki na zakupy inwestycyjne jednostek budżetowych</t>
  </si>
  <si>
    <t>01095</t>
  </si>
  <si>
    <t>modernizacje i termomodernizacje obiektów</t>
  </si>
  <si>
    <t>bieżące utrzymanie dróg</t>
  </si>
  <si>
    <t>Kary i odszkodowania wypłacane na rzecz osób fizycznych</t>
  </si>
  <si>
    <t>dotacja celowa z budżetu państwa na utrzymanie Komendy Miejskiej Państwowej Straży Pożarnej</t>
  </si>
  <si>
    <t>przebudowa al. Kraśnickiej (odcinek od ul. Roztocze do granic miasta)</t>
  </si>
  <si>
    <t>obwodnica miejska od węzła al. Tysiąclecia - 
ul. Hutnicza do ul. Mełgiewskiej</t>
  </si>
  <si>
    <t>ul. Rapackiego</t>
  </si>
  <si>
    <t>ul. Wyżynna na odcinku od ul. Szczytowej do ul. Nadbystrzyckiej</t>
  </si>
  <si>
    <t>ul. Kwiatów Polnych</t>
  </si>
  <si>
    <t>węzeł drogowy Poniatowskiego (wiadukt 
z połączeniem do ul. ks. Popiełuszki)</t>
  </si>
  <si>
    <t>przedłużenie ul. Krańcowej do ul. Kunickiego 
wraz z mostem na rzece Czerniejówce</t>
  </si>
  <si>
    <t>Pomoc dla repatriantów</t>
  </si>
  <si>
    <t>dotacja celowa z budżetu państwa na pomoc dla repatriantów</t>
  </si>
  <si>
    <t>pomoc dla repatriantów</t>
  </si>
  <si>
    <t>Placówki opiekuńczo - wychowawcze</t>
  </si>
  <si>
    <t>dotacja celowa z budżetu państwa na sfinansowanie prac komisji kwalifikacyjnych i egzaminacyjnych</t>
  </si>
  <si>
    <t>dotacja celowa z budżetu państwa na pomoc materialną dla uczniów pochodzących z rodzin byłych pracowników państwowych przedsiębiorstw gospodarki rolnej</t>
  </si>
  <si>
    <t>dotacja celowa z budżetu państwa na sfinansowanie wyprawki szkolnej</t>
  </si>
  <si>
    <t>dotacja celowa z budżetu państwa na sfinansowanie wprowadzenia od 1 września 2006 r. nauczania języka angielskiego w pierwszych klasach</t>
  </si>
  <si>
    <t>pomoc materialna dla uczniów pochodzących z rodzin byłych pracowników państwowych przedsiębiorstw gospodarki rolnej</t>
  </si>
  <si>
    <t>Stypendia dla uczniów</t>
  </si>
  <si>
    <t>wyprawka szkolna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</si>
</sst>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.00\ &quot;zł&quot;"/>
    <numFmt numFmtId="174" formatCode="#,##0.0"/>
    <numFmt numFmtId="175" formatCode="0.0"/>
    <numFmt numFmtId="176" formatCode="#,##0.0000"/>
    <numFmt numFmtId="177" formatCode="###0"/>
    <numFmt numFmtId="178" formatCode="h:m"/>
    <numFmt numFmtId="179" formatCode="#,##0.00\ &quot;zł&quot;;[Red]#,##0.00\ &quot;zł&quot;"/>
    <numFmt numFmtId="180" formatCode="#,##0\ &quot;zł&quot;"/>
    <numFmt numFmtId="181" formatCode="#,##0.000"/>
    <numFmt numFmtId="182" formatCode="#,##0.00\ _z_ł"/>
    <numFmt numFmtId="183" formatCode="#,##0\ _z_ł"/>
    <numFmt numFmtId="184" formatCode="#,##0_ ;\-#,##0\ "/>
    <numFmt numFmtId="185" formatCode="#,##0_ ;[Red]\-#,##0\ 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\ h\ h:m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i/>
      <u val="single"/>
      <sz val="12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i/>
      <sz val="16"/>
      <name val="Arial CE"/>
      <family val="2"/>
    </font>
    <font>
      <sz val="18"/>
      <name val="Arial CE"/>
      <family val="2"/>
    </font>
    <font>
      <b/>
      <i/>
      <sz val="14"/>
      <color indexed="10"/>
      <name val="Arial CE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0"/>
    </font>
    <font>
      <b/>
      <u val="single"/>
      <sz val="11"/>
      <name val="Arial CE"/>
      <family val="0"/>
    </font>
    <font>
      <b/>
      <i/>
      <u val="single"/>
      <sz val="11"/>
      <name val="Arial CE"/>
      <family val="0"/>
    </font>
    <font>
      <sz val="12"/>
      <color indexed="10"/>
      <name val="Arial CE"/>
      <family val="2"/>
    </font>
    <font>
      <sz val="11"/>
      <color indexed="50"/>
      <name val="Arial CE"/>
      <family val="2"/>
    </font>
    <font>
      <b/>
      <sz val="10"/>
      <color indexed="5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20"/>
      <name val="Arial CE"/>
      <family val="2"/>
    </font>
    <font>
      <sz val="13"/>
      <name val="Arial CE"/>
      <family val="2"/>
    </font>
    <font>
      <i/>
      <sz val="13"/>
      <name val="Arial CE"/>
      <family val="2"/>
    </font>
    <font>
      <sz val="30"/>
      <name val="Arial CE"/>
      <family val="2"/>
    </font>
    <font>
      <sz val="13"/>
      <name val="Arial"/>
      <family val="2"/>
    </font>
    <font>
      <i/>
      <sz val="18"/>
      <name val="Arial CE"/>
      <family val="2"/>
    </font>
    <font>
      <sz val="32"/>
      <name val="Arial CE"/>
      <family val="2"/>
    </font>
    <font>
      <i/>
      <sz val="32"/>
      <name val="Arial CE"/>
      <family val="2"/>
    </font>
    <font>
      <sz val="24"/>
      <name val="Arial CE"/>
      <family val="2"/>
    </font>
    <font>
      <i/>
      <sz val="24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dotted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dotted"/>
      <bottom style="dotted"/>
    </border>
    <border>
      <left style="double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ashDotDot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ashDotDot"/>
    </border>
    <border>
      <left style="thin"/>
      <right style="thin"/>
      <top style="dashDotDot"/>
      <bottom style="dotted"/>
    </border>
    <border>
      <left style="thin"/>
      <right style="thin"/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Dot"/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 style="hair"/>
      <bottom style="thin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hair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6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3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4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3" fontId="14" fillId="4" borderId="16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right" wrapText="1"/>
    </xf>
    <xf numFmtId="0" fontId="13" fillId="4" borderId="13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 wrapText="1"/>
    </xf>
    <xf numFmtId="3" fontId="14" fillId="0" borderId="16" xfId="0" applyNumberFormat="1" applyFont="1" applyBorder="1" applyAlignment="1">
      <alignment horizontal="right"/>
    </xf>
    <xf numFmtId="0" fontId="13" fillId="2" borderId="17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4" fillId="4" borderId="16" xfId="0" applyFont="1" applyFill="1" applyBorder="1" applyAlignment="1">
      <alignment/>
    </xf>
    <xf numFmtId="0" fontId="13" fillId="2" borderId="15" xfId="0" applyFont="1" applyFill="1" applyBorder="1" applyAlignment="1">
      <alignment wrapText="1"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0" borderId="18" xfId="0" applyFont="1" applyFill="1" applyBorder="1" applyAlignment="1">
      <alignment wrapText="1"/>
    </xf>
    <xf numFmtId="0" fontId="12" fillId="4" borderId="15" xfId="0" applyFont="1" applyFill="1" applyBorder="1" applyAlignment="1">
      <alignment/>
    </xf>
    <xf numFmtId="3" fontId="14" fillId="4" borderId="16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4" fillId="4" borderId="1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3" fontId="12" fillId="0" borderId="22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15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wrapText="1"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2" borderId="17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13" fillId="3" borderId="17" xfId="0" applyFont="1" applyFill="1" applyBorder="1" applyAlignment="1">
      <alignment/>
    </xf>
    <xf numFmtId="3" fontId="16" fillId="0" borderId="16" xfId="0" applyNumberFormat="1" applyFont="1" applyBorder="1" applyAlignment="1">
      <alignment wrapText="1"/>
    </xf>
    <xf numFmtId="3" fontId="14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3" fontId="9" fillId="0" borderId="21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3" fontId="10" fillId="0" borderId="16" xfId="0" applyNumberFormat="1" applyFont="1" applyBorder="1" applyAlignment="1">
      <alignment horizontal="right"/>
    </xf>
    <xf numFmtId="0" fontId="12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3" borderId="21" xfId="0" applyFont="1" applyFill="1" applyBorder="1" applyAlignment="1">
      <alignment/>
    </xf>
    <xf numFmtId="0" fontId="3" fillId="3" borderId="15" xfId="0" applyFont="1" applyFill="1" applyBorder="1" applyAlignment="1">
      <alignment wrapText="1"/>
    </xf>
    <xf numFmtId="3" fontId="3" fillId="3" borderId="15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13" fillId="3" borderId="15" xfId="0" applyNumberFormat="1" applyFont="1" applyFill="1" applyBorder="1" applyAlignment="1">
      <alignment horizontal="right" wrapText="1"/>
    </xf>
    <xf numFmtId="0" fontId="13" fillId="3" borderId="15" xfId="0" applyFont="1" applyFill="1" applyBorder="1" applyAlignment="1">
      <alignment/>
    </xf>
    <xf numFmtId="0" fontId="13" fillId="3" borderId="26" xfId="0" applyFont="1" applyFill="1" applyBorder="1" applyAlignment="1">
      <alignment horizontal="left" wrapText="1"/>
    </xf>
    <xf numFmtId="0" fontId="13" fillId="2" borderId="26" xfId="0" applyFont="1" applyFill="1" applyBorder="1" applyAlignment="1">
      <alignment horizontal="left" wrapText="1"/>
    </xf>
    <xf numFmtId="3" fontId="13" fillId="2" borderId="26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3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/>
    </xf>
    <xf numFmtId="0" fontId="13" fillId="4" borderId="27" xfId="0" applyFont="1" applyFill="1" applyBorder="1" applyAlignment="1">
      <alignment horizontal="right"/>
    </xf>
    <xf numFmtId="3" fontId="13" fillId="4" borderId="27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 horizontal="right"/>
    </xf>
    <xf numFmtId="0" fontId="13" fillId="4" borderId="28" xfId="0" applyFont="1" applyFill="1" applyBorder="1" applyAlignment="1">
      <alignment/>
    </xf>
    <xf numFmtId="3" fontId="13" fillId="4" borderId="28" xfId="0" applyNumberFormat="1" applyFont="1" applyFill="1" applyBorder="1" applyAlignment="1">
      <alignment horizontal="right"/>
    </xf>
    <xf numFmtId="0" fontId="14" fillId="4" borderId="29" xfId="0" applyFont="1" applyFill="1" applyBorder="1" applyAlignment="1">
      <alignment/>
    </xf>
    <xf numFmtId="3" fontId="14" fillId="4" borderId="29" xfId="0" applyNumberFormat="1" applyFont="1" applyFill="1" applyBorder="1" applyAlignment="1">
      <alignment horizontal="right"/>
    </xf>
    <xf numFmtId="0" fontId="14" fillId="4" borderId="16" xfId="0" applyFont="1" applyFill="1" applyBorder="1" applyAlignment="1">
      <alignment wrapText="1"/>
    </xf>
    <xf numFmtId="3" fontId="14" fillId="4" borderId="27" xfId="0" applyNumberFormat="1" applyFont="1" applyFill="1" applyBorder="1" applyAlignment="1">
      <alignment horizontal="right" wrapText="1"/>
    </xf>
    <xf numFmtId="0" fontId="13" fillId="2" borderId="26" xfId="0" applyFont="1" applyFill="1" applyBorder="1" applyAlignment="1">
      <alignment/>
    </xf>
    <xf numFmtId="3" fontId="13" fillId="2" borderId="24" xfId="0" applyNumberFormat="1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/>
    </xf>
    <xf numFmtId="0" fontId="13" fillId="3" borderId="24" xfId="0" applyFont="1" applyFill="1" applyBorder="1" applyAlignment="1">
      <alignment/>
    </xf>
    <xf numFmtId="3" fontId="13" fillId="3" borderId="24" xfId="0" applyNumberFormat="1" applyFont="1" applyFill="1" applyBorder="1" applyAlignment="1">
      <alignment horizontal="right" wrapText="1"/>
    </xf>
    <xf numFmtId="3" fontId="0" fillId="3" borderId="30" xfId="0" applyNumberFormat="1" applyFont="1" applyFill="1" applyBorder="1" applyAlignment="1">
      <alignment horizontal="right" wrapText="1"/>
    </xf>
    <xf numFmtId="3" fontId="0" fillId="3" borderId="20" xfId="0" applyNumberFormat="1" applyFont="1" applyFill="1" applyBorder="1" applyAlignment="1">
      <alignment horizontal="right" wrapText="1"/>
    </xf>
    <xf numFmtId="1" fontId="12" fillId="0" borderId="24" xfId="0" applyNumberFormat="1" applyFont="1" applyFill="1" applyBorder="1" applyAlignment="1">
      <alignment/>
    </xf>
    <xf numFmtId="3" fontId="12" fillId="4" borderId="15" xfId="0" applyNumberFormat="1" applyFont="1" applyFill="1" applyBorder="1" applyAlignment="1">
      <alignment wrapText="1"/>
    </xf>
    <xf numFmtId="0" fontId="13" fillId="6" borderId="13" xfId="0" applyFont="1" applyFill="1" applyBorder="1" applyAlignment="1">
      <alignment/>
    </xf>
    <xf numFmtId="0" fontId="14" fillId="6" borderId="16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3" borderId="27" xfId="0" applyNumberFormat="1" applyFont="1" applyFill="1" applyBorder="1" applyAlignment="1">
      <alignment horizontal="right" wrapText="1"/>
    </xf>
    <xf numFmtId="3" fontId="5" fillId="3" borderId="13" xfId="0" applyNumberFormat="1" applyFont="1" applyFill="1" applyBorder="1" applyAlignment="1">
      <alignment horizontal="right" wrapText="1"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3" borderId="27" xfId="0" applyFont="1" applyFill="1" applyBorder="1" applyAlignment="1">
      <alignment horizontal="center" wrapText="1"/>
    </xf>
    <xf numFmtId="3" fontId="5" fillId="3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9" fillId="3" borderId="13" xfId="0" applyFont="1" applyFill="1" applyBorder="1" applyAlignment="1">
      <alignment horizontal="center" wrapText="1"/>
    </xf>
    <xf numFmtId="3" fontId="9" fillId="3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wrapText="1"/>
    </xf>
    <xf numFmtId="3" fontId="19" fillId="3" borderId="13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/>
    </xf>
    <xf numFmtId="0" fontId="10" fillId="4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3" fillId="0" borderId="0" xfId="0" applyFont="1" applyFill="1" applyAlignment="1">
      <alignment/>
    </xf>
    <xf numFmtId="3" fontId="13" fillId="0" borderId="13" xfId="0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0" fillId="4" borderId="11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6" fillId="4" borderId="32" xfId="0" applyNumberFormat="1" applyFont="1" applyFill="1" applyBorder="1" applyAlignment="1">
      <alignment horizontal="right"/>
    </xf>
    <xf numFmtId="3" fontId="6" fillId="4" borderId="33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21" xfId="0" applyFont="1" applyFill="1" applyBorder="1" applyAlignment="1">
      <alignment wrapText="1"/>
    </xf>
    <xf numFmtId="3" fontId="0" fillId="0" borderId="34" xfId="0" applyNumberFormat="1" applyFon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21" xfId="0" applyNumberFormat="1" applyFont="1" applyFill="1" applyBorder="1" applyAlignment="1">
      <alignment/>
    </xf>
    <xf numFmtId="3" fontId="0" fillId="4" borderId="23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4" borderId="7" xfId="0" applyNumberFormat="1" applyFont="1" applyFill="1" applyBorder="1" applyAlignment="1">
      <alignment/>
    </xf>
    <xf numFmtId="3" fontId="14" fillId="4" borderId="37" xfId="0" applyNumberFormat="1" applyFont="1" applyFill="1" applyBorder="1" applyAlignment="1">
      <alignment/>
    </xf>
    <xf numFmtId="3" fontId="14" fillId="4" borderId="16" xfId="0" applyNumberFormat="1" applyFont="1" applyFill="1" applyBorder="1" applyAlignment="1">
      <alignment/>
    </xf>
    <xf numFmtId="3" fontId="14" fillId="4" borderId="25" xfId="0" applyNumberFormat="1" applyFont="1" applyFill="1" applyBorder="1" applyAlignment="1">
      <alignment/>
    </xf>
    <xf numFmtId="1" fontId="13" fillId="3" borderId="38" xfId="0" applyNumberFormat="1" applyFont="1" applyFill="1" applyBorder="1" applyAlignment="1">
      <alignment/>
    </xf>
    <xf numFmtId="3" fontId="13" fillId="3" borderId="38" xfId="0" applyNumberFormat="1" applyFont="1" applyFill="1" applyBorder="1" applyAlignment="1">
      <alignment wrapText="1"/>
    </xf>
    <xf numFmtId="3" fontId="13" fillId="0" borderId="39" xfId="0" applyNumberFormat="1" applyFont="1" applyBorder="1" applyAlignment="1">
      <alignment wrapText="1"/>
    </xf>
    <xf numFmtId="3" fontId="13" fillId="0" borderId="40" xfId="0" applyNumberFormat="1" applyFont="1" applyBorder="1" applyAlignment="1">
      <alignment wrapText="1"/>
    </xf>
    <xf numFmtId="3" fontId="13" fillId="0" borderId="41" xfId="0" applyNumberFormat="1" applyFont="1" applyBorder="1" applyAlignment="1">
      <alignment wrapText="1"/>
    </xf>
    <xf numFmtId="3" fontId="13" fillId="0" borderId="38" xfId="0" applyNumberFormat="1" applyFont="1" applyBorder="1" applyAlignment="1">
      <alignment wrapText="1"/>
    </xf>
    <xf numFmtId="3" fontId="13" fillId="0" borderId="42" xfId="0" applyNumberFormat="1" applyFont="1" applyBorder="1" applyAlignment="1">
      <alignment wrapText="1"/>
    </xf>
    <xf numFmtId="1" fontId="13" fillId="3" borderId="13" xfId="0" applyNumberFormat="1" applyFont="1" applyFill="1" applyBorder="1" applyAlignment="1">
      <alignment/>
    </xf>
    <xf numFmtId="1" fontId="13" fillId="0" borderId="17" xfId="0" applyNumberFormat="1" applyFont="1" applyBorder="1" applyAlignment="1">
      <alignment/>
    </xf>
    <xf numFmtId="3" fontId="13" fillId="0" borderId="19" xfId="0" applyNumberFormat="1" applyFont="1" applyBorder="1" applyAlignment="1">
      <alignment wrapText="1"/>
    </xf>
    <xf numFmtId="3" fontId="13" fillId="0" borderId="6" xfId="0" applyNumberFormat="1" applyFont="1" applyBorder="1" applyAlignment="1">
      <alignment wrapText="1"/>
    </xf>
    <xf numFmtId="3" fontId="13" fillId="0" borderId="43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0" fillId="4" borderId="2" xfId="0" applyFont="1" applyFill="1" applyBorder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3" fontId="13" fillId="4" borderId="11" xfId="0" applyNumberFormat="1" applyFont="1" applyFill="1" applyBorder="1" applyAlignment="1">
      <alignment horizontal="right"/>
    </xf>
    <xf numFmtId="0" fontId="14" fillId="4" borderId="16" xfId="0" applyFont="1" applyFill="1" applyBorder="1" applyAlignment="1">
      <alignment horizontal="left"/>
    </xf>
    <xf numFmtId="3" fontId="13" fillId="2" borderId="17" xfId="0" applyNumberFormat="1" applyFont="1" applyFill="1" applyBorder="1" applyAlignment="1">
      <alignment horizontal="right" wrapText="1"/>
    </xf>
    <xf numFmtId="3" fontId="13" fillId="3" borderId="17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4" fillId="3" borderId="0" xfId="0" applyFont="1" applyFill="1" applyAlignment="1">
      <alignment/>
    </xf>
    <xf numFmtId="0" fontId="14" fillId="4" borderId="17" xfId="0" applyFont="1" applyFill="1" applyBorder="1" applyAlignment="1">
      <alignment wrapText="1"/>
    </xf>
    <xf numFmtId="3" fontId="14" fillId="4" borderId="17" xfId="0" applyNumberFormat="1" applyFont="1" applyFill="1" applyBorder="1" applyAlignment="1">
      <alignment horizontal="right"/>
    </xf>
    <xf numFmtId="0" fontId="14" fillId="4" borderId="13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Fill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2" borderId="44" xfId="0" applyFont="1" applyFill="1" applyBorder="1" applyAlignment="1">
      <alignment wrapText="1"/>
    </xf>
    <xf numFmtId="3" fontId="13" fillId="0" borderId="26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/>
    </xf>
    <xf numFmtId="0" fontId="13" fillId="2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2" fillId="0" borderId="45" xfId="0" applyNumberFormat="1" applyFont="1" applyFill="1" applyBorder="1" applyAlignment="1">
      <alignment horizontal="right"/>
    </xf>
    <xf numFmtId="3" fontId="12" fillId="0" borderId="46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13" fillId="3" borderId="24" xfId="0" applyFont="1" applyFill="1" applyBorder="1" applyAlignment="1">
      <alignment horizontal="left" wrapText="1"/>
    </xf>
    <xf numFmtId="0" fontId="0" fillId="3" borderId="30" xfId="0" applyFont="1" applyFill="1" applyBorder="1" applyAlignment="1">
      <alignment horizontal="left" wrapText="1"/>
    </xf>
    <xf numFmtId="3" fontId="12" fillId="0" borderId="24" xfId="0" applyNumberFormat="1" applyFont="1" applyFill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3" fontId="0" fillId="4" borderId="0" xfId="0" applyNumberFormat="1" applyFont="1" applyFill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47" xfId="0" applyNumberFormat="1" applyFont="1" applyFill="1" applyBorder="1" applyAlignment="1">
      <alignment horizontal="left"/>
    </xf>
    <xf numFmtId="3" fontId="13" fillId="4" borderId="48" xfId="15" applyNumberFormat="1" applyFont="1" applyFill="1" applyBorder="1" applyAlignment="1">
      <alignment horizontal="center"/>
    </xf>
    <xf numFmtId="3" fontId="13" fillId="4" borderId="4" xfId="15" applyNumberFormat="1" applyFont="1" applyFill="1" applyBorder="1" applyAlignment="1">
      <alignment horizontal="center"/>
    </xf>
    <xf numFmtId="3" fontId="13" fillId="4" borderId="49" xfId="15" applyNumberFormat="1" applyFont="1" applyFill="1" applyBorder="1" applyAlignment="1">
      <alignment horizontal="center"/>
    </xf>
    <xf numFmtId="3" fontId="0" fillId="4" borderId="50" xfId="0" applyNumberFormat="1" applyFont="1" applyFill="1" applyBorder="1" applyAlignment="1">
      <alignment/>
    </xf>
    <xf numFmtId="3" fontId="0" fillId="4" borderId="43" xfId="0" applyNumberFormat="1" applyFont="1" applyFill="1" applyBorder="1" applyAlignment="1">
      <alignment horizontal="center"/>
    </xf>
    <xf numFmtId="3" fontId="0" fillId="4" borderId="19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51" xfId="0" applyNumberFormat="1" applyFont="1" applyFill="1" applyBorder="1" applyAlignment="1">
      <alignment horizontal="center"/>
    </xf>
    <xf numFmtId="3" fontId="15" fillId="4" borderId="19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vertical="center"/>
    </xf>
    <xf numFmtId="3" fontId="15" fillId="4" borderId="13" xfId="0" applyNumberFormat="1" applyFont="1" applyFill="1" applyBorder="1" applyAlignment="1">
      <alignment horizontal="center"/>
    </xf>
    <xf numFmtId="3" fontId="0" fillId="4" borderId="51" xfId="0" applyNumberFormat="1" applyFont="1" applyFill="1" applyBorder="1" applyAlignment="1">
      <alignment horizontal="left"/>
    </xf>
    <xf numFmtId="3" fontId="0" fillId="4" borderId="24" xfId="0" applyNumberFormat="1" applyFont="1" applyFill="1" applyBorder="1" applyAlignment="1">
      <alignment horizontal="center"/>
    </xf>
    <xf numFmtId="3" fontId="15" fillId="4" borderId="24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7" fillId="4" borderId="52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13" fillId="4" borderId="53" xfId="0" applyNumberFormat="1" applyFont="1" applyFill="1" applyBorder="1" applyAlignment="1">
      <alignment horizontal="center" vertical="center"/>
    </xf>
    <xf numFmtId="3" fontId="14" fillId="4" borderId="54" xfId="0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3" fontId="13" fillId="4" borderId="55" xfId="0" applyNumberFormat="1" applyFont="1" applyFill="1" applyBorder="1" applyAlignment="1">
      <alignment horizontal="left" vertical="center" wrapText="1"/>
    </xf>
    <xf numFmtId="3" fontId="0" fillId="6" borderId="56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vertical="center"/>
    </xf>
    <xf numFmtId="3" fontId="13" fillId="4" borderId="57" xfId="0" applyNumberFormat="1" applyFont="1" applyFill="1" applyBorder="1" applyAlignment="1">
      <alignment horizontal="left" vertical="center" wrapText="1"/>
    </xf>
    <xf numFmtId="0" fontId="13" fillId="4" borderId="57" xfId="0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/>
    </xf>
    <xf numFmtId="3" fontId="8" fillId="4" borderId="26" xfId="0" applyNumberFormat="1" applyFont="1" applyFill="1" applyBorder="1" applyAlignment="1">
      <alignment/>
    </xf>
    <xf numFmtId="0" fontId="14" fillId="4" borderId="54" xfId="0" applyNumberFormat="1" applyFont="1" applyFill="1" applyBorder="1" applyAlignment="1">
      <alignment vertical="center" wrapText="1"/>
    </xf>
    <xf numFmtId="3" fontId="13" fillId="0" borderId="15" xfId="0" applyNumberFormat="1" applyFont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3" fontId="13" fillId="2" borderId="17" xfId="0" applyNumberFormat="1" applyFont="1" applyFill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21" xfId="0" applyFont="1" applyBorder="1" applyAlignment="1">
      <alignment/>
    </xf>
    <xf numFmtId="0" fontId="0" fillId="0" borderId="58" xfId="0" applyFont="1" applyBorder="1" applyAlignment="1">
      <alignment wrapText="1"/>
    </xf>
    <xf numFmtId="0" fontId="12" fillId="0" borderId="15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3" fontId="21" fillId="0" borderId="58" xfId="18" applyNumberFormat="1" applyFont="1" applyFill="1" applyBorder="1" applyAlignment="1">
      <alignment/>
      <protection/>
    </xf>
    <xf numFmtId="3" fontId="21" fillId="0" borderId="58" xfId="18" applyNumberFormat="1" applyFont="1" applyFill="1" applyBorder="1" applyAlignment="1">
      <alignment horizontal="right"/>
      <protection/>
    </xf>
    <xf numFmtId="3" fontId="21" fillId="0" borderId="0" xfId="18" applyNumberFormat="1" applyFont="1" applyBorder="1">
      <alignment/>
      <protection/>
    </xf>
    <xf numFmtId="3" fontId="23" fillId="0" borderId="0" xfId="18" applyNumberFormat="1" applyFont="1" applyBorder="1">
      <alignment/>
      <protection/>
    </xf>
    <xf numFmtId="3" fontId="17" fillId="0" borderId="0" xfId="18" applyNumberFormat="1" applyFont="1" applyBorder="1">
      <alignment/>
      <protection/>
    </xf>
    <xf numFmtId="3" fontId="22" fillId="0" borderId="20" xfId="18" applyNumberFormat="1" applyFont="1" applyFill="1" applyBorder="1" applyAlignment="1">
      <alignment horizontal="right"/>
      <protection/>
    </xf>
    <xf numFmtId="3" fontId="17" fillId="0" borderId="0" xfId="18" applyNumberFormat="1" applyBorder="1" applyAlignment="1">
      <alignment vertical="center"/>
      <protection/>
    </xf>
    <xf numFmtId="3" fontId="12" fillId="0" borderId="15" xfId="0" applyNumberFormat="1" applyFont="1" applyBorder="1" applyAlignment="1">
      <alignment horizontal="right"/>
    </xf>
    <xf numFmtId="0" fontId="12" fillId="0" borderId="45" xfId="0" applyFont="1" applyBorder="1" applyAlignment="1">
      <alignment/>
    </xf>
    <xf numFmtId="3" fontId="15" fillId="4" borderId="0" xfId="0" applyNumberFormat="1" applyFont="1" applyFill="1" applyBorder="1" applyAlignment="1">
      <alignment horizontal="center"/>
    </xf>
    <xf numFmtId="3" fontId="0" fillId="4" borderId="59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wrapText="1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13" fillId="0" borderId="17" xfId="0" applyNumberFormat="1" applyFont="1" applyBorder="1" applyAlignment="1">
      <alignment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3" fillId="4" borderId="60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/>
    </xf>
    <xf numFmtId="0" fontId="0" fillId="4" borderId="6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23" fillId="0" borderId="0" xfId="18" applyNumberFormat="1" applyFont="1" applyBorder="1">
      <alignment/>
      <protection/>
    </xf>
    <xf numFmtId="3" fontId="26" fillId="4" borderId="4" xfId="15" applyNumberFormat="1" applyFont="1" applyFill="1" applyBorder="1" applyAlignment="1">
      <alignment horizontal="left"/>
    </xf>
    <xf numFmtId="3" fontId="13" fillId="4" borderId="5" xfId="15" applyNumberFormat="1" applyFont="1" applyFill="1" applyBorder="1" applyAlignment="1">
      <alignment horizontal="left"/>
    </xf>
    <xf numFmtId="3" fontId="0" fillId="4" borderId="60" xfId="0" applyNumberFormat="1" applyFont="1" applyFill="1" applyBorder="1" applyAlignment="1">
      <alignment horizontal="center"/>
    </xf>
    <xf numFmtId="3" fontId="15" fillId="4" borderId="60" xfId="0" applyNumberFormat="1" applyFont="1" applyFill="1" applyBorder="1" applyAlignment="1">
      <alignment horizontal="center"/>
    </xf>
    <xf numFmtId="3" fontId="7" fillId="4" borderId="60" xfId="0" applyNumberFormat="1" applyFont="1" applyFill="1" applyBorder="1" applyAlignment="1">
      <alignment horizontal="center"/>
    </xf>
    <xf numFmtId="3" fontId="7" fillId="4" borderId="61" xfId="0" applyNumberFormat="1" applyFont="1" applyFill="1" applyBorder="1" applyAlignment="1">
      <alignment horizontal="center"/>
    </xf>
    <xf numFmtId="3" fontId="15" fillId="4" borderId="61" xfId="0" applyNumberFormat="1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center"/>
    </xf>
    <xf numFmtId="3" fontId="0" fillId="4" borderId="44" xfId="0" applyNumberFormat="1" applyFont="1" applyFill="1" applyBorder="1" applyAlignment="1">
      <alignment horizontal="center"/>
    </xf>
    <xf numFmtId="3" fontId="13" fillId="4" borderId="5" xfId="15" applyNumberFormat="1" applyFont="1" applyFill="1" applyBorder="1" applyAlignment="1">
      <alignment horizontal="center"/>
    </xf>
    <xf numFmtId="3" fontId="13" fillId="2" borderId="15" xfId="0" applyNumberFormat="1" applyFont="1" applyFill="1" applyBorder="1" applyAlignment="1">
      <alignment wrapText="1"/>
    </xf>
    <xf numFmtId="3" fontId="0" fillId="4" borderId="21" xfId="0" applyNumberFormat="1" applyFont="1" applyFill="1" applyBorder="1" applyAlignment="1">
      <alignment horizontal="center"/>
    </xf>
    <xf numFmtId="3" fontId="7" fillId="4" borderId="59" xfId="0" applyNumberFormat="1" applyFont="1" applyFill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14" fillId="4" borderId="29" xfId="0" applyFont="1" applyFill="1" applyBorder="1" applyAlignment="1">
      <alignment wrapText="1"/>
    </xf>
    <xf numFmtId="0" fontId="13" fillId="2" borderId="24" xfId="0" applyFont="1" applyFill="1" applyBorder="1" applyAlignment="1">
      <alignment horizontal="left" wrapText="1"/>
    </xf>
    <xf numFmtId="3" fontId="14" fillId="4" borderId="15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0" fillId="0" borderId="16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14" fillId="4" borderId="16" xfId="0" applyFont="1" applyFill="1" applyBorder="1" applyAlignment="1">
      <alignment horizontal="left" wrapText="1"/>
    </xf>
    <xf numFmtId="3" fontId="0" fillId="4" borderId="17" xfId="15" applyNumberFormat="1" applyFont="1" applyFill="1" applyBorder="1" applyAlignment="1">
      <alignment horizontal="right"/>
    </xf>
    <xf numFmtId="3" fontId="13" fillId="4" borderId="42" xfId="0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/>
    </xf>
    <xf numFmtId="3" fontId="13" fillId="4" borderId="28" xfId="0" applyNumberFormat="1" applyFont="1" applyFill="1" applyBorder="1" applyAlignment="1">
      <alignment/>
    </xf>
    <xf numFmtId="3" fontId="13" fillId="4" borderId="28" xfId="15" applyNumberFormat="1" applyFont="1" applyFill="1" applyBorder="1" applyAlignment="1">
      <alignment horizontal="right"/>
    </xf>
    <xf numFmtId="3" fontId="0" fillId="4" borderId="2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13" fillId="4" borderId="62" xfId="0" applyNumberFormat="1" applyFont="1" applyFill="1" applyBorder="1" applyAlignment="1">
      <alignment/>
    </xf>
    <xf numFmtId="3" fontId="13" fillId="4" borderId="62" xfId="15" applyNumberFormat="1" applyFont="1" applyFill="1" applyBorder="1" applyAlignment="1">
      <alignment horizontal="right"/>
    </xf>
    <xf numFmtId="3" fontId="0" fillId="4" borderId="15" xfId="15" applyNumberFormat="1" applyFont="1" applyFill="1" applyBorder="1" applyAlignment="1">
      <alignment horizontal="right"/>
    </xf>
    <xf numFmtId="3" fontId="0" fillId="4" borderId="24" xfId="15" applyNumberFormat="1" applyFont="1" applyFill="1" applyBorder="1" applyAlignment="1">
      <alignment horizontal="right"/>
    </xf>
    <xf numFmtId="3" fontId="0" fillId="4" borderId="17" xfId="15" applyNumberFormat="1" applyFont="1" applyFill="1" applyBorder="1" applyAlignment="1">
      <alignment horizontal="right"/>
    </xf>
    <xf numFmtId="3" fontId="0" fillId="4" borderId="26" xfId="15" applyNumberFormat="1" applyFont="1" applyFill="1" applyBorder="1" applyAlignment="1">
      <alignment horizontal="right"/>
    </xf>
    <xf numFmtId="3" fontId="6" fillId="4" borderId="25" xfId="15" applyNumberFormat="1" applyFont="1" applyFill="1" applyBorder="1" applyAlignment="1">
      <alignment horizontal="right"/>
    </xf>
    <xf numFmtId="3" fontId="13" fillId="4" borderId="62" xfId="0" applyNumberFormat="1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3" fontId="0" fillId="4" borderId="63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3" fontId="0" fillId="0" borderId="64" xfId="0" applyNumberFormat="1" applyFont="1" applyBorder="1" applyAlignment="1">
      <alignment wrapText="1"/>
    </xf>
    <xf numFmtId="3" fontId="0" fillId="0" borderId="65" xfId="0" applyNumberFormat="1" applyFont="1" applyBorder="1" applyAlignment="1">
      <alignment wrapText="1"/>
    </xf>
    <xf numFmtId="3" fontId="0" fillId="0" borderId="66" xfId="0" applyNumberFormat="1" applyFont="1" applyBorder="1" applyAlignment="1">
      <alignment wrapText="1"/>
    </xf>
    <xf numFmtId="3" fontId="12" fillId="0" borderId="45" xfId="0" applyNumberFormat="1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47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4" borderId="12" xfId="0" applyFont="1" applyFill="1" applyBorder="1" applyAlignment="1">
      <alignment/>
    </xf>
    <xf numFmtId="0" fontId="6" fillId="4" borderId="12" xfId="0" applyFont="1" applyFill="1" applyBorder="1" applyAlignment="1">
      <alignment horizontal="right" wrapText="1"/>
    </xf>
    <xf numFmtId="0" fontId="6" fillId="4" borderId="28" xfId="0" applyFont="1" applyFill="1" applyBorder="1" applyAlignment="1">
      <alignment wrapText="1"/>
    </xf>
    <xf numFmtId="0" fontId="6" fillId="4" borderId="28" xfId="0" applyFont="1" applyFill="1" applyBorder="1" applyAlignment="1">
      <alignment horizontal="center" wrapText="1"/>
    </xf>
    <xf numFmtId="3" fontId="6" fillId="4" borderId="28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/>
    </xf>
    <xf numFmtId="3" fontId="30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right" wrapText="1"/>
    </xf>
    <xf numFmtId="3" fontId="15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3" fillId="4" borderId="4" xfId="15" applyNumberFormat="1" applyFont="1" applyFill="1" applyBorder="1" applyAlignment="1">
      <alignment horizontal="left"/>
    </xf>
    <xf numFmtId="3" fontId="0" fillId="4" borderId="68" xfId="0" applyNumberFormat="1" applyFont="1" applyFill="1" applyBorder="1" applyAlignment="1">
      <alignment horizontal="center"/>
    </xf>
    <xf numFmtId="3" fontId="15" fillId="4" borderId="51" xfId="0" applyNumberFormat="1" applyFont="1" applyFill="1" applyBorder="1" applyAlignment="1">
      <alignment horizontal="center"/>
    </xf>
    <xf numFmtId="3" fontId="15" fillId="4" borderId="69" xfId="0" applyNumberFormat="1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3" fontId="13" fillId="2" borderId="70" xfId="0" applyNumberFormat="1" applyFont="1" applyFill="1" applyBorder="1" applyAlignment="1">
      <alignment horizontal="right" wrapText="1"/>
    </xf>
    <xf numFmtId="0" fontId="12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3" fontId="12" fillId="4" borderId="22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3" borderId="0" xfId="0" applyFont="1" applyFill="1" applyAlignment="1">
      <alignment/>
    </xf>
    <xf numFmtId="0" fontId="33" fillId="0" borderId="0" xfId="0" applyFont="1" applyAlignment="1">
      <alignment/>
    </xf>
    <xf numFmtId="0" fontId="13" fillId="2" borderId="17" xfId="0" applyFont="1" applyFill="1" applyBorder="1" applyAlignment="1">
      <alignment wrapText="1"/>
    </xf>
    <xf numFmtId="3" fontId="14" fillId="4" borderId="17" xfId="15" applyNumberFormat="1" applyFont="1" applyFill="1" applyBorder="1" applyAlignment="1">
      <alignment horizontal="right"/>
    </xf>
    <xf numFmtId="0" fontId="12" fillId="0" borderId="20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4" fillId="0" borderId="0" xfId="0" applyFont="1" applyFill="1" applyAlignment="1">
      <alignment/>
    </xf>
    <xf numFmtId="0" fontId="38" fillId="0" borderId="0" xfId="0" applyFont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1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right"/>
    </xf>
    <xf numFmtId="0" fontId="31" fillId="0" borderId="0" xfId="0" applyFont="1" applyAlignment="1">
      <alignment vertical="center"/>
    </xf>
    <xf numFmtId="0" fontId="33" fillId="4" borderId="13" xfId="0" applyFont="1" applyFill="1" applyBorder="1" applyAlignment="1">
      <alignment/>
    </xf>
    <xf numFmtId="0" fontId="32" fillId="4" borderId="12" xfId="0" applyFont="1" applyFill="1" applyBorder="1" applyAlignment="1">
      <alignment horizontal="left" wrapText="1"/>
    </xf>
    <xf numFmtId="0" fontId="32" fillId="4" borderId="12" xfId="0" applyFont="1" applyFill="1" applyBorder="1" applyAlignment="1">
      <alignment wrapText="1"/>
    </xf>
    <xf numFmtId="0" fontId="32" fillId="4" borderId="12" xfId="0" applyFont="1" applyFill="1" applyBorder="1" applyAlignment="1">
      <alignment horizontal="center" wrapText="1"/>
    </xf>
    <xf numFmtId="3" fontId="32" fillId="4" borderId="12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4" fillId="0" borderId="13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1" fontId="31" fillId="0" borderId="13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right" wrapText="1"/>
    </xf>
    <xf numFmtId="3" fontId="31" fillId="0" borderId="63" xfId="0" applyNumberFormat="1" applyFont="1" applyBorder="1" applyAlignment="1">
      <alignment/>
    </xf>
    <xf numFmtId="0" fontId="33" fillId="4" borderId="28" xfId="0" applyFont="1" applyFill="1" applyBorder="1" applyAlignment="1">
      <alignment/>
    </xf>
    <xf numFmtId="0" fontId="32" fillId="4" borderId="38" xfId="0" applyFont="1" applyFill="1" applyBorder="1" applyAlignment="1">
      <alignment horizontal="left" wrapText="1"/>
    </xf>
    <xf numFmtId="0" fontId="32" fillId="4" borderId="38" xfId="0" applyFont="1" applyFill="1" applyBorder="1" applyAlignment="1">
      <alignment wrapText="1"/>
    </xf>
    <xf numFmtId="0" fontId="32" fillId="4" borderId="38" xfId="0" applyFont="1" applyFill="1" applyBorder="1" applyAlignment="1">
      <alignment horizontal="center" wrapText="1"/>
    </xf>
    <xf numFmtId="3" fontId="32" fillId="4" borderId="38" xfId="0" applyNumberFormat="1" applyFont="1" applyFill="1" applyBorder="1" applyAlignment="1">
      <alignment horizontal="right"/>
    </xf>
    <xf numFmtId="3" fontId="32" fillId="4" borderId="13" xfId="0" applyNumberFormat="1" applyFont="1" applyFill="1" applyBorder="1" applyAlignment="1">
      <alignment horizontal="right"/>
    </xf>
    <xf numFmtId="3" fontId="6" fillId="4" borderId="16" xfId="15" applyNumberFormat="1" applyFont="1" applyFill="1" applyBorder="1" applyAlignment="1">
      <alignment horizontal="right"/>
    </xf>
    <xf numFmtId="3" fontId="0" fillId="4" borderId="21" xfId="0" applyNumberFormat="1" applyFont="1" applyFill="1" applyBorder="1" applyAlignment="1">
      <alignment/>
    </xf>
    <xf numFmtId="3" fontId="0" fillId="4" borderId="21" xfId="15" applyNumberFormat="1" applyFont="1" applyFill="1" applyBorder="1" applyAlignment="1">
      <alignment horizontal="right"/>
    </xf>
    <xf numFmtId="3" fontId="13" fillId="4" borderId="71" xfId="15" applyNumberFormat="1" applyFont="1" applyFill="1" applyBorder="1" applyAlignment="1">
      <alignment horizontal="right"/>
    </xf>
    <xf numFmtId="3" fontId="13" fillId="4" borderId="72" xfId="15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13" fillId="2" borderId="15" xfId="0" applyFont="1" applyFill="1" applyBorder="1" applyAlignment="1">
      <alignment horizontal="right"/>
    </xf>
    <xf numFmtId="0" fontId="13" fillId="2" borderId="24" xfId="0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13" fillId="4" borderId="73" xfId="0" applyNumberFormat="1" applyFont="1" applyFill="1" applyBorder="1" applyAlignment="1">
      <alignment horizontal="left" vertical="center"/>
    </xf>
    <xf numFmtId="3" fontId="13" fillId="4" borderId="74" xfId="0" applyNumberFormat="1" applyFont="1" applyFill="1" applyBorder="1" applyAlignment="1">
      <alignment horizontal="right"/>
    </xf>
    <xf numFmtId="3" fontId="13" fillId="4" borderId="74" xfId="15" applyNumberFormat="1" applyFont="1" applyFill="1" applyBorder="1" applyAlignment="1">
      <alignment horizontal="right"/>
    </xf>
    <xf numFmtId="0" fontId="6" fillId="0" borderId="29" xfId="18" applyFont="1" applyFill="1" applyBorder="1" applyAlignment="1">
      <alignment horizontal="left" wrapText="1"/>
      <protection/>
    </xf>
    <xf numFmtId="3" fontId="25" fillId="0" borderId="29" xfId="18" applyNumberFormat="1" applyFont="1" applyFill="1" applyBorder="1" applyAlignment="1">
      <alignment horizontal="right" wrapText="1"/>
      <protection/>
    </xf>
    <xf numFmtId="3" fontId="22" fillId="0" borderId="66" xfId="18" applyNumberFormat="1" applyFont="1" applyFill="1" applyBorder="1" applyAlignment="1">
      <alignment/>
      <protection/>
    </xf>
    <xf numFmtId="3" fontId="21" fillId="0" borderId="22" xfId="18" applyNumberFormat="1" applyFont="1" applyFill="1" applyBorder="1" applyAlignment="1">
      <alignment horizontal="right"/>
      <protection/>
    </xf>
    <xf numFmtId="3" fontId="22" fillId="0" borderId="18" xfId="18" applyNumberFormat="1" applyFont="1" applyFill="1" applyBorder="1" applyAlignment="1">
      <alignment/>
      <protection/>
    </xf>
    <xf numFmtId="3" fontId="22" fillId="0" borderId="18" xfId="18" applyNumberFormat="1" applyFont="1" applyFill="1" applyBorder="1" applyAlignment="1">
      <alignment horizontal="center"/>
      <protection/>
    </xf>
    <xf numFmtId="3" fontId="22" fillId="0" borderId="18" xfId="18" applyNumberFormat="1" applyFont="1" applyFill="1" applyBorder="1" applyAlignment="1">
      <alignment horizontal="right"/>
      <protection/>
    </xf>
    <xf numFmtId="3" fontId="21" fillId="0" borderId="75" xfId="18" applyNumberFormat="1" applyFont="1" applyFill="1" applyBorder="1" applyAlignment="1">
      <alignment/>
      <protection/>
    </xf>
    <xf numFmtId="3" fontId="21" fillId="0" borderId="76" xfId="18" applyNumberFormat="1" applyFont="1" applyFill="1" applyBorder="1" applyAlignment="1">
      <alignment/>
      <protection/>
    </xf>
    <xf numFmtId="3" fontId="21" fillId="0" borderId="76" xfId="18" applyNumberFormat="1" applyFont="1" applyFill="1" applyBorder="1" applyAlignment="1">
      <alignment horizontal="right"/>
      <protection/>
    </xf>
    <xf numFmtId="3" fontId="21" fillId="0" borderId="75" xfId="18" applyNumberFormat="1" applyFont="1" applyFill="1" applyBorder="1" applyAlignment="1">
      <alignment horizontal="right"/>
      <protection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 wrapText="1"/>
    </xf>
    <xf numFmtId="3" fontId="0" fillId="0" borderId="21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0" fontId="0" fillId="3" borderId="15" xfId="0" applyFont="1" applyFill="1" applyBorder="1" applyAlignment="1">
      <alignment/>
    </xf>
    <xf numFmtId="3" fontId="0" fillId="4" borderId="13" xfId="15" applyNumberFormat="1" applyFont="1" applyFill="1" applyBorder="1" applyAlignment="1">
      <alignment horizontal="right"/>
    </xf>
    <xf numFmtId="3" fontId="0" fillId="4" borderId="38" xfId="15" applyNumberFormat="1" applyFont="1" applyFill="1" applyBorder="1" applyAlignment="1">
      <alignment horizontal="right"/>
    </xf>
    <xf numFmtId="3" fontId="0" fillId="4" borderId="13" xfId="15" applyNumberFormat="1" applyFont="1" applyFill="1" applyBorder="1" applyAlignment="1">
      <alignment horizontal="right"/>
    </xf>
    <xf numFmtId="3" fontId="0" fillId="4" borderId="19" xfId="15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/>
    </xf>
    <xf numFmtId="3" fontId="12" fillId="0" borderId="77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3" fontId="14" fillId="0" borderId="28" xfId="0" applyNumberFormat="1" applyFont="1" applyBorder="1" applyAlignment="1">
      <alignment/>
    </xf>
    <xf numFmtId="3" fontId="21" fillId="0" borderId="78" xfId="18" applyNumberFormat="1" applyFont="1" applyFill="1" applyBorder="1" applyAlignment="1">
      <alignment/>
      <protection/>
    </xf>
    <xf numFmtId="0" fontId="5" fillId="2" borderId="15" xfId="0" applyFont="1" applyFill="1" applyBorder="1" applyAlignment="1">
      <alignment wrapText="1"/>
    </xf>
    <xf numFmtId="3" fontId="13" fillId="2" borderId="48" xfId="0" applyNumberFormat="1" applyFont="1" applyFill="1" applyBorder="1" applyAlignment="1">
      <alignment horizontal="right" wrapText="1"/>
    </xf>
    <xf numFmtId="0" fontId="13" fillId="2" borderId="70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center" vertical="top" wrapText="1"/>
    </xf>
    <xf numFmtId="3" fontId="0" fillId="4" borderId="0" xfId="0" applyNumberFormat="1" applyFont="1" applyFill="1" applyBorder="1" applyAlignment="1">
      <alignment vertical="center"/>
    </xf>
    <xf numFmtId="3" fontId="0" fillId="4" borderId="79" xfId="0" applyNumberFormat="1" applyFont="1" applyFill="1" applyBorder="1" applyAlignment="1">
      <alignment/>
    </xf>
    <xf numFmtId="3" fontId="0" fillId="4" borderId="80" xfId="0" applyNumberFormat="1" applyFont="1" applyFill="1" applyBorder="1" applyAlignment="1">
      <alignment/>
    </xf>
    <xf numFmtId="3" fontId="0" fillId="4" borderId="79" xfId="15" applyNumberFormat="1" applyFont="1" applyFill="1" applyBorder="1" applyAlignment="1">
      <alignment horizontal="right"/>
    </xf>
    <xf numFmtId="3" fontId="0" fillId="4" borderId="19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 horizontal="left" wrapText="1"/>
    </xf>
    <xf numFmtId="0" fontId="13" fillId="4" borderId="81" xfId="0" applyFont="1" applyFill="1" applyBorder="1" applyAlignment="1">
      <alignment vertical="center" wrapText="1"/>
    </xf>
    <xf numFmtId="0" fontId="6" fillId="4" borderId="73" xfId="0" applyFont="1" applyFill="1" applyBorder="1" applyAlignment="1">
      <alignment horizontal="left" vertical="center" wrapText="1"/>
    </xf>
    <xf numFmtId="3" fontId="13" fillId="4" borderId="81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3" fontId="12" fillId="0" borderId="46" xfId="0" applyNumberFormat="1" applyFont="1" applyFill="1" applyBorder="1" applyAlignment="1">
      <alignment wrapText="1"/>
    </xf>
    <xf numFmtId="3" fontId="12" fillId="0" borderId="82" xfId="0" applyNumberFormat="1" applyFont="1" applyFill="1" applyBorder="1" applyAlignment="1">
      <alignment horizontal="right"/>
    </xf>
    <xf numFmtId="3" fontId="12" fillId="0" borderId="8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wrapText="1"/>
    </xf>
    <xf numFmtId="3" fontId="0" fillId="0" borderId="83" xfId="0" applyNumberFormat="1" applyFont="1" applyBorder="1" applyAlignment="1">
      <alignment wrapText="1"/>
    </xf>
    <xf numFmtId="3" fontId="0" fillId="0" borderId="84" xfId="0" applyNumberFormat="1" applyFont="1" applyBorder="1" applyAlignment="1">
      <alignment wrapText="1"/>
    </xf>
    <xf numFmtId="3" fontId="0" fillId="0" borderId="85" xfId="0" applyNumberFormat="1" applyFont="1" applyBorder="1" applyAlignment="1">
      <alignment wrapText="1"/>
    </xf>
    <xf numFmtId="3" fontId="0" fillId="0" borderId="78" xfId="0" applyNumberFormat="1" applyFont="1" applyBorder="1" applyAlignment="1">
      <alignment wrapText="1"/>
    </xf>
    <xf numFmtId="3" fontId="40" fillId="4" borderId="38" xfId="0" applyNumberFormat="1" applyFont="1" applyFill="1" applyBorder="1" applyAlignment="1">
      <alignment horizontal="right"/>
    </xf>
    <xf numFmtId="3" fontId="41" fillId="0" borderId="0" xfId="0" applyNumberFormat="1" applyFont="1" applyFill="1" applyAlignment="1">
      <alignment/>
    </xf>
    <xf numFmtId="3" fontId="0" fillId="0" borderId="22" xfId="0" applyNumberFormat="1" applyFont="1" applyFill="1" applyBorder="1" applyAlignment="1">
      <alignment wrapText="1"/>
    </xf>
    <xf numFmtId="1" fontId="14" fillId="3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3" fontId="8" fillId="0" borderId="17" xfId="0" applyNumberFormat="1" applyFont="1" applyFill="1" applyBorder="1" applyAlignment="1">
      <alignment/>
    </xf>
    <xf numFmtId="0" fontId="13" fillId="4" borderId="67" xfId="0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right"/>
    </xf>
    <xf numFmtId="3" fontId="6" fillId="0" borderId="86" xfId="0" applyNumberFormat="1" applyFont="1" applyBorder="1" applyAlignment="1">
      <alignment horizontal="right" wrapText="1"/>
    </xf>
    <xf numFmtId="0" fontId="13" fillId="4" borderId="43" xfId="0" applyFont="1" applyFill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center" wrapText="1"/>
    </xf>
    <xf numFmtId="3" fontId="6" fillId="4" borderId="88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3" fontId="6" fillId="0" borderId="26" xfId="0" applyNumberFormat="1" applyFont="1" applyBorder="1" applyAlignment="1">
      <alignment horizontal="right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8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3" fontId="6" fillId="4" borderId="90" xfId="0" applyNumberFormat="1" applyFont="1" applyFill="1" applyBorder="1" applyAlignment="1">
      <alignment horizontal="right"/>
    </xf>
    <xf numFmtId="3" fontId="6" fillId="2" borderId="9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 horizontal="right" wrapText="1"/>
    </xf>
    <xf numFmtId="3" fontId="32" fillId="0" borderId="38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wrapText="1"/>
    </xf>
    <xf numFmtId="3" fontId="21" fillId="0" borderId="22" xfId="18" applyNumberFormat="1" applyFont="1" applyFill="1" applyBorder="1" applyAlignment="1">
      <alignment/>
      <protection/>
    </xf>
    <xf numFmtId="3" fontId="21" fillId="0" borderId="22" xfId="18" applyNumberFormat="1" applyFont="1" applyFill="1" applyBorder="1" applyAlignment="1">
      <alignment horizontal="center"/>
      <protection/>
    </xf>
    <xf numFmtId="3" fontId="42" fillId="0" borderId="0" xfId="0" applyNumberFormat="1" applyFont="1" applyFill="1" applyAlignment="1">
      <alignment/>
    </xf>
    <xf numFmtId="0" fontId="0" fillId="0" borderId="30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3" fontId="12" fillId="0" borderId="22" xfId="0" applyNumberFormat="1" applyFont="1" applyFill="1" applyBorder="1" applyAlignment="1">
      <alignment wrapText="1"/>
    </xf>
    <xf numFmtId="0" fontId="12" fillId="0" borderId="82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4" borderId="9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15" applyNumberFormat="1" applyFont="1" applyFill="1" applyBorder="1" applyAlignment="1">
      <alignment horizontal="right"/>
    </xf>
    <xf numFmtId="3" fontId="0" fillId="0" borderId="17" xfId="15" applyNumberFormat="1" applyFont="1" applyFill="1" applyBorder="1" applyAlignment="1">
      <alignment horizontal="right"/>
    </xf>
    <xf numFmtId="3" fontId="0" fillId="4" borderId="38" xfId="0" applyNumberFormat="1" applyFont="1" applyFill="1" applyBorder="1" applyAlignment="1">
      <alignment/>
    </xf>
    <xf numFmtId="3" fontId="0" fillId="4" borderId="39" xfId="0" applyNumberFormat="1" applyFont="1" applyFill="1" applyBorder="1" applyAlignment="1">
      <alignment/>
    </xf>
    <xf numFmtId="3" fontId="0" fillId="4" borderId="62" xfId="15" applyNumberFormat="1" applyFont="1" applyFill="1" applyBorder="1" applyAlignment="1">
      <alignment horizontal="right"/>
    </xf>
    <xf numFmtId="3" fontId="0" fillId="4" borderId="94" xfId="15" applyNumberFormat="1" applyFont="1" applyFill="1" applyBorder="1" applyAlignment="1">
      <alignment horizontal="right"/>
    </xf>
    <xf numFmtId="3" fontId="0" fillId="4" borderId="62" xfId="15" applyNumberFormat="1" applyFont="1" applyFill="1" applyBorder="1" applyAlignment="1">
      <alignment horizontal="right"/>
    </xf>
    <xf numFmtId="3" fontId="0" fillId="0" borderId="15" xfId="15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/>
    </xf>
    <xf numFmtId="3" fontId="0" fillId="0" borderId="56" xfId="0" applyNumberFormat="1" applyFont="1" applyFill="1" applyBorder="1" applyAlignment="1">
      <alignment horizontal="left" vertical="center" wrapText="1"/>
    </xf>
    <xf numFmtId="3" fontId="12" fillId="0" borderId="45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3" fontId="12" fillId="0" borderId="22" xfId="0" applyNumberFormat="1" applyFont="1" applyFill="1" applyBorder="1" applyAlignment="1">
      <alignment horizontal="right" wrapText="1"/>
    </xf>
    <xf numFmtId="3" fontId="0" fillId="0" borderId="54" xfId="0" applyNumberFormat="1" applyFont="1" applyFill="1" applyBorder="1" applyAlignment="1">
      <alignment vertical="center" wrapText="1"/>
    </xf>
    <xf numFmtId="3" fontId="0" fillId="0" borderId="56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0" fillId="0" borderId="56" xfId="0" applyFont="1" applyFill="1" applyBorder="1" applyAlignment="1">
      <alignment vertical="center" wrapText="1"/>
    </xf>
    <xf numFmtId="0" fontId="0" fillId="0" borderId="95" xfId="0" applyFont="1" applyFill="1" applyBorder="1" applyAlignment="1">
      <alignment vertical="center" wrapText="1"/>
    </xf>
    <xf numFmtId="0" fontId="13" fillId="0" borderId="57" xfId="0" applyNumberFormat="1" applyFont="1" applyFill="1" applyBorder="1" applyAlignment="1">
      <alignment vertical="center" wrapText="1"/>
    </xf>
    <xf numFmtId="0" fontId="14" fillId="0" borderId="54" xfId="0" applyNumberFormat="1" applyFont="1" applyFill="1" applyBorder="1" applyAlignment="1">
      <alignment vertical="center" wrapText="1"/>
    </xf>
    <xf numFmtId="3" fontId="13" fillId="0" borderId="62" xfId="15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wrapText="1"/>
    </xf>
    <xf numFmtId="0" fontId="0" fillId="0" borderId="54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2" xfId="0" applyFont="1" applyFill="1" applyBorder="1" applyAlignment="1">
      <alignment wrapText="1"/>
    </xf>
    <xf numFmtId="3" fontId="13" fillId="0" borderId="57" xfId="0" applyNumberFormat="1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wrapText="1"/>
    </xf>
    <xf numFmtId="1" fontId="0" fillId="0" borderId="54" xfId="0" applyNumberFormat="1" applyFont="1" applyFill="1" applyBorder="1" applyAlignment="1">
      <alignment vertical="center" wrapText="1"/>
    </xf>
    <xf numFmtId="3" fontId="0" fillId="0" borderId="56" xfId="0" applyNumberFormat="1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 wrapText="1"/>
    </xf>
    <xf numFmtId="1" fontId="0" fillId="0" borderId="56" xfId="0" applyNumberFormat="1" applyFont="1" applyFill="1" applyBorder="1" applyAlignment="1">
      <alignment vertical="center" wrapText="1"/>
    </xf>
    <xf numFmtId="3" fontId="0" fillId="0" borderId="95" xfId="0" applyNumberFormat="1" applyFont="1" applyFill="1" applyBorder="1" applyAlignment="1">
      <alignment horizontal="left" vertical="center" wrapText="1"/>
    </xf>
    <xf numFmtId="3" fontId="13" fillId="0" borderId="62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 horizontal="left" vertical="center" wrapText="1"/>
    </xf>
    <xf numFmtId="0" fontId="0" fillId="0" borderId="54" xfId="0" applyNumberFormat="1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 wrapText="1"/>
    </xf>
    <xf numFmtId="0" fontId="0" fillId="0" borderId="53" xfId="0" applyNumberFormat="1" applyFont="1" applyFill="1" applyBorder="1" applyAlignment="1">
      <alignment vertical="center" wrapText="1"/>
    </xf>
    <xf numFmtId="3" fontId="0" fillId="0" borderId="9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3" fillId="0" borderId="63" xfId="0" applyNumberFormat="1" applyFont="1" applyBorder="1" applyAlignment="1">
      <alignment wrapText="1"/>
    </xf>
    <xf numFmtId="0" fontId="3" fillId="0" borderId="63" xfId="0" applyFont="1" applyBorder="1" applyAlignment="1">
      <alignment horizontal="center" wrapText="1"/>
    </xf>
    <xf numFmtId="0" fontId="3" fillId="0" borderId="63" xfId="0" applyFont="1" applyBorder="1" applyAlignment="1">
      <alignment wrapText="1"/>
    </xf>
    <xf numFmtId="3" fontId="8" fillId="0" borderId="15" xfId="0" applyNumberFormat="1" applyFont="1" applyFill="1" applyBorder="1" applyAlignment="1">
      <alignment/>
    </xf>
    <xf numFmtId="3" fontId="4" fillId="4" borderId="19" xfId="0" applyNumberFormat="1" applyFont="1" applyFill="1" applyBorder="1" applyAlignment="1">
      <alignment horizontal="right"/>
    </xf>
    <xf numFmtId="3" fontId="32" fillId="4" borderId="98" xfId="0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31" fillId="0" borderId="99" xfId="0" applyNumberFormat="1" applyFont="1" applyBorder="1" applyAlignment="1">
      <alignment/>
    </xf>
    <xf numFmtId="3" fontId="40" fillId="4" borderId="39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32" fillId="4" borderId="100" xfId="0" applyNumberFormat="1" applyFont="1" applyFill="1" applyBorder="1" applyAlignment="1">
      <alignment horizontal="right"/>
    </xf>
    <xf numFmtId="3" fontId="4" fillId="0" borderId="86" xfId="0" applyNumberFormat="1" applyFont="1" applyBorder="1" applyAlignment="1">
      <alignment/>
    </xf>
    <xf numFmtId="3" fontId="31" fillId="0" borderId="101" xfId="0" applyNumberFormat="1" applyFont="1" applyBorder="1" applyAlignment="1">
      <alignment horizontal="right" wrapText="1"/>
    </xf>
    <xf numFmtId="3" fontId="32" fillId="4" borderId="42" xfId="0" applyNumberFormat="1" applyFont="1" applyFill="1" applyBorder="1" applyAlignment="1">
      <alignment horizontal="right"/>
    </xf>
    <xf numFmtId="3" fontId="4" fillId="4" borderId="102" xfId="0" applyNumberFormat="1" applyFont="1" applyFill="1" applyBorder="1" applyAlignment="1">
      <alignment horizontal="right"/>
    </xf>
    <xf numFmtId="3" fontId="32" fillId="4" borderId="103" xfId="0" applyNumberFormat="1" applyFont="1" applyFill="1" applyBorder="1" applyAlignment="1">
      <alignment horizontal="right"/>
    </xf>
    <xf numFmtId="3" fontId="4" fillId="0" borderId="104" xfId="0" applyNumberFormat="1" applyFont="1" applyBorder="1" applyAlignment="1">
      <alignment/>
    </xf>
    <xf numFmtId="3" fontId="31" fillId="0" borderId="105" xfId="0" applyNumberFormat="1" applyFont="1" applyBorder="1" applyAlignment="1">
      <alignment horizontal="right" wrapText="1"/>
    </xf>
    <xf numFmtId="3" fontId="40" fillId="4" borderId="106" xfId="0" applyNumberFormat="1" applyFont="1" applyFill="1" applyBorder="1" applyAlignment="1">
      <alignment horizontal="right"/>
    </xf>
    <xf numFmtId="3" fontId="13" fillId="0" borderId="55" xfId="0" applyNumberFormat="1" applyFont="1" applyFill="1" applyBorder="1" applyAlignment="1">
      <alignment horizontal="left" vertical="center" wrapText="1"/>
    </xf>
    <xf numFmtId="3" fontId="13" fillId="4" borderId="90" xfId="15" applyNumberFormat="1" applyFont="1" applyFill="1" applyBorder="1" applyAlignment="1">
      <alignment horizontal="right"/>
    </xf>
    <xf numFmtId="3" fontId="21" fillId="0" borderId="86" xfId="18" applyNumberFormat="1" applyFont="1" applyFill="1" applyBorder="1" applyAlignment="1">
      <alignment/>
      <protection/>
    </xf>
    <xf numFmtId="3" fontId="21" fillId="0" borderId="86" xfId="18" applyNumberFormat="1" applyFont="1" applyFill="1" applyBorder="1" applyAlignment="1">
      <alignment horizontal="center"/>
      <protection/>
    </xf>
    <xf numFmtId="3" fontId="21" fillId="0" borderId="86" xfId="18" applyNumberFormat="1" applyFont="1" applyFill="1" applyBorder="1" applyAlignment="1">
      <alignment horizontal="right"/>
      <protection/>
    </xf>
    <xf numFmtId="3" fontId="21" fillId="0" borderId="17" xfId="18" applyNumberFormat="1" applyFont="1" applyFill="1" applyBorder="1" applyAlignment="1">
      <alignment horizontal="right"/>
      <protection/>
    </xf>
    <xf numFmtId="3" fontId="0" fillId="4" borderId="34" xfId="0" applyNumberFormat="1" applyFont="1" applyFill="1" applyBorder="1" applyAlignment="1">
      <alignment horizontal="center"/>
    </xf>
    <xf numFmtId="49" fontId="14" fillId="0" borderId="70" xfId="0" applyNumberFormat="1" applyFont="1" applyBorder="1" applyAlignment="1">
      <alignment/>
    </xf>
    <xf numFmtId="3" fontId="14" fillId="0" borderId="70" xfId="0" applyNumberFormat="1" applyFont="1" applyBorder="1" applyAlignment="1">
      <alignment horizontal="right"/>
    </xf>
    <xf numFmtId="3" fontId="14" fillId="0" borderId="48" xfId="0" applyNumberFormat="1" applyFont="1" applyBorder="1" applyAlignment="1">
      <alignment horizontal="right"/>
    </xf>
    <xf numFmtId="3" fontId="14" fillId="0" borderId="107" xfId="0" applyNumberFormat="1" applyFont="1" applyBorder="1" applyAlignment="1">
      <alignment horizontal="right"/>
    </xf>
    <xf numFmtId="3" fontId="14" fillId="0" borderId="49" xfId="0" applyNumberFormat="1" applyFont="1" applyBorder="1" applyAlignment="1">
      <alignment horizontal="right"/>
    </xf>
    <xf numFmtId="0" fontId="4" fillId="3" borderId="17" xfId="0" applyFont="1" applyFill="1" applyBorder="1" applyAlignment="1">
      <alignment/>
    </xf>
    <xf numFmtId="1" fontId="31" fillId="3" borderId="17" xfId="0" applyNumberFormat="1" applyFont="1" applyFill="1" applyBorder="1" applyAlignment="1">
      <alignment/>
    </xf>
    <xf numFmtId="3" fontId="4" fillId="3" borderId="17" xfId="0" applyNumberFormat="1" applyFont="1" applyFill="1" applyBorder="1" applyAlignment="1">
      <alignment wrapText="1"/>
    </xf>
    <xf numFmtId="3" fontId="4" fillId="3" borderId="17" xfId="0" applyNumberFormat="1" applyFont="1" applyFill="1" applyBorder="1" applyAlignment="1">
      <alignment horizontal="center" wrapText="1"/>
    </xf>
    <xf numFmtId="3" fontId="4" fillId="3" borderId="17" xfId="0" applyNumberFormat="1" applyFont="1" applyFill="1" applyBorder="1" applyAlignment="1">
      <alignment/>
    </xf>
    <xf numFmtId="3" fontId="4" fillId="3" borderId="26" xfId="0" applyNumberFormat="1" applyFont="1" applyFill="1" applyBorder="1" applyAlignment="1">
      <alignment/>
    </xf>
    <xf numFmtId="3" fontId="4" fillId="3" borderId="104" xfId="0" applyNumberFormat="1" applyFont="1" applyFill="1" applyBorder="1" applyAlignment="1">
      <alignment/>
    </xf>
    <xf numFmtId="3" fontId="4" fillId="3" borderId="86" xfId="0" applyNumberFormat="1" applyFont="1" applyFill="1" applyBorder="1" applyAlignment="1">
      <alignment/>
    </xf>
    <xf numFmtId="0" fontId="12" fillId="0" borderId="15" xfId="0" applyFont="1" applyBorder="1" applyAlignment="1">
      <alignment horizontal="left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3" fillId="0" borderId="15" xfId="0" applyFont="1" applyBorder="1" applyAlignment="1">
      <alignment/>
    </xf>
    <xf numFmtId="0" fontId="41" fillId="0" borderId="0" xfId="0" applyFont="1" applyFill="1" applyAlignment="1">
      <alignment/>
    </xf>
    <xf numFmtId="0" fontId="41" fillId="3" borderId="13" xfId="0" applyFont="1" applyFill="1" applyBorder="1" applyAlignment="1">
      <alignment/>
    </xf>
    <xf numFmtId="0" fontId="41" fillId="0" borderId="21" xfId="0" applyFont="1" applyBorder="1" applyAlignment="1">
      <alignment/>
    </xf>
    <xf numFmtId="0" fontId="42" fillId="3" borderId="13" xfId="0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43" fillId="4" borderId="13" xfId="0" applyFont="1" applyFill="1" applyBorder="1" applyAlignment="1">
      <alignment/>
    </xf>
    <xf numFmtId="0" fontId="43" fillId="4" borderId="15" xfId="0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3" fontId="41" fillId="3" borderId="0" xfId="0" applyNumberFormat="1" applyFont="1" applyFill="1" applyAlignment="1">
      <alignment/>
    </xf>
    <xf numFmtId="0" fontId="41" fillId="3" borderId="0" xfId="0" applyFont="1" applyFill="1" applyAlignment="1">
      <alignment/>
    </xf>
    <xf numFmtId="3" fontId="41" fillId="0" borderId="20" xfId="0" applyNumberFormat="1" applyFont="1" applyFill="1" applyBorder="1" applyAlignment="1">
      <alignment horizontal="right"/>
    </xf>
    <xf numFmtId="3" fontId="42" fillId="0" borderId="22" xfId="0" applyNumberFormat="1" applyFont="1" applyFill="1" applyBorder="1" applyAlignment="1">
      <alignment horizontal="right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2" borderId="15" xfId="0" applyFont="1" applyFill="1" applyBorder="1" applyAlignment="1">
      <alignment wrapText="1"/>
    </xf>
    <xf numFmtId="3" fontId="42" fillId="0" borderId="13" xfId="0" applyNumberFormat="1" applyFont="1" applyFill="1" applyBorder="1" applyAlignment="1">
      <alignment horizontal="right"/>
    </xf>
    <xf numFmtId="0" fontId="42" fillId="0" borderId="15" xfId="0" applyFont="1" applyBorder="1" applyAlignment="1">
      <alignment/>
    </xf>
    <xf numFmtId="0" fontId="42" fillId="0" borderId="22" xfId="0" applyFont="1" applyBorder="1" applyAlignment="1">
      <alignment/>
    </xf>
    <xf numFmtId="0" fontId="41" fillId="0" borderId="20" xfId="0" applyFont="1" applyBorder="1" applyAlignment="1">
      <alignment/>
    </xf>
    <xf numFmtId="3" fontId="43" fillId="0" borderId="15" xfId="0" applyNumberFormat="1" applyFont="1" applyBorder="1" applyAlignment="1">
      <alignment/>
    </xf>
    <xf numFmtId="3" fontId="42" fillId="4" borderId="46" xfId="0" applyNumberFormat="1" applyFont="1" applyFill="1" applyBorder="1" applyAlignment="1">
      <alignment/>
    </xf>
    <xf numFmtId="3" fontId="42" fillId="4" borderId="108" xfId="0" applyNumberFormat="1" applyFont="1" applyFill="1" applyBorder="1" applyAlignment="1">
      <alignment/>
    </xf>
    <xf numFmtId="3" fontId="42" fillId="4" borderId="109" xfId="0" applyNumberFormat="1" applyFont="1" applyFill="1" applyBorder="1" applyAlignment="1">
      <alignment/>
    </xf>
    <xf numFmtId="3" fontId="43" fillId="2" borderId="15" xfId="0" applyNumberFormat="1" applyFont="1" applyFill="1" applyBorder="1" applyAlignment="1">
      <alignment horizontal="right"/>
    </xf>
    <xf numFmtId="0" fontId="43" fillId="0" borderId="13" xfId="0" applyFont="1" applyFill="1" applyBorder="1" applyAlignment="1">
      <alignment wrapText="1"/>
    </xf>
    <xf numFmtId="3" fontId="41" fillId="0" borderId="21" xfId="0" applyNumberFormat="1" applyFont="1" applyFill="1" applyBorder="1" applyAlignment="1">
      <alignment horizontal="right"/>
    </xf>
    <xf numFmtId="0" fontId="42" fillId="3" borderId="19" xfId="0" applyFont="1" applyFill="1" applyBorder="1" applyAlignment="1">
      <alignment/>
    </xf>
    <xf numFmtId="0" fontId="41" fillId="0" borderId="21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2" borderId="17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5" fillId="0" borderId="21" xfId="0" applyFont="1" applyFill="1" applyBorder="1" applyAlignment="1">
      <alignment horizontal="center"/>
    </xf>
    <xf numFmtId="3" fontId="45" fillId="0" borderId="21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3" fillId="5" borderId="15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13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0" fillId="0" borderId="21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4" borderId="13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3" fontId="45" fillId="4" borderId="13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110" xfId="0" applyNumberFormat="1" applyFont="1" applyBorder="1" applyAlignment="1">
      <alignment wrapText="1"/>
    </xf>
    <xf numFmtId="3" fontId="0" fillId="0" borderId="111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86" xfId="0" applyNumberFormat="1" applyFont="1" applyBorder="1" applyAlignment="1">
      <alignment wrapText="1"/>
    </xf>
    <xf numFmtId="0" fontId="45" fillId="0" borderId="13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13" fillId="2" borderId="15" xfId="0" applyFont="1" applyFill="1" applyBorder="1" applyAlignment="1">
      <alignment wrapText="1"/>
    </xf>
    <xf numFmtId="3" fontId="13" fillId="2" borderId="15" xfId="0" applyNumberFormat="1" applyFont="1" applyFill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3" xfId="0" applyFont="1" applyFill="1" applyBorder="1" applyAlignment="1">
      <alignment wrapText="1"/>
    </xf>
    <xf numFmtId="3" fontId="13" fillId="0" borderId="15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0" fontId="12" fillId="3" borderId="19" xfId="0" applyFont="1" applyFill="1" applyBorder="1" applyAlignment="1">
      <alignment/>
    </xf>
    <xf numFmtId="0" fontId="12" fillId="3" borderId="22" xfId="0" applyFont="1" applyFill="1" applyBorder="1" applyAlignment="1">
      <alignment wrapText="1"/>
    </xf>
    <xf numFmtId="0" fontId="13" fillId="0" borderId="17" xfId="0" applyFont="1" applyBorder="1" applyAlignment="1">
      <alignment horizontal="right"/>
    </xf>
    <xf numFmtId="3" fontId="0" fillId="4" borderId="1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wrapText="1"/>
    </xf>
    <xf numFmtId="3" fontId="0" fillId="0" borderId="20" xfId="0" applyNumberFormat="1" applyFont="1" applyBorder="1" applyAlignment="1">
      <alignment/>
    </xf>
    <xf numFmtId="3" fontId="42" fillId="0" borderId="20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 wrapText="1"/>
    </xf>
    <xf numFmtId="0" fontId="45" fillId="0" borderId="13" xfId="0" applyFont="1" applyFill="1" applyBorder="1" applyAlignment="1">
      <alignment horizontal="center"/>
    </xf>
    <xf numFmtId="3" fontId="45" fillId="0" borderId="13" xfId="0" applyNumberFormat="1" applyFont="1" applyFill="1" applyBorder="1" applyAlignment="1">
      <alignment horizontal="center"/>
    </xf>
    <xf numFmtId="3" fontId="14" fillId="0" borderId="16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0" fontId="12" fillId="3" borderId="15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14" fillId="0" borderId="16" xfId="0" applyFont="1" applyBorder="1" applyAlignment="1">
      <alignment wrapText="1"/>
    </xf>
    <xf numFmtId="3" fontId="14" fillId="0" borderId="16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98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12" fillId="0" borderId="15" xfId="0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vertical="top"/>
    </xf>
    <xf numFmtId="0" fontId="45" fillId="0" borderId="13" xfId="0" applyFont="1" applyBorder="1" applyAlignment="1">
      <alignment horizontal="center"/>
    </xf>
    <xf numFmtId="3" fontId="45" fillId="0" borderId="13" xfId="0" applyNumberFormat="1" applyFont="1" applyBorder="1" applyAlignment="1">
      <alignment horizontal="center" wrapText="1"/>
    </xf>
    <xf numFmtId="0" fontId="12" fillId="0" borderId="15" xfId="0" applyFont="1" applyBorder="1" applyAlignment="1">
      <alignment vertical="top"/>
    </xf>
    <xf numFmtId="3" fontId="46" fillId="0" borderId="16" xfId="0" applyNumberFormat="1" applyFont="1" applyBorder="1" applyAlignment="1">
      <alignment horizontal="center" wrapText="1"/>
    </xf>
    <xf numFmtId="0" fontId="6" fillId="2" borderId="17" xfId="0" applyFont="1" applyFill="1" applyBorder="1" applyAlignment="1">
      <alignment/>
    </xf>
    <xf numFmtId="1" fontId="8" fillId="2" borderId="17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 wrapText="1"/>
    </xf>
    <xf numFmtId="1" fontId="6" fillId="0" borderId="17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3" fontId="13" fillId="2" borderId="15" xfId="0" applyNumberFormat="1" applyFont="1" applyFill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42" fillId="0" borderId="13" xfId="0" applyFont="1" applyBorder="1" applyAlignment="1">
      <alignment/>
    </xf>
    <xf numFmtId="0" fontId="0" fillId="4" borderId="18" xfId="0" applyFont="1" applyFill="1" applyBorder="1" applyAlignment="1">
      <alignment horizontal="left"/>
    </xf>
    <xf numFmtId="0" fontId="0" fillId="4" borderId="63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0" fillId="4" borderId="46" xfId="0" applyFont="1" applyFill="1" applyBorder="1" applyAlignment="1">
      <alignment horizontal="left"/>
    </xf>
    <xf numFmtId="0" fontId="0" fillId="4" borderId="46" xfId="0" applyFont="1" applyFill="1" applyBorder="1" applyAlignment="1">
      <alignment horizontal="left" wrapText="1"/>
    </xf>
    <xf numFmtId="3" fontId="12" fillId="4" borderId="46" xfId="0" applyNumberFormat="1" applyFont="1" applyFill="1" applyBorder="1" applyAlignment="1">
      <alignment/>
    </xf>
    <xf numFmtId="0" fontId="13" fillId="5" borderId="15" xfId="0" applyFont="1" applyFill="1" applyBorder="1" applyAlignment="1">
      <alignment/>
    </xf>
    <xf numFmtId="0" fontId="13" fillId="5" borderId="15" xfId="0" applyFont="1" applyFill="1" applyBorder="1" applyAlignment="1">
      <alignment vertical="center"/>
    </xf>
    <xf numFmtId="0" fontId="13" fillId="5" borderId="15" xfId="0" applyFont="1" applyFill="1" applyBorder="1" applyAlignment="1">
      <alignment horizontal="left" wrapText="1"/>
    </xf>
    <xf numFmtId="0" fontId="0" fillId="4" borderId="21" xfId="0" applyFont="1" applyFill="1" applyBorder="1" applyAlignment="1">
      <alignment/>
    </xf>
    <xf numFmtId="0" fontId="13" fillId="4" borderId="17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left" wrapText="1"/>
    </xf>
    <xf numFmtId="0" fontId="7" fillId="4" borderId="7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right"/>
    </xf>
    <xf numFmtId="3" fontId="0" fillId="4" borderId="22" xfId="0" applyNumberFormat="1" applyFont="1" applyFill="1" applyBorder="1" applyAlignment="1">
      <alignment horizontal="right"/>
    </xf>
    <xf numFmtId="0" fontId="14" fillId="0" borderId="13" xfId="0" applyFont="1" applyBorder="1" applyAlignment="1">
      <alignment wrapText="1"/>
    </xf>
    <xf numFmtId="3" fontId="0" fillId="4" borderId="46" xfId="0" applyNumberFormat="1" applyFont="1" applyFill="1" applyBorder="1" applyAlignment="1">
      <alignment horizontal="right" wrapText="1"/>
    </xf>
    <xf numFmtId="0" fontId="13" fillId="2" borderId="15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/>
    </xf>
    <xf numFmtId="3" fontId="47" fillId="0" borderId="17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wrapText="1"/>
    </xf>
    <xf numFmtId="3" fontId="14" fillId="0" borderId="16" xfId="0" applyNumberFormat="1" applyFont="1" applyFill="1" applyBorder="1" applyAlignment="1">
      <alignment horizontal="right" wrapText="1"/>
    </xf>
    <xf numFmtId="3" fontId="13" fillId="2" borderId="17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0" fontId="0" fillId="0" borderId="0" xfId="0" applyFont="1" applyFill="1" applyAlignment="1" quotePrefix="1">
      <alignment/>
    </xf>
    <xf numFmtId="3" fontId="12" fillId="0" borderId="13" xfId="0" applyNumberFormat="1" applyFont="1" applyFill="1" applyBorder="1" applyAlignment="1">
      <alignment horizontal="right" wrapText="1"/>
    </xf>
    <xf numFmtId="3" fontId="12" fillId="0" borderId="17" xfId="0" applyNumberFormat="1" applyFont="1" applyFill="1" applyBorder="1" applyAlignment="1">
      <alignment horizontal="right" wrapText="1"/>
    </xf>
    <xf numFmtId="0" fontId="45" fillId="0" borderId="13" xfId="0" applyFont="1" applyFill="1" applyBorder="1" applyAlignment="1">
      <alignment horizontal="center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112" xfId="0" applyFont="1" applyBorder="1" applyAlignment="1">
      <alignment wrapText="1"/>
    </xf>
    <xf numFmtId="3" fontId="0" fillId="0" borderId="112" xfId="0" applyNumberFormat="1" applyFont="1" applyFill="1" applyBorder="1" applyAlignment="1">
      <alignment horizontal="right"/>
    </xf>
    <xf numFmtId="3" fontId="0" fillId="0" borderId="112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3" fontId="0" fillId="0" borderId="112" xfId="0" applyNumberFormat="1" applyFont="1" applyBorder="1" applyAlignment="1">
      <alignment horizontal="right" wrapText="1"/>
    </xf>
    <xf numFmtId="49" fontId="5" fillId="2" borderId="15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13" fillId="3" borderId="21" xfId="0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12" fillId="0" borderId="46" xfId="0" applyFont="1" applyFill="1" applyBorder="1" applyAlignment="1">
      <alignment/>
    </xf>
    <xf numFmtId="0" fontId="12" fillId="0" borderId="109" xfId="0" applyFont="1" applyBorder="1" applyAlignment="1">
      <alignment/>
    </xf>
    <xf numFmtId="3" fontId="12" fillId="0" borderId="109" xfId="0" applyNumberFormat="1" applyFont="1" applyBorder="1" applyAlignment="1">
      <alignment horizontal="right"/>
    </xf>
    <xf numFmtId="0" fontId="13" fillId="3" borderId="13" xfId="0" applyFont="1" applyFill="1" applyBorder="1" applyAlignment="1">
      <alignment/>
    </xf>
    <xf numFmtId="0" fontId="12" fillId="0" borderId="46" xfId="0" applyFont="1" applyFill="1" applyBorder="1" applyAlignment="1">
      <alignment wrapText="1"/>
    </xf>
    <xf numFmtId="3" fontId="12" fillId="0" borderId="109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113" xfId="0" applyNumberFormat="1" applyFont="1" applyBorder="1" applyAlignment="1">
      <alignment wrapText="1"/>
    </xf>
    <xf numFmtId="3" fontId="0" fillId="0" borderId="114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1" fontId="13" fillId="0" borderId="21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3" fillId="0" borderId="15" xfId="0" applyFont="1" applyBorder="1" applyAlignment="1">
      <alignment wrapText="1"/>
    </xf>
    <xf numFmtId="0" fontId="0" fillId="3" borderId="19" xfId="0" applyFont="1" applyFill="1" applyBorder="1" applyAlignment="1">
      <alignment/>
    </xf>
    <xf numFmtId="0" fontId="49" fillId="0" borderId="0" xfId="0" applyFont="1" applyAlignment="1">
      <alignment/>
    </xf>
    <xf numFmtId="0" fontId="13" fillId="4" borderId="15" xfId="0" applyFont="1" applyFill="1" applyBorder="1" applyAlignment="1">
      <alignment/>
    </xf>
    <xf numFmtId="3" fontId="14" fillId="4" borderId="16" xfId="0" applyNumberFormat="1" applyFont="1" applyFill="1" applyBorder="1" applyAlignment="1">
      <alignment horizontal="right" wrapText="1"/>
    </xf>
    <xf numFmtId="3" fontId="14" fillId="4" borderId="16" xfId="0" applyNumberFormat="1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13" fillId="2" borderId="24" xfId="0" applyFont="1" applyFill="1" applyBorder="1" applyAlignment="1">
      <alignment/>
    </xf>
    <xf numFmtId="0" fontId="13" fillId="2" borderId="26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/>
    </xf>
    <xf numFmtId="0" fontId="13" fillId="3" borderId="15" xfId="0" applyFont="1" applyFill="1" applyBorder="1" applyAlignment="1">
      <alignment/>
    </xf>
    <xf numFmtId="0" fontId="13" fillId="3" borderId="24" xfId="0" applyFont="1" applyFill="1" applyBorder="1" applyAlignment="1">
      <alignment/>
    </xf>
    <xf numFmtId="3" fontId="13" fillId="3" borderId="26" xfId="0" applyNumberFormat="1" applyFont="1" applyFill="1" applyBorder="1" applyAlignment="1">
      <alignment horizontal="right" wrapText="1"/>
    </xf>
    <xf numFmtId="3" fontId="13" fillId="4" borderId="17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3" borderId="13" xfId="0" applyFont="1" applyFill="1" applyBorder="1" applyAlignment="1">
      <alignment horizontal="right"/>
    </xf>
    <xf numFmtId="0" fontId="0" fillId="0" borderId="30" xfId="0" applyFont="1" applyBorder="1" applyAlignment="1">
      <alignment wrapText="1"/>
    </xf>
    <xf numFmtId="3" fontId="0" fillId="0" borderId="20" xfId="0" applyNumberFormat="1" applyFont="1" applyFill="1" applyBorder="1" applyAlignment="1">
      <alignment wrapText="1"/>
    </xf>
    <xf numFmtId="3" fontId="0" fillId="4" borderId="20" xfId="0" applyNumberFormat="1" applyFont="1" applyFill="1" applyBorder="1" applyAlignment="1">
      <alignment horizontal="right"/>
    </xf>
    <xf numFmtId="0" fontId="13" fillId="4" borderId="13" xfId="0" applyFont="1" applyFill="1" applyBorder="1" applyAlignment="1">
      <alignment/>
    </xf>
    <xf numFmtId="1" fontId="12" fillId="0" borderId="24" xfId="0" applyNumberFormat="1" applyFont="1" applyFill="1" applyBorder="1" applyAlignment="1">
      <alignment/>
    </xf>
    <xf numFmtId="0" fontId="12" fillId="0" borderId="15" xfId="0" applyFont="1" applyBorder="1" applyAlignment="1">
      <alignment horizontal="left" wrapText="1"/>
    </xf>
    <xf numFmtId="3" fontId="12" fillId="0" borderId="83" xfId="0" applyNumberFormat="1" applyFont="1" applyBorder="1" applyAlignment="1">
      <alignment wrapText="1"/>
    </xf>
    <xf numFmtId="0" fontId="14" fillId="4" borderId="28" xfId="0" applyFont="1" applyFill="1" applyBorder="1" applyAlignment="1">
      <alignment horizontal="left"/>
    </xf>
    <xf numFmtId="3" fontId="14" fillId="4" borderId="28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42" fillId="0" borderId="13" xfId="0" applyFont="1" applyFill="1" applyBorder="1" applyAlignment="1">
      <alignment wrapText="1"/>
    </xf>
    <xf numFmtId="3" fontId="45" fillId="4" borderId="13" xfId="0" applyNumberFormat="1" applyFont="1" applyFill="1" applyBorder="1" applyAlignment="1">
      <alignment horizontal="right" vertical="center"/>
    </xf>
    <xf numFmtId="3" fontId="14" fillId="4" borderId="16" xfId="0" applyNumberFormat="1" applyFont="1" applyFill="1" applyBorder="1" applyAlignment="1">
      <alignment wrapText="1"/>
    </xf>
    <xf numFmtId="0" fontId="0" fillId="0" borderId="63" xfId="0" applyFont="1" applyBorder="1" applyAlignment="1">
      <alignment/>
    </xf>
    <xf numFmtId="3" fontId="0" fillId="0" borderId="63" xfId="0" applyNumberFormat="1" applyFont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left" wrapText="1"/>
    </xf>
    <xf numFmtId="3" fontId="13" fillId="2" borderId="24" xfId="0" applyNumberFormat="1" applyFont="1" applyFill="1" applyBorder="1" applyAlignment="1">
      <alignment horizontal="right" wrapText="1"/>
    </xf>
    <xf numFmtId="3" fontId="13" fillId="0" borderId="24" xfId="0" applyNumberFormat="1" applyFont="1" applyFill="1" applyBorder="1" applyAlignment="1">
      <alignment horizontal="right" wrapText="1"/>
    </xf>
    <xf numFmtId="3" fontId="0" fillId="0" borderId="115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13" fillId="2" borderId="26" xfId="0" applyNumberFormat="1" applyFont="1" applyFill="1" applyBorder="1" applyAlignment="1">
      <alignment horizontal="right" wrapText="1"/>
    </xf>
    <xf numFmtId="0" fontId="13" fillId="2" borderId="26" xfId="0" applyFont="1" applyFill="1" applyBorder="1" applyAlignment="1">
      <alignment horizontal="right" wrapText="1"/>
    </xf>
    <xf numFmtId="0" fontId="13" fillId="2" borderId="70" xfId="0" applyFont="1" applyFill="1" applyBorder="1" applyAlignment="1">
      <alignment horizontal="right" wrapText="1"/>
    </xf>
    <xf numFmtId="3" fontId="13" fillId="3" borderId="26" xfId="0" applyNumberFormat="1" applyFont="1" applyFill="1" applyBorder="1" applyAlignment="1">
      <alignment horizontal="right" wrapText="1"/>
    </xf>
    <xf numFmtId="3" fontId="13" fillId="4" borderId="17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wrapText="1"/>
    </xf>
    <xf numFmtId="3" fontId="0" fillId="4" borderId="20" xfId="0" applyNumberFormat="1" applyFont="1" applyFill="1" applyBorder="1" applyAlignment="1">
      <alignment horizontal="right"/>
    </xf>
    <xf numFmtId="0" fontId="12" fillId="0" borderId="22" xfId="0" applyFont="1" applyBorder="1" applyAlignment="1">
      <alignment wrapText="1"/>
    </xf>
    <xf numFmtId="3" fontId="12" fillId="0" borderId="83" xfId="0" applyNumberFormat="1" applyFont="1" applyBorder="1" applyAlignment="1">
      <alignment wrapText="1"/>
    </xf>
    <xf numFmtId="3" fontId="0" fillId="0" borderId="58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 quotePrefix="1">
      <alignment horizontal="right"/>
    </xf>
    <xf numFmtId="0" fontId="13" fillId="3" borderId="15" xfId="0" applyFont="1" applyFill="1" applyBorder="1" applyAlignment="1" quotePrefix="1">
      <alignment horizontal="right"/>
    </xf>
    <xf numFmtId="0" fontId="12" fillId="3" borderId="24" xfId="0" applyFont="1" applyFill="1" applyBorder="1" applyAlignment="1">
      <alignment/>
    </xf>
    <xf numFmtId="0" fontId="12" fillId="3" borderId="83" xfId="0" applyFont="1" applyFill="1" applyBorder="1" applyAlignment="1">
      <alignment wrapText="1"/>
    </xf>
    <xf numFmtId="0" fontId="13" fillId="0" borderId="17" xfId="0" applyFont="1" applyFill="1" applyBorder="1" applyAlignment="1">
      <alignment horizontal="right"/>
    </xf>
    <xf numFmtId="3" fontId="14" fillId="0" borderId="29" xfId="0" applyNumberFormat="1" applyFont="1" applyBorder="1" applyAlignment="1">
      <alignment/>
    </xf>
    <xf numFmtId="0" fontId="0" fillId="4" borderId="15" xfId="0" applyFont="1" applyFill="1" applyBorder="1" applyAlignment="1">
      <alignment/>
    </xf>
    <xf numFmtId="0" fontId="14" fillId="4" borderId="16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right"/>
    </xf>
    <xf numFmtId="0" fontId="13" fillId="2" borderId="26" xfId="0" applyFont="1" applyFill="1" applyBorder="1" applyAlignment="1">
      <alignment/>
    </xf>
    <xf numFmtId="0" fontId="13" fillId="2" borderId="70" xfId="0" applyFont="1" applyFill="1" applyBorder="1" applyAlignment="1">
      <alignment wrapText="1"/>
    </xf>
    <xf numFmtId="0" fontId="13" fillId="2" borderId="70" xfId="0" applyFont="1" applyFill="1" applyBorder="1" applyAlignment="1">
      <alignment horizontal="right" wrapText="1"/>
    </xf>
    <xf numFmtId="0" fontId="12" fillId="3" borderId="24" xfId="0" applyFont="1" applyFill="1" applyBorder="1" applyAlignment="1">
      <alignment/>
    </xf>
    <xf numFmtId="0" fontId="12" fillId="3" borderId="83" xfId="0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3" fontId="12" fillId="4" borderId="2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3" fillId="3" borderId="13" xfId="0" applyFont="1" applyFill="1" applyBorder="1" applyAlignment="1">
      <alignment/>
    </xf>
    <xf numFmtId="0" fontId="14" fillId="3" borderId="116" xfId="0" applyFont="1" applyFill="1" applyBorder="1" applyAlignment="1">
      <alignment horizontal="left" wrapText="1"/>
    </xf>
    <xf numFmtId="3" fontId="14" fillId="3" borderId="16" xfId="0" applyNumberFormat="1" applyFont="1" applyFill="1" applyBorder="1" applyAlignment="1">
      <alignment horizontal="right" wrapText="1"/>
    </xf>
    <xf numFmtId="3" fontId="13" fillId="3" borderId="17" xfId="0" applyNumberFormat="1" applyFont="1" applyFill="1" applyBorder="1" applyAlignment="1">
      <alignment horizontal="right"/>
    </xf>
    <xf numFmtId="3" fontId="0" fillId="3" borderId="18" xfId="0" applyNumberFormat="1" applyFont="1" applyFill="1" applyBorder="1" applyAlignment="1">
      <alignment horizontal="right"/>
    </xf>
    <xf numFmtId="3" fontId="12" fillId="3" borderId="22" xfId="0" applyNumberFormat="1" applyFont="1" applyFill="1" applyBorder="1" applyAlignment="1">
      <alignment horizontal="right"/>
    </xf>
    <xf numFmtId="3" fontId="0" fillId="3" borderId="21" xfId="0" applyNumberFormat="1" applyFont="1" applyFill="1" applyBorder="1" applyAlignment="1">
      <alignment horizontal="right"/>
    </xf>
    <xf numFmtId="3" fontId="12" fillId="3" borderId="15" xfId="0" applyNumberFormat="1" applyFont="1" applyFill="1" applyBorder="1" applyAlignment="1">
      <alignment horizontal="right"/>
    </xf>
    <xf numFmtId="3" fontId="12" fillId="0" borderId="45" xfId="0" applyNumberFormat="1" applyFont="1" applyBorder="1" applyAlignment="1">
      <alignment wrapText="1"/>
    </xf>
    <xf numFmtId="3" fontId="12" fillId="0" borderId="45" xfId="0" applyNumberFormat="1" applyFont="1" applyFill="1" applyBorder="1" applyAlignment="1">
      <alignment horizontal="right"/>
    </xf>
    <xf numFmtId="3" fontId="12" fillId="0" borderId="45" xfId="0" applyNumberFormat="1" applyFont="1" applyBorder="1" applyAlignment="1">
      <alignment horizontal="right"/>
    </xf>
    <xf numFmtId="3" fontId="12" fillId="0" borderId="46" xfId="0" applyNumberFormat="1" applyFont="1" applyBorder="1" applyAlignment="1">
      <alignment wrapText="1"/>
    </xf>
    <xf numFmtId="3" fontId="12" fillId="0" borderId="46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12" fillId="0" borderId="82" xfId="0" applyNumberFormat="1" applyFont="1" applyBorder="1" applyAlignment="1">
      <alignment wrapText="1"/>
    </xf>
    <xf numFmtId="3" fontId="12" fillId="0" borderId="82" xfId="0" applyNumberFormat="1" applyFont="1" applyFill="1" applyBorder="1" applyAlignment="1">
      <alignment horizontal="right"/>
    </xf>
    <xf numFmtId="3" fontId="12" fillId="0" borderId="82" xfId="0" applyNumberFormat="1" applyFont="1" applyBorder="1" applyAlignment="1">
      <alignment horizontal="right"/>
    </xf>
    <xf numFmtId="3" fontId="12" fillId="0" borderId="109" xfId="0" applyNumberFormat="1" applyFont="1" applyBorder="1" applyAlignment="1">
      <alignment wrapText="1"/>
    </xf>
    <xf numFmtId="3" fontId="12" fillId="0" borderId="109" xfId="0" applyNumberFormat="1" applyFont="1" applyFill="1" applyBorder="1" applyAlignment="1">
      <alignment horizontal="right"/>
    </xf>
    <xf numFmtId="3" fontId="12" fillId="0" borderId="109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13" fillId="3" borderId="17" xfId="0" applyFont="1" applyFill="1" applyBorder="1" applyAlignment="1" quotePrefix="1">
      <alignment horizontal="right"/>
    </xf>
    <xf numFmtId="0" fontId="12" fillId="0" borderId="82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3" fontId="0" fillId="0" borderId="93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63" xfId="0" applyNumberFormat="1" applyFont="1" applyFill="1" applyBorder="1" applyAlignment="1">
      <alignment wrapText="1"/>
    </xf>
    <xf numFmtId="3" fontId="0" fillId="0" borderId="99" xfId="0" applyNumberFormat="1" applyFont="1" applyBorder="1" applyAlignment="1">
      <alignment wrapText="1"/>
    </xf>
    <xf numFmtId="3" fontId="0" fillId="0" borderId="117" xfId="0" applyNumberFormat="1" applyFont="1" applyBorder="1" applyAlignment="1">
      <alignment wrapText="1"/>
    </xf>
    <xf numFmtId="3" fontId="0" fillId="0" borderId="118" xfId="0" applyNumberFormat="1" applyFont="1" applyBorder="1" applyAlignment="1">
      <alignment wrapText="1"/>
    </xf>
    <xf numFmtId="3" fontId="0" fillId="0" borderId="63" xfId="0" applyNumberFormat="1" applyFont="1" applyBorder="1" applyAlignment="1">
      <alignment wrapText="1"/>
    </xf>
    <xf numFmtId="3" fontId="0" fillId="0" borderId="101" xfId="0" applyNumberFormat="1" applyFont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43" fillId="4" borderId="19" xfId="0" applyFont="1" applyFill="1" applyBorder="1" applyAlignment="1">
      <alignment/>
    </xf>
    <xf numFmtId="3" fontId="42" fillId="4" borderId="13" xfId="0" applyNumberFormat="1" applyFont="1" applyFill="1" applyBorder="1" applyAlignment="1">
      <alignment/>
    </xf>
    <xf numFmtId="3" fontId="12" fillId="0" borderId="46" xfId="0" applyNumberFormat="1" applyFont="1" applyBorder="1" applyAlignment="1">
      <alignment horizontal="right" wrapText="1"/>
    </xf>
    <xf numFmtId="3" fontId="12" fillId="0" borderId="82" xfId="0" applyNumberFormat="1" applyFont="1" applyFill="1" applyBorder="1" applyAlignment="1">
      <alignment horizontal="right" wrapText="1"/>
    </xf>
    <xf numFmtId="3" fontId="12" fillId="0" borderId="45" xfId="0" applyNumberFormat="1" applyFont="1" applyBorder="1" applyAlignment="1">
      <alignment horizontal="right" wrapText="1"/>
    </xf>
    <xf numFmtId="3" fontId="12" fillId="0" borderId="46" xfId="0" applyNumberFormat="1" applyFont="1" applyFill="1" applyBorder="1" applyAlignment="1">
      <alignment horizontal="right" wrapText="1"/>
    </xf>
    <xf numFmtId="3" fontId="13" fillId="0" borderId="15" xfId="0" applyNumberFormat="1" applyFont="1" applyFill="1" applyBorder="1" applyAlignment="1">
      <alignment horizontal="right"/>
    </xf>
    <xf numFmtId="3" fontId="0" fillId="0" borderId="115" xfId="0" applyNumberFormat="1" applyFont="1" applyBorder="1" applyAlignment="1">
      <alignment wrapText="1"/>
    </xf>
    <xf numFmtId="3" fontId="0" fillId="0" borderId="119" xfId="0" applyNumberFormat="1" applyFont="1" applyBorder="1" applyAlignment="1">
      <alignment wrapText="1"/>
    </xf>
    <xf numFmtId="3" fontId="0" fillId="0" borderId="120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121" xfId="0" applyNumberFormat="1" applyFont="1" applyBorder="1" applyAlignment="1">
      <alignment wrapText="1"/>
    </xf>
    <xf numFmtId="3" fontId="13" fillId="0" borderId="80" xfId="0" applyNumberFormat="1" applyFont="1" applyBorder="1" applyAlignment="1">
      <alignment wrapText="1"/>
    </xf>
    <xf numFmtId="3" fontId="13" fillId="0" borderId="122" xfId="0" applyNumberFormat="1" applyFont="1" applyBorder="1" applyAlignment="1">
      <alignment wrapText="1"/>
    </xf>
    <xf numFmtId="3" fontId="13" fillId="0" borderId="123" xfId="0" applyNumberFormat="1" applyFont="1" applyBorder="1" applyAlignment="1">
      <alignment wrapText="1"/>
    </xf>
    <xf numFmtId="3" fontId="13" fillId="0" borderId="79" xfId="0" applyNumberFormat="1" applyFont="1" applyBorder="1" applyAlignment="1">
      <alignment wrapText="1"/>
    </xf>
    <xf numFmtId="3" fontId="13" fillId="0" borderId="124" xfId="0" applyNumberFormat="1" applyFont="1" applyBorder="1" applyAlignment="1">
      <alignment wrapText="1"/>
    </xf>
    <xf numFmtId="0" fontId="12" fillId="0" borderId="45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2" fillId="0" borderId="82" xfId="0" applyFont="1" applyBorder="1" applyAlignment="1">
      <alignment wrapText="1"/>
    </xf>
    <xf numFmtId="0" fontId="13" fillId="2" borderId="15" xfId="0" applyFont="1" applyFill="1" applyBorder="1" applyAlignment="1">
      <alignment horizontal="right" wrapText="1"/>
    </xf>
    <xf numFmtId="3" fontId="12" fillId="0" borderId="82" xfId="0" applyNumberFormat="1" applyFont="1" applyBorder="1" applyAlignment="1">
      <alignment horizontal="right" wrapText="1"/>
    </xf>
    <xf numFmtId="1" fontId="13" fillId="0" borderId="15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 wrapText="1"/>
    </xf>
    <xf numFmtId="0" fontId="0" fillId="0" borderId="58" xfId="0" applyFont="1" applyBorder="1" applyAlignment="1">
      <alignment/>
    </xf>
    <xf numFmtId="3" fontId="0" fillId="0" borderId="58" xfId="0" applyNumberFormat="1" applyFont="1" applyBorder="1" applyAlignment="1">
      <alignment horizontal="right"/>
    </xf>
    <xf numFmtId="0" fontId="0" fillId="0" borderId="125" xfId="0" applyFont="1" applyBorder="1" applyAlignment="1">
      <alignment wrapText="1"/>
    </xf>
    <xf numFmtId="3" fontId="0" fillId="0" borderId="125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 wrapText="1"/>
    </xf>
    <xf numFmtId="3" fontId="41" fillId="4" borderId="13" xfId="0" applyNumberFormat="1" applyFont="1" applyFill="1" applyBorder="1" applyAlignment="1">
      <alignment/>
    </xf>
    <xf numFmtId="0" fontId="0" fillId="0" borderId="20" xfId="0" applyFont="1" applyBorder="1" applyAlignment="1">
      <alignment wrapText="1"/>
    </xf>
    <xf numFmtId="0" fontId="12" fillId="0" borderId="109" xfId="0" applyFont="1" applyBorder="1" applyAlignment="1">
      <alignment wrapText="1"/>
    </xf>
    <xf numFmtId="3" fontId="0" fillId="0" borderId="125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12" fillId="0" borderId="109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Continuous"/>
    </xf>
    <xf numFmtId="0" fontId="17" fillId="0" borderId="126" xfId="0" applyFont="1" applyBorder="1" applyAlignment="1">
      <alignment horizontal="center"/>
    </xf>
    <xf numFmtId="0" fontId="17" fillId="0" borderId="126" xfId="0" applyNumberFormat="1" applyFont="1" applyBorder="1" applyAlignment="1">
      <alignment horizontal="center"/>
    </xf>
    <xf numFmtId="0" fontId="17" fillId="0" borderId="126" xfId="0" applyFont="1" applyBorder="1" applyAlignment="1">
      <alignment wrapText="1"/>
    </xf>
    <xf numFmtId="0" fontId="17" fillId="0" borderId="126" xfId="0" applyFont="1" applyBorder="1" applyAlignment="1">
      <alignment/>
    </xf>
    <xf numFmtId="0" fontId="17" fillId="0" borderId="126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51" fillId="0" borderId="1" xfId="0" applyNumberFormat="1" applyFont="1" applyBorder="1" applyAlignment="1">
      <alignment horizontal="center"/>
    </xf>
    <xf numFmtId="0" fontId="51" fillId="0" borderId="1" xfId="0" applyFont="1" applyBorder="1" applyAlignment="1">
      <alignment wrapText="1"/>
    </xf>
    <xf numFmtId="0" fontId="51" fillId="0" borderId="2" xfId="0" applyFont="1" applyBorder="1" applyAlignment="1">
      <alignment/>
    </xf>
    <xf numFmtId="0" fontId="51" fillId="0" borderId="2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/>
    </xf>
    <xf numFmtId="0" fontId="51" fillId="0" borderId="6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3" fontId="51" fillId="2" borderId="17" xfId="0" applyNumberFormat="1" applyFont="1" applyFill="1" applyBorder="1" applyAlignment="1">
      <alignment horizontal="right"/>
    </xf>
    <xf numFmtId="0" fontId="51" fillId="2" borderId="17" xfId="0" applyNumberFormat="1" applyFont="1" applyFill="1" applyBorder="1" applyAlignment="1">
      <alignment horizontal="right"/>
    </xf>
    <xf numFmtId="0" fontId="52" fillId="2" borderId="26" xfId="0" applyFont="1" applyFill="1" applyBorder="1" applyAlignment="1">
      <alignment horizontal="center" wrapText="1"/>
    </xf>
    <xf numFmtId="3" fontId="52" fillId="2" borderId="17" xfId="0" applyNumberFormat="1" applyFont="1" applyFill="1" applyBorder="1" applyAlignment="1">
      <alignment horizontal="right"/>
    </xf>
    <xf numFmtId="3" fontId="52" fillId="2" borderId="15" xfId="0" applyNumberFormat="1" applyFont="1" applyFill="1" applyBorder="1" applyAlignment="1">
      <alignment horizontal="right"/>
    </xf>
    <xf numFmtId="3" fontId="51" fillId="2" borderId="15" xfId="0" applyNumberFormat="1" applyFont="1" applyFill="1" applyBorder="1" applyAlignment="1">
      <alignment horizontal="center" vertical="center" wrapText="1"/>
    </xf>
    <xf numFmtId="3" fontId="51" fillId="2" borderId="11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3" fontId="51" fillId="3" borderId="21" xfId="0" applyNumberFormat="1" applyFont="1" applyFill="1" applyBorder="1" applyAlignment="1">
      <alignment horizontal="right"/>
    </xf>
    <xf numFmtId="0" fontId="51" fillId="3" borderId="21" xfId="0" applyNumberFormat="1" applyFont="1" applyFill="1" applyBorder="1" applyAlignment="1">
      <alignment horizontal="right"/>
    </xf>
    <xf numFmtId="0" fontId="52" fillId="3" borderId="93" xfId="0" applyFont="1" applyFill="1" applyBorder="1" applyAlignment="1">
      <alignment horizontal="center" wrapText="1"/>
    </xf>
    <xf numFmtId="3" fontId="52" fillId="3" borderId="21" xfId="0" applyNumberFormat="1" applyFont="1" applyFill="1" applyBorder="1" applyAlignment="1">
      <alignment horizontal="right"/>
    </xf>
    <xf numFmtId="3" fontId="52" fillId="3" borderId="13" xfId="0" applyNumberFormat="1" applyFont="1" applyFill="1" applyBorder="1" applyAlignment="1">
      <alignment horizontal="right"/>
    </xf>
    <xf numFmtId="3" fontId="51" fillId="3" borderId="13" xfId="0" applyNumberFormat="1" applyFont="1" applyFill="1" applyBorder="1" applyAlignment="1">
      <alignment horizontal="center" vertical="center" wrapText="1"/>
    </xf>
    <xf numFmtId="3" fontId="51" fillId="3" borderId="21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Border="1" applyAlignment="1">
      <alignment/>
    </xf>
    <xf numFmtId="0" fontId="53" fillId="0" borderId="13" xfId="0" applyNumberFormat="1" applyFont="1" applyBorder="1" applyAlignment="1">
      <alignment/>
    </xf>
    <xf numFmtId="0" fontId="53" fillId="0" borderId="48" xfId="0" applyFont="1" applyBorder="1" applyAlignment="1">
      <alignment horizontal="left" wrapText="1"/>
    </xf>
    <xf numFmtId="3" fontId="53" fillId="0" borderId="70" xfId="0" applyNumberFormat="1" applyFont="1" applyBorder="1" applyAlignment="1">
      <alignment/>
    </xf>
    <xf numFmtId="3" fontId="53" fillId="0" borderId="7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3" fontId="52" fillId="4" borderId="26" xfId="0" applyNumberFormat="1" applyFont="1" applyFill="1" applyBorder="1" applyAlignment="1">
      <alignment vertical="center"/>
    </xf>
    <xf numFmtId="0" fontId="52" fillId="4" borderId="127" xfId="0" applyNumberFormat="1" applyFont="1" applyFill="1" applyBorder="1" applyAlignment="1">
      <alignment vertical="center"/>
    </xf>
    <xf numFmtId="0" fontId="52" fillId="4" borderId="127" xfId="0" applyFont="1" applyFill="1" applyBorder="1" applyAlignment="1">
      <alignment horizontal="center"/>
    </xf>
    <xf numFmtId="3" fontId="52" fillId="4" borderId="127" xfId="0" applyNumberFormat="1" applyFont="1" applyFill="1" applyBorder="1" applyAlignment="1">
      <alignment/>
    </xf>
    <xf numFmtId="3" fontId="52" fillId="4" borderId="127" xfId="0" applyNumberFormat="1" applyFont="1" applyFill="1" applyBorder="1" applyAlignment="1">
      <alignment horizontal="right"/>
    </xf>
    <xf numFmtId="3" fontId="6" fillId="4" borderId="127" xfId="0" applyNumberFormat="1" applyFont="1" applyFill="1" applyBorder="1" applyAlignment="1">
      <alignment horizontal="right"/>
    </xf>
    <xf numFmtId="3" fontId="52" fillId="4" borderId="86" xfId="0" applyNumberFormat="1" applyFont="1" applyFill="1" applyBorder="1" applyAlignment="1">
      <alignment horizontal="right"/>
    </xf>
    <xf numFmtId="3" fontId="17" fillId="0" borderId="13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17" fillId="0" borderId="44" xfId="0" applyNumberFormat="1" applyFont="1" applyBorder="1" applyAlignment="1">
      <alignment vertical="center"/>
    </xf>
    <xf numFmtId="3" fontId="23" fillId="3" borderId="13" xfId="0" applyNumberFormat="1" applyFont="1" applyFill="1" applyBorder="1" applyAlignment="1" quotePrefix="1">
      <alignment horizontal="right"/>
    </xf>
    <xf numFmtId="0" fontId="23" fillId="3" borderId="13" xfId="0" applyNumberFormat="1" applyFont="1" applyFill="1" applyBorder="1" applyAlignment="1">
      <alignment/>
    </xf>
    <xf numFmtId="3" fontId="53" fillId="3" borderId="17" xfId="0" applyNumberFormat="1" applyFont="1" applyFill="1" applyBorder="1" applyAlignment="1">
      <alignment/>
    </xf>
    <xf numFmtId="3" fontId="53" fillId="3" borderId="17" xfId="0" applyNumberFormat="1" applyFont="1" applyFill="1" applyBorder="1" applyAlignment="1">
      <alignment horizontal="center" vertical="center" wrapText="1"/>
    </xf>
    <xf numFmtId="3" fontId="53" fillId="3" borderId="15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3" borderId="15" xfId="0" applyNumberFormat="1" applyFont="1" applyFill="1" applyBorder="1" applyAlignment="1" quotePrefix="1">
      <alignment horizontal="right"/>
    </xf>
    <xf numFmtId="0" fontId="23" fillId="3" borderId="15" xfId="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0" fillId="0" borderId="128" xfId="0" applyFont="1" applyBorder="1" applyAlignment="1">
      <alignment/>
    </xf>
    <xf numFmtId="0" fontId="0" fillId="0" borderId="129" xfId="0" applyFont="1" applyBorder="1" applyAlignment="1">
      <alignment/>
    </xf>
    <xf numFmtId="3" fontId="0" fillId="0" borderId="128" xfId="0" applyNumberFormat="1" applyFont="1" applyBorder="1" applyAlignment="1">
      <alignment/>
    </xf>
    <xf numFmtId="3" fontId="0" fillId="0" borderId="129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13" fillId="2" borderId="2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/>
    </xf>
    <xf numFmtId="0" fontId="3" fillId="3" borderId="17" xfId="0" applyFont="1" applyFill="1" applyBorder="1" applyAlignment="1">
      <alignment wrapText="1"/>
    </xf>
    <xf numFmtId="0" fontId="14" fillId="4" borderId="16" xfId="0" applyFont="1" applyFill="1" applyBorder="1" applyAlignment="1">
      <alignment horizontal="left" vertical="center"/>
    </xf>
    <xf numFmtId="3" fontId="13" fillId="2" borderId="70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3" fontId="13" fillId="3" borderId="24" xfId="0" applyNumberFormat="1" applyFont="1" applyFill="1" applyBorder="1" applyAlignment="1">
      <alignment horizontal="right" wrapText="1"/>
    </xf>
    <xf numFmtId="3" fontId="13" fillId="3" borderId="15" xfId="0" applyNumberFormat="1" applyFont="1" applyFill="1" applyBorder="1" applyAlignment="1">
      <alignment horizontal="right" wrapText="1"/>
    </xf>
    <xf numFmtId="0" fontId="0" fillId="3" borderId="30" xfId="0" applyFont="1" applyFill="1" applyBorder="1" applyAlignment="1">
      <alignment horizontal="left" wrapText="1"/>
    </xf>
    <xf numFmtId="3" fontId="0" fillId="3" borderId="30" xfId="0" applyNumberFormat="1" applyFont="1" applyFill="1" applyBorder="1" applyAlignment="1">
      <alignment horizontal="right" wrapText="1"/>
    </xf>
    <xf numFmtId="3" fontId="0" fillId="3" borderId="20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wrapText="1"/>
    </xf>
    <xf numFmtId="3" fontId="12" fillId="4" borderId="15" xfId="0" applyNumberFormat="1" applyFont="1" applyFill="1" applyBorder="1" applyAlignment="1">
      <alignment wrapText="1"/>
    </xf>
    <xf numFmtId="3" fontId="12" fillId="4" borderId="22" xfId="0" applyNumberFormat="1" applyFont="1" applyFill="1" applyBorder="1" applyAlignment="1">
      <alignment wrapText="1"/>
    </xf>
    <xf numFmtId="0" fontId="5" fillId="2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14" fillId="0" borderId="18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3" fontId="0" fillId="0" borderId="130" xfId="0" applyNumberFormat="1" applyFont="1" applyFill="1" applyBorder="1" applyAlignment="1">
      <alignment wrapText="1"/>
    </xf>
    <xf numFmtId="3" fontId="3" fillId="0" borderId="2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42" fillId="0" borderId="18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7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2" borderId="21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93" xfId="0" applyFont="1" applyFill="1" applyBorder="1" applyAlignment="1">
      <alignment/>
    </xf>
    <xf numFmtId="0" fontId="3" fillId="0" borderId="86" xfId="0" applyFont="1" applyFill="1" applyBorder="1" applyAlignment="1">
      <alignment wrapText="1"/>
    </xf>
    <xf numFmtId="3" fontId="12" fillId="0" borderId="83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3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31" xfId="0" applyFont="1" applyBorder="1" applyAlignment="1">
      <alignment/>
    </xf>
    <xf numFmtId="0" fontId="12" fillId="0" borderId="0" xfId="0" applyFont="1" applyAlignment="1">
      <alignment horizontal="right"/>
    </xf>
    <xf numFmtId="3" fontId="13" fillId="0" borderId="132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wrapText="1"/>
    </xf>
    <xf numFmtId="3" fontId="0" fillId="0" borderId="112" xfId="0" applyNumberFormat="1" applyFont="1" applyFill="1" applyBorder="1" applyAlignment="1">
      <alignment horizontal="right"/>
    </xf>
    <xf numFmtId="3" fontId="13" fillId="0" borderId="13" xfId="0" applyNumberFormat="1" applyFont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2" fillId="0" borderId="22" xfId="0" applyNumberFormat="1" applyFont="1" applyFill="1" applyBorder="1" applyAlignment="1">
      <alignment horizontal="right"/>
    </xf>
    <xf numFmtId="0" fontId="0" fillId="4" borderId="13" xfId="0" applyFont="1" applyFill="1" applyBorder="1" applyAlignment="1">
      <alignment/>
    </xf>
    <xf numFmtId="0" fontId="45" fillId="4" borderId="13" xfId="0" applyFont="1" applyFill="1" applyBorder="1" applyAlignment="1">
      <alignment horizontal="center"/>
    </xf>
    <xf numFmtId="3" fontId="45" fillId="4" borderId="13" xfId="0" applyNumberFormat="1" applyFont="1" applyFill="1" applyBorder="1" applyAlignment="1">
      <alignment horizontal="right"/>
    </xf>
    <xf numFmtId="3" fontId="45" fillId="4" borderId="13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/>
    </xf>
    <xf numFmtId="0" fontId="14" fillId="4" borderId="16" xfId="0" applyFont="1" applyFill="1" applyBorder="1" applyAlignment="1">
      <alignment/>
    </xf>
    <xf numFmtId="0" fontId="13" fillId="2" borderId="17" xfId="0" applyFont="1" applyFill="1" applyBorder="1" applyAlignment="1">
      <alignment wrapText="1"/>
    </xf>
    <xf numFmtId="3" fontId="13" fillId="2" borderId="17" xfId="0" applyNumberFormat="1" applyFont="1" applyFill="1" applyBorder="1" applyAlignment="1">
      <alignment horizontal="right" wrapText="1"/>
    </xf>
    <xf numFmtId="3" fontId="13" fillId="2" borderId="15" xfId="0" applyNumberFormat="1" applyFont="1" applyFill="1" applyBorder="1" applyAlignment="1">
      <alignment/>
    </xf>
    <xf numFmtId="0" fontId="13" fillId="0" borderId="21" xfId="0" applyFont="1" applyBorder="1" applyAlignment="1">
      <alignment/>
    </xf>
    <xf numFmtId="3" fontId="13" fillId="0" borderId="17" xfId="0" applyNumberFormat="1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82" xfId="0" applyNumberFormat="1" applyFont="1" applyBorder="1" applyAlignment="1">
      <alignment wrapText="1"/>
    </xf>
    <xf numFmtId="0" fontId="12" fillId="0" borderId="77" xfId="0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3" fontId="0" fillId="0" borderId="2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2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13" fillId="4" borderId="133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4" fillId="0" borderId="13" xfId="0" applyFont="1" applyBorder="1" applyAlignment="1">
      <alignment wrapText="1"/>
    </xf>
    <xf numFmtId="0" fontId="0" fillId="0" borderId="134" xfId="0" applyFont="1" applyFill="1" applyBorder="1" applyAlignment="1">
      <alignment wrapText="1"/>
    </xf>
    <xf numFmtId="0" fontId="14" fillId="0" borderId="135" xfId="0" applyFont="1" applyBorder="1" applyAlignment="1">
      <alignment wrapText="1"/>
    </xf>
    <xf numFmtId="3" fontId="0" fillId="0" borderId="134" xfId="0" applyNumberFormat="1" applyFont="1" applyBorder="1" applyAlignment="1">
      <alignment/>
    </xf>
    <xf numFmtId="0" fontId="14" fillId="0" borderId="18" xfId="0" applyFont="1" applyBorder="1" applyAlignment="1">
      <alignment wrapText="1"/>
    </xf>
    <xf numFmtId="1" fontId="12" fillId="0" borderId="19" xfId="0" applyNumberFormat="1" applyFont="1" applyFill="1" applyBorder="1" applyAlignment="1">
      <alignment/>
    </xf>
    <xf numFmtId="0" fontId="12" fillId="0" borderId="77" xfId="0" applyFont="1" applyBorder="1" applyAlignment="1">
      <alignment wrapText="1"/>
    </xf>
    <xf numFmtId="3" fontId="12" fillId="0" borderId="77" xfId="0" applyNumberFormat="1" applyFont="1" applyFill="1" applyBorder="1" applyAlignment="1">
      <alignment horizontal="right" wrapText="1"/>
    </xf>
    <xf numFmtId="3" fontId="12" fillId="4" borderId="77" xfId="0" applyNumberFormat="1" applyFont="1" applyFill="1" applyBorder="1" applyAlignment="1">
      <alignment wrapText="1"/>
    </xf>
    <xf numFmtId="1" fontId="12" fillId="0" borderId="133" xfId="0" applyNumberFormat="1" applyFont="1" applyFill="1" applyBorder="1" applyAlignment="1">
      <alignment/>
    </xf>
    <xf numFmtId="0" fontId="12" fillId="0" borderId="133" xfId="0" applyFont="1" applyBorder="1" applyAlignment="1">
      <alignment wrapText="1"/>
    </xf>
    <xf numFmtId="3" fontId="12" fillId="0" borderId="133" xfId="0" applyNumberFormat="1" applyFont="1" applyFill="1" applyBorder="1" applyAlignment="1">
      <alignment horizontal="right" wrapText="1"/>
    </xf>
    <xf numFmtId="3" fontId="12" fillId="4" borderId="133" xfId="0" applyNumberFormat="1" applyFont="1" applyFill="1" applyBorder="1" applyAlignment="1">
      <alignment wrapText="1"/>
    </xf>
    <xf numFmtId="0" fontId="12" fillId="0" borderId="13" xfId="0" applyFont="1" applyBorder="1" applyAlignment="1">
      <alignment/>
    </xf>
    <xf numFmtId="0" fontId="0" fillId="0" borderId="20" xfId="0" applyFont="1" applyBorder="1" applyAlignment="1">
      <alignment/>
    </xf>
    <xf numFmtId="3" fontId="15" fillId="0" borderId="15" xfId="0" applyNumberFormat="1" applyFont="1" applyBorder="1" applyAlignment="1">
      <alignment horizontal="center" wrapText="1"/>
    </xf>
    <xf numFmtId="3" fontId="8" fillId="0" borderId="44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1" fontId="6" fillId="2" borderId="17" xfId="0" applyNumberFormat="1" applyFont="1" applyFill="1" applyBorder="1" applyAlignment="1">
      <alignment horizontal="center" wrapText="1"/>
    </xf>
    <xf numFmtId="3" fontId="6" fillId="2" borderId="17" xfId="0" applyNumberFormat="1" applyFont="1" applyFill="1" applyBorder="1" applyAlignment="1">
      <alignment horizontal="right" wrapText="1"/>
    </xf>
    <xf numFmtId="1" fontId="6" fillId="0" borderId="15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right" wrapText="1"/>
    </xf>
    <xf numFmtId="0" fontId="14" fillId="0" borderId="13" xfId="0" applyFont="1" applyBorder="1" applyAlignment="1">
      <alignment/>
    </xf>
    <xf numFmtId="1" fontId="8" fillId="0" borderId="21" xfId="0" applyNumberFormat="1" applyFont="1" applyBorder="1" applyAlignment="1">
      <alignment/>
    </xf>
    <xf numFmtId="3" fontId="8" fillId="0" borderId="18" xfId="0" applyNumberFormat="1" applyFont="1" applyBorder="1" applyAlignment="1">
      <alignment wrapText="1"/>
    </xf>
    <xf numFmtId="3" fontId="8" fillId="0" borderId="17" xfId="0" applyNumberFormat="1" applyFont="1" applyBorder="1" applyAlignment="1">
      <alignment wrapText="1"/>
    </xf>
    <xf numFmtId="1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right" wrapText="1"/>
    </xf>
    <xf numFmtId="3" fontId="48" fillId="0" borderId="17" xfId="0" applyNumberFormat="1" applyFont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0" borderId="92" xfId="0" applyNumberFormat="1" applyFont="1" applyFill="1" applyBorder="1" applyAlignment="1">
      <alignment/>
    </xf>
    <xf numFmtId="3" fontId="48" fillId="0" borderId="8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1" fontId="8" fillId="0" borderId="22" xfId="0" applyNumberFormat="1" applyFont="1" applyBorder="1" applyAlignment="1">
      <alignment horizontal="center" wrapText="1"/>
    </xf>
    <xf numFmtId="3" fontId="8" fillId="0" borderId="22" xfId="0" applyNumberFormat="1" applyFont="1" applyBorder="1" applyAlignment="1">
      <alignment horizontal="right" wrapText="1"/>
    </xf>
    <xf numFmtId="3" fontId="8" fillId="0" borderId="91" xfId="0" applyNumberFormat="1" applyFont="1" applyFill="1" applyBorder="1" applyAlignment="1">
      <alignment/>
    </xf>
    <xf numFmtId="3" fontId="8" fillId="0" borderId="136" xfId="0" applyNumberFormat="1" applyFont="1" applyBorder="1" applyAlignment="1">
      <alignment/>
    </xf>
    <xf numFmtId="3" fontId="8" fillId="0" borderId="109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3" borderId="133" xfId="0" applyFont="1" applyFill="1" applyBorder="1" applyAlignment="1">
      <alignment/>
    </xf>
    <xf numFmtId="0" fontId="0" fillId="0" borderId="133" xfId="0" applyFont="1" applyBorder="1" applyAlignment="1">
      <alignment/>
    </xf>
    <xf numFmtId="0" fontId="12" fillId="0" borderId="133" xfId="0" applyFont="1" applyFill="1" applyBorder="1" applyAlignment="1">
      <alignment/>
    </xf>
    <xf numFmtId="0" fontId="12" fillId="0" borderId="133" xfId="0" applyFont="1" applyFill="1" applyBorder="1" applyAlignment="1">
      <alignment wrapText="1"/>
    </xf>
    <xf numFmtId="3" fontId="12" fillId="0" borderId="133" xfId="0" applyNumberFormat="1" applyFont="1" applyFill="1" applyBorder="1" applyAlignment="1">
      <alignment horizontal="right"/>
    </xf>
    <xf numFmtId="3" fontId="12" fillId="0" borderId="133" xfId="0" applyNumberFormat="1" applyFont="1" applyBorder="1" applyAlignment="1">
      <alignment horizontal="right"/>
    </xf>
    <xf numFmtId="0" fontId="12" fillId="3" borderId="133" xfId="0" applyFont="1" applyFill="1" applyBorder="1" applyAlignment="1">
      <alignment/>
    </xf>
    <xf numFmtId="0" fontId="12" fillId="0" borderId="133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3" borderId="15" xfId="0" applyFont="1" applyFill="1" applyBorder="1" applyAlignment="1">
      <alignment/>
    </xf>
    <xf numFmtId="0" fontId="12" fillId="0" borderId="133" xfId="0" applyFont="1" applyBorder="1" applyAlignment="1">
      <alignment/>
    </xf>
    <xf numFmtId="0" fontId="13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horizontal="right"/>
    </xf>
    <xf numFmtId="1" fontId="13" fillId="3" borderId="28" xfId="0" applyNumberFormat="1" applyFont="1" applyFill="1" applyBorder="1" applyAlignment="1">
      <alignment/>
    </xf>
    <xf numFmtId="3" fontId="13" fillId="3" borderId="28" xfId="0" applyNumberFormat="1" applyFont="1" applyFill="1" applyBorder="1" applyAlignment="1">
      <alignment wrapText="1"/>
    </xf>
    <xf numFmtId="3" fontId="13" fillId="0" borderId="88" xfId="0" applyNumberFormat="1" applyFont="1" applyBorder="1" applyAlignment="1">
      <alignment wrapText="1"/>
    </xf>
    <xf numFmtId="3" fontId="13" fillId="0" borderId="137" xfId="0" applyNumberFormat="1" applyFont="1" applyBorder="1" applyAlignment="1">
      <alignment wrapText="1"/>
    </xf>
    <xf numFmtId="3" fontId="13" fillId="0" borderId="138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3" fontId="13" fillId="0" borderId="72" xfId="0" applyNumberFormat="1" applyFont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1" fontId="13" fillId="3" borderId="15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 wrapText="1"/>
    </xf>
    <xf numFmtId="3" fontId="14" fillId="0" borderId="116" xfId="0" applyNumberFormat="1" applyFont="1" applyBorder="1" applyAlignment="1">
      <alignment wrapText="1"/>
    </xf>
    <xf numFmtId="3" fontId="14" fillId="0" borderId="7" xfId="0" applyNumberFormat="1" applyFont="1" applyBorder="1" applyAlignment="1">
      <alignment wrapText="1"/>
    </xf>
    <xf numFmtId="3" fontId="14" fillId="0" borderId="131" xfId="0" applyNumberFormat="1" applyFont="1" applyBorder="1" applyAlignment="1">
      <alignment wrapText="1"/>
    </xf>
    <xf numFmtId="3" fontId="14" fillId="0" borderId="25" xfId="0" applyNumberFormat="1" applyFont="1" applyBorder="1" applyAlignment="1">
      <alignment wrapText="1"/>
    </xf>
    <xf numFmtId="0" fontId="12" fillId="3" borderId="15" xfId="0" applyFont="1" applyFill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0" fontId="0" fillId="3" borderId="15" xfId="0" applyFont="1" applyFill="1" applyBorder="1" applyAlignment="1">
      <alignment horizontal="right"/>
    </xf>
    <xf numFmtId="0" fontId="0" fillId="0" borderId="26" xfId="0" applyFont="1" applyBorder="1" applyAlignment="1">
      <alignment wrapText="1"/>
    </xf>
    <xf numFmtId="3" fontId="0" fillId="0" borderId="17" xfId="0" applyNumberFormat="1" applyFont="1" applyFill="1" applyBorder="1" applyAlignment="1">
      <alignment horizontal="right" wrapText="1"/>
    </xf>
    <xf numFmtId="3" fontId="0" fillId="0" borderId="30" xfId="0" applyNumberFormat="1" applyFont="1" applyBorder="1" applyAlignment="1">
      <alignment horizontal="right" wrapText="1"/>
    </xf>
    <xf numFmtId="3" fontId="0" fillId="0" borderId="26" xfId="0" applyNumberFormat="1" applyFont="1" applyBorder="1" applyAlignment="1">
      <alignment horizontal="right" wrapText="1"/>
    </xf>
    <xf numFmtId="0" fontId="0" fillId="3" borderId="26" xfId="0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 wrapText="1"/>
    </xf>
    <xf numFmtId="3" fontId="0" fillId="0" borderId="26" xfId="0" applyNumberFormat="1" applyFont="1" applyFill="1" applyBorder="1" applyAlignment="1">
      <alignment horizontal="right" wrapText="1"/>
    </xf>
    <xf numFmtId="3" fontId="0" fillId="3" borderId="1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3" fontId="0" fillId="3" borderId="26" xfId="0" applyNumberFormat="1" applyFont="1" applyFill="1" applyBorder="1" applyAlignment="1">
      <alignment horizontal="right" wrapText="1"/>
    </xf>
    <xf numFmtId="0" fontId="14" fillId="4" borderId="27" xfId="0" applyFont="1" applyFill="1" applyBorder="1" applyAlignment="1">
      <alignment wrapText="1"/>
    </xf>
    <xf numFmtId="3" fontId="14" fillId="0" borderId="27" xfId="0" applyNumberFormat="1" applyFont="1" applyFill="1" applyBorder="1" applyAlignment="1">
      <alignment horizontal="right"/>
    </xf>
    <xf numFmtId="3" fontId="14" fillId="4" borderId="27" xfId="0" applyNumberFormat="1" applyFont="1" applyFill="1" applyBorder="1" applyAlignment="1">
      <alignment horizontal="right"/>
    </xf>
    <xf numFmtId="0" fontId="14" fillId="6" borderId="74" xfId="0" applyFont="1" applyFill="1" applyBorder="1" applyAlignment="1">
      <alignment wrapText="1"/>
    </xf>
    <xf numFmtId="3" fontId="14" fillId="0" borderId="74" xfId="0" applyNumberFormat="1" applyFont="1" applyFill="1" applyBorder="1" applyAlignment="1">
      <alignment horizontal="right" wrapText="1"/>
    </xf>
    <xf numFmtId="3" fontId="14" fillId="4" borderId="7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3" fontId="0" fillId="3" borderId="24" xfId="0" applyNumberFormat="1" applyFont="1" applyFill="1" applyBorder="1" applyAlignment="1">
      <alignment horizontal="right" wrapText="1"/>
    </xf>
    <xf numFmtId="3" fontId="0" fillId="3" borderId="15" xfId="0" applyNumberFormat="1" applyFont="1" applyFill="1" applyBorder="1" applyAlignment="1">
      <alignment horizontal="right" wrapText="1"/>
    </xf>
    <xf numFmtId="3" fontId="13" fillId="0" borderId="17" xfId="0" applyNumberFormat="1" applyFont="1" applyBorder="1" applyAlignment="1">
      <alignment/>
    </xf>
    <xf numFmtId="3" fontId="12" fillId="0" borderId="19" xfId="0" applyNumberFormat="1" applyFont="1" applyFill="1" applyBorder="1" applyAlignment="1">
      <alignment wrapText="1"/>
    </xf>
    <xf numFmtId="3" fontId="12" fillId="4" borderId="13" xfId="0" applyNumberFormat="1" applyFont="1" applyFill="1" applyBorder="1" applyAlignment="1">
      <alignment wrapText="1"/>
    </xf>
    <xf numFmtId="3" fontId="12" fillId="4" borderId="77" xfId="0" applyNumberFormat="1" applyFont="1" applyFill="1" applyBorder="1" applyAlignment="1">
      <alignment wrapText="1"/>
    </xf>
    <xf numFmtId="3" fontId="12" fillId="0" borderId="133" xfId="0" applyNumberFormat="1" applyFont="1" applyFill="1" applyBorder="1" applyAlignment="1">
      <alignment wrapText="1"/>
    </xf>
    <xf numFmtId="3" fontId="12" fillId="4" borderId="133" xfId="0" applyNumberFormat="1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3" fontId="12" fillId="4" borderId="77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 horizontal="right"/>
    </xf>
    <xf numFmtId="0" fontId="13" fillId="4" borderId="133" xfId="0" applyFont="1" applyFill="1" applyBorder="1" applyAlignment="1">
      <alignment/>
    </xf>
    <xf numFmtId="3" fontId="12" fillId="4" borderId="133" xfId="0" applyNumberFormat="1" applyFont="1" applyFill="1" applyBorder="1" applyAlignment="1">
      <alignment horizontal="right"/>
    </xf>
    <xf numFmtId="0" fontId="12" fillId="0" borderId="15" xfId="0" applyFont="1" applyBorder="1" applyAlignment="1">
      <alignment wrapText="1"/>
    </xf>
    <xf numFmtId="0" fontId="13" fillId="2" borderId="24" xfId="0" applyFont="1" applyFill="1" applyBorder="1" applyAlignment="1">
      <alignment horizontal="right" wrapText="1"/>
    </xf>
    <xf numFmtId="3" fontId="12" fillId="0" borderId="133" xfId="0" applyNumberFormat="1" applyFont="1" applyFill="1" applyBorder="1" applyAlignment="1">
      <alignment horizontal="right" wrapText="1"/>
    </xf>
    <xf numFmtId="3" fontId="42" fillId="0" borderId="15" xfId="0" applyNumberFormat="1" applyFont="1" applyFill="1" applyBorder="1" applyAlignment="1">
      <alignment horizontal="right"/>
    </xf>
    <xf numFmtId="0" fontId="14" fillId="0" borderId="15" xfId="0" applyFont="1" applyBorder="1" applyAlignment="1">
      <alignment wrapText="1"/>
    </xf>
    <xf numFmtId="0" fontId="43" fillId="4" borderId="24" xfId="0" applyFont="1" applyFill="1" applyBorder="1" applyAlignment="1">
      <alignment/>
    </xf>
    <xf numFmtId="3" fontId="42" fillId="4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3" fontId="0" fillId="0" borderId="45" xfId="0" applyNumberFormat="1" applyFont="1" applyFill="1" applyBorder="1" applyAlignment="1">
      <alignment horizontal="right"/>
    </xf>
    <xf numFmtId="0" fontId="0" fillId="0" borderId="77" xfId="0" applyFont="1" applyBorder="1" applyAlignment="1">
      <alignment/>
    </xf>
    <xf numFmtId="3" fontId="0" fillId="0" borderId="77" xfId="0" applyNumberFormat="1" applyFont="1" applyFill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0" fontId="12" fillId="0" borderId="82" xfId="0" applyFont="1" applyFill="1" applyBorder="1" applyAlignment="1">
      <alignment wrapText="1"/>
    </xf>
    <xf numFmtId="0" fontId="12" fillId="0" borderId="45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112" xfId="0" applyFont="1" applyBorder="1" applyAlignment="1">
      <alignment wrapText="1"/>
    </xf>
    <xf numFmtId="3" fontId="0" fillId="0" borderId="112" xfId="0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0" fontId="0" fillId="0" borderId="129" xfId="0" applyFont="1" applyFill="1" applyBorder="1" applyAlignment="1">
      <alignment wrapText="1"/>
    </xf>
    <xf numFmtId="3" fontId="0" fillId="0" borderId="129" xfId="0" applyNumberFormat="1" applyFont="1" applyFill="1" applyBorder="1" applyAlignment="1">
      <alignment wrapText="1"/>
    </xf>
    <xf numFmtId="0" fontId="0" fillId="0" borderId="63" xfId="0" applyFont="1" applyFill="1" applyBorder="1" applyAlignment="1">
      <alignment wrapText="1"/>
    </xf>
    <xf numFmtId="3" fontId="0" fillId="0" borderId="130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 horizontal="right" wrapText="1"/>
    </xf>
    <xf numFmtId="0" fontId="0" fillId="0" borderId="133" xfId="0" applyFont="1" applyFill="1" applyBorder="1" applyAlignment="1">
      <alignment wrapText="1"/>
    </xf>
    <xf numFmtId="3" fontId="0" fillId="0" borderId="133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2" fillId="0" borderId="133" xfId="0" applyFont="1" applyBorder="1" applyAlignment="1">
      <alignment/>
    </xf>
    <xf numFmtId="0" fontId="0" fillId="0" borderId="133" xfId="0" applyFont="1" applyBorder="1" applyAlignment="1">
      <alignment/>
    </xf>
    <xf numFmtId="3" fontId="0" fillId="0" borderId="133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0" fontId="12" fillId="0" borderId="82" xfId="0" applyFont="1" applyBorder="1" applyAlignment="1">
      <alignment/>
    </xf>
    <xf numFmtId="0" fontId="0" fillId="0" borderId="139" xfId="0" applyFont="1" applyBorder="1" applyAlignment="1">
      <alignment/>
    </xf>
    <xf numFmtId="3" fontId="0" fillId="0" borderId="139" xfId="0" applyNumberFormat="1" applyFont="1" applyFill="1" applyBorder="1" applyAlignment="1">
      <alignment horizontal="right"/>
    </xf>
    <xf numFmtId="3" fontId="0" fillId="0" borderId="13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0" fontId="42" fillId="0" borderId="45" xfId="0" applyFont="1" applyFill="1" applyBorder="1" applyAlignment="1">
      <alignment wrapText="1"/>
    </xf>
    <xf numFmtId="0" fontId="42" fillId="0" borderId="46" xfId="0" applyFont="1" applyFill="1" applyBorder="1" applyAlignment="1">
      <alignment wrapText="1"/>
    </xf>
    <xf numFmtId="0" fontId="12" fillId="0" borderId="45" xfId="0" applyFont="1" applyBorder="1" applyAlignment="1">
      <alignment/>
    </xf>
    <xf numFmtId="3" fontId="12" fillId="0" borderId="45" xfId="0" applyNumberFormat="1" applyFont="1" applyBorder="1" applyAlignment="1">
      <alignment/>
    </xf>
    <xf numFmtId="0" fontId="42" fillId="0" borderId="82" xfId="0" applyFont="1" applyFill="1" applyBorder="1" applyAlignment="1">
      <alignment wrapText="1"/>
    </xf>
    <xf numFmtId="3" fontId="12" fillId="0" borderId="82" xfId="0" applyNumberFormat="1" applyFont="1" applyFill="1" applyBorder="1" applyAlignment="1">
      <alignment wrapText="1"/>
    </xf>
    <xf numFmtId="1" fontId="0" fillId="0" borderId="20" xfId="0" applyNumberFormat="1" applyFont="1" applyFill="1" applyBorder="1" applyAlignment="1">
      <alignment horizontal="right" wrapText="1"/>
    </xf>
    <xf numFmtId="3" fontId="7" fillId="4" borderId="13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3" fontId="8" fillId="4" borderId="15" xfId="0" applyNumberFormat="1" applyFont="1" applyFill="1" applyBorder="1" applyAlignment="1">
      <alignment/>
    </xf>
    <xf numFmtId="3" fontId="8" fillId="4" borderId="24" xfId="0" applyNumberFormat="1" applyFont="1" applyFill="1" applyBorder="1" applyAlignment="1">
      <alignment/>
    </xf>
    <xf numFmtId="3" fontId="0" fillId="4" borderId="56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3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38" xfId="0" applyFont="1" applyBorder="1" applyAlignment="1">
      <alignment horizontal="left"/>
    </xf>
    <xf numFmtId="3" fontId="13" fillId="0" borderId="38" xfId="0" applyNumberFormat="1" applyFont="1" applyBorder="1" applyAlignment="1">
      <alignment horizontal="right"/>
    </xf>
    <xf numFmtId="0" fontId="13" fillId="0" borderId="3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3" fontId="13" fillId="0" borderId="29" xfId="0" applyNumberFormat="1" applyFont="1" applyBorder="1" applyAlignment="1">
      <alignment wrapText="1"/>
    </xf>
    <xf numFmtId="0" fontId="13" fillId="0" borderId="29" xfId="0" applyFont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3" fontId="12" fillId="0" borderId="109" xfId="0" applyNumberFormat="1" applyFont="1" applyFill="1" applyBorder="1" applyAlignment="1">
      <alignment wrapText="1"/>
    </xf>
    <xf numFmtId="3" fontId="21" fillId="0" borderId="17" xfId="18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/>
    </xf>
    <xf numFmtId="0" fontId="14" fillId="4" borderId="74" xfId="0" applyFont="1" applyFill="1" applyBorder="1" applyAlignment="1">
      <alignment wrapText="1"/>
    </xf>
    <xf numFmtId="3" fontId="14" fillId="0" borderId="74" xfId="0" applyNumberFormat="1" applyFont="1" applyFill="1" applyBorder="1" applyAlignment="1">
      <alignment horizontal="right"/>
    </xf>
    <xf numFmtId="3" fontId="14" fillId="4" borderId="7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wrapText="1"/>
    </xf>
    <xf numFmtId="0" fontId="13" fillId="0" borderId="2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 wrapText="1"/>
    </xf>
    <xf numFmtId="3" fontId="0" fillId="0" borderId="30" xfId="0" applyNumberFormat="1" applyFont="1" applyFill="1" applyBorder="1" applyAlignment="1">
      <alignment horizontal="right" wrapText="1"/>
    </xf>
    <xf numFmtId="0" fontId="0" fillId="3" borderId="22" xfId="0" applyFont="1" applyFill="1" applyBorder="1" applyAlignment="1">
      <alignment horizontal="left" wrapText="1"/>
    </xf>
    <xf numFmtId="0" fontId="13" fillId="6" borderId="15" xfId="0" applyFont="1" applyFill="1" applyBorder="1" applyAlignment="1">
      <alignment/>
    </xf>
    <xf numFmtId="0" fontId="14" fillId="6" borderId="15" xfId="0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right" wrapText="1"/>
    </xf>
    <xf numFmtId="3" fontId="14" fillId="4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3" fontId="13" fillId="0" borderId="26" xfId="0" applyNumberFormat="1" applyFont="1" applyBorder="1" applyAlignment="1">
      <alignment wrapText="1"/>
    </xf>
    <xf numFmtId="3" fontId="13" fillId="0" borderId="110" xfId="0" applyNumberFormat="1" applyFont="1" applyBorder="1" applyAlignment="1">
      <alignment wrapText="1"/>
    </xf>
    <xf numFmtId="3" fontId="13" fillId="0" borderId="111" xfId="0" applyNumberFormat="1" applyFont="1" applyBorder="1" applyAlignment="1">
      <alignment wrapText="1"/>
    </xf>
    <xf numFmtId="3" fontId="13" fillId="0" borderId="86" xfId="0" applyNumberFormat="1" applyFont="1" applyBorder="1" applyAlignment="1">
      <alignment wrapText="1"/>
    </xf>
    <xf numFmtId="3" fontId="0" fillId="0" borderId="140" xfId="0" applyNumberFormat="1" applyFont="1" applyBorder="1" applyAlignment="1">
      <alignment wrapText="1"/>
    </xf>
    <xf numFmtId="3" fontId="0" fillId="0" borderId="141" xfId="0" applyNumberFormat="1" applyFont="1" applyBorder="1" applyAlignment="1">
      <alignment wrapText="1"/>
    </xf>
    <xf numFmtId="3" fontId="0" fillId="0" borderId="142" xfId="0" applyNumberFormat="1" applyFont="1" applyBorder="1" applyAlignment="1">
      <alignment wrapText="1"/>
    </xf>
    <xf numFmtId="3" fontId="0" fillId="0" borderId="77" xfId="0" applyNumberFormat="1" applyFont="1" applyBorder="1" applyAlignment="1">
      <alignment wrapText="1"/>
    </xf>
    <xf numFmtId="3" fontId="0" fillId="0" borderId="143" xfId="0" applyNumberFormat="1" applyFont="1" applyBorder="1" applyAlignment="1">
      <alignment wrapText="1"/>
    </xf>
    <xf numFmtId="49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3" xfId="0" applyNumberFormat="1" applyFont="1" applyFill="1" applyBorder="1" applyAlignment="1">
      <alignment vertical="center" wrapText="1"/>
    </xf>
    <xf numFmtId="3" fontId="0" fillId="4" borderId="133" xfId="15" applyNumberFormat="1" applyFont="1" applyFill="1" applyBorder="1" applyAlignment="1">
      <alignment horizontal="right"/>
    </xf>
    <xf numFmtId="3" fontId="0" fillId="4" borderId="133" xfId="15" applyNumberFormat="1" applyFont="1" applyFill="1" applyBorder="1" applyAlignment="1">
      <alignment horizontal="right"/>
    </xf>
    <xf numFmtId="0" fontId="0" fillId="0" borderId="77" xfId="0" applyFont="1" applyFill="1" applyBorder="1" applyAlignment="1">
      <alignment horizontal="left"/>
    </xf>
    <xf numFmtId="3" fontId="0" fillId="4" borderId="21" xfId="0" applyNumberFormat="1" applyFont="1" applyFill="1" applyBorder="1" applyAlignment="1">
      <alignment horizontal="right"/>
    </xf>
    <xf numFmtId="0" fontId="12" fillId="4" borderId="133" xfId="0" applyFont="1" applyFill="1" applyBorder="1" applyAlignment="1">
      <alignment/>
    </xf>
    <xf numFmtId="0" fontId="0" fillId="0" borderId="133" xfId="0" applyFont="1" applyFill="1" applyBorder="1" applyAlignment="1">
      <alignment horizontal="left"/>
    </xf>
    <xf numFmtId="3" fontId="0" fillId="4" borderId="133" xfId="0" applyNumberFormat="1" applyFont="1" applyFill="1" applyBorder="1" applyAlignment="1">
      <alignment horizontal="right"/>
    </xf>
    <xf numFmtId="3" fontId="12" fillId="0" borderId="13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12" fillId="3" borderId="133" xfId="0" applyFont="1" applyFill="1" applyBorder="1" applyAlignment="1">
      <alignment/>
    </xf>
    <xf numFmtId="0" fontId="12" fillId="0" borderId="133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13" fillId="0" borderId="17" xfId="0" applyFont="1" applyFill="1" applyBorder="1" applyAlignment="1">
      <alignment/>
    </xf>
    <xf numFmtId="1" fontId="13" fillId="3" borderId="133" xfId="0" applyNumberFormat="1" applyFont="1" applyFill="1" applyBorder="1" applyAlignment="1">
      <alignment/>
    </xf>
    <xf numFmtId="1" fontId="13" fillId="0" borderId="133" xfId="0" applyNumberFormat="1" applyFont="1" applyBorder="1" applyAlignment="1">
      <alignment/>
    </xf>
    <xf numFmtId="3" fontId="0" fillId="0" borderId="133" xfId="0" applyNumberFormat="1" applyFont="1" applyFill="1" applyBorder="1" applyAlignment="1">
      <alignment wrapText="1"/>
    </xf>
    <xf numFmtId="3" fontId="0" fillId="0" borderId="133" xfId="0" applyNumberFormat="1" applyFont="1" applyBorder="1" applyAlignment="1">
      <alignment wrapText="1"/>
    </xf>
    <xf numFmtId="0" fontId="13" fillId="6" borderId="133" xfId="0" applyFont="1" applyFill="1" applyBorder="1" applyAlignment="1">
      <alignment/>
    </xf>
    <xf numFmtId="0" fontId="14" fillId="6" borderId="133" xfId="0" applyFont="1" applyFill="1" applyBorder="1" applyAlignment="1">
      <alignment wrapText="1"/>
    </xf>
    <xf numFmtId="3" fontId="14" fillId="0" borderId="133" xfId="0" applyNumberFormat="1" applyFont="1" applyFill="1" applyBorder="1" applyAlignment="1">
      <alignment horizontal="right" wrapText="1"/>
    </xf>
    <xf numFmtId="3" fontId="14" fillId="4" borderId="133" xfId="0" applyNumberFormat="1" applyFont="1" applyFill="1" applyBorder="1" applyAlignment="1">
      <alignment horizontal="right" wrapText="1"/>
    </xf>
    <xf numFmtId="0" fontId="0" fillId="3" borderId="17" xfId="0" applyFont="1" applyFill="1" applyBorder="1" applyAlignment="1">
      <alignment horizontal="right"/>
    </xf>
    <xf numFmtId="0" fontId="5" fillId="2" borderId="13" xfId="0" applyFont="1" applyFill="1" applyBorder="1" applyAlignment="1">
      <alignment/>
    </xf>
    <xf numFmtId="3" fontId="13" fillId="0" borderId="15" xfId="0" applyNumberFormat="1" applyFont="1" applyFill="1" applyBorder="1" applyAlignment="1">
      <alignment horizontal="right" wrapText="1"/>
    </xf>
    <xf numFmtId="0" fontId="14" fillId="4" borderId="13" xfId="0" applyFont="1" applyFill="1" applyBorder="1" applyAlignment="1">
      <alignment/>
    </xf>
    <xf numFmtId="0" fontId="12" fillId="3" borderId="140" xfId="0" applyFont="1" applyFill="1" applyBorder="1" applyAlignment="1">
      <alignment wrapText="1"/>
    </xf>
    <xf numFmtId="3" fontId="0" fillId="3" borderId="13" xfId="0" applyNumberFormat="1" applyFont="1" applyFill="1" applyBorder="1" applyAlignment="1">
      <alignment horizontal="right"/>
    </xf>
    <xf numFmtId="0" fontId="12" fillId="3" borderId="133" xfId="0" applyFont="1" applyFill="1" applyBorder="1" applyAlignment="1">
      <alignment wrapText="1"/>
    </xf>
    <xf numFmtId="0" fontId="12" fillId="3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2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0" fillId="0" borderId="133" xfId="0" applyNumberFormat="1" applyFont="1" applyBorder="1" applyAlignment="1">
      <alignment/>
    </xf>
    <xf numFmtId="0" fontId="13" fillId="3" borderId="15" xfId="0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 horizontal="right"/>
    </xf>
    <xf numFmtId="0" fontId="12" fillId="3" borderId="19" xfId="0" applyFont="1" applyFill="1" applyBorder="1" applyAlignment="1">
      <alignment/>
    </xf>
    <xf numFmtId="3" fontId="12" fillId="0" borderId="24" xfId="0" applyNumberFormat="1" applyFont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3" fontId="0" fillId="4" borderId="17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/>
    </xf>
    <xf numFmtId="0" fontId="12" fillId="0" borderId="82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14" fillId="0" borderId="82" xfId="0" applyFont="1" applyBorder="1" applyAlignment="1">
      <alignment wrapText="1"/>
    </xf>
    <xf numFmtId="0" fontId="12" fillId="0" borderId="45" xfId="0" applyFont="1" applyFill="1" applyBorder="1" applyAlignment="1">
      <alignment wrapText="1"/>
    </xf>
    <xf numFmtId="0" fontId="42" fillId="0" borderId="17" xfId="0" applyFont="1" applyFill="1" applyBorder="1" applyAlignment="1">
      <alignment wrapText="1"/>
    </xf>
    <xf numFmtId="0" fontId="12" fillId="0" borderId="77" xfId="0" applyFont="1" applyBorder="1" applyAlignment="1">
      <alignment/>
    </xf>
    <xf numFmtId="3" fontId="12" fillId="0" borderId="77" xfId="0" applyNumberFormat="1" applyFont="1" applyBorder="1" applyAlignment="1">
      <alignment/>
    </xf>
    <xf numFmtId="0" fontId="12" fillId="0" borderId="133" xfId="0" applyFont="1" applyBorder="1" applyAlignment="1">
      <alignment/>
    </xf>
    <xf numFmtId="0" fontId="42" fillId="0" borderId="133" xfId="0" applyFont="1" applyFill="1" applyBorder="1" applyAlignment="1">
      <alignment wrapText="1"/>
    </xf>
    <xf numFmtId="3" fontId="12" fillId="0" borderId="133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0" fontId="42" fillId="0" borderId="15" xfId="0" applyFont="1" applyFill="1" applyBorder="1" applyAlignment="1">
      <alignment wrapText="1"/>
    </xf>
    <xf numFmtId="0" fontId="0" fillId="0" borderId="144" xfId="0" applyFont="1" applyBorder="1" applyAlignment="1">
      <alignment wrapText="1"/>
    </xf>
    <xf numFmtId="3" fontId="0" fillId="0" borderId="144" xfId="0" applyNumberFormat="1" applyFont="1" applyBorder="1" applyAlignment="1">
      <alignment horizontal="right" wrapText="1"/>
    </xf>
    <xf numFmtId="3" fontId="0" fillId="0" borderId="144" xfId="0" applyNumberFormat="1" applyFont="1" applyBorder="1" applyAlignment="1">
      <alignment horizontal="right"/>
    </xf>
    <xf numFmtId="0" fontId="0" fillId="0" borderId="134" xfId="0" applyFont="1" applyBorder="1" applyAlignment="1">
      <alignment wrapText="1"/>
    </xf>
    <xf numFmtId="0" fontId="42" fillId="0" borderId="135" xfId="0" applyFont="1" applyBorder="1" applyAlignment="1">
      <alignment/>
    </xf>
    <xf numFmtId="3" fontId="0" fillId="0" borderId="134" xfId="0" applyNumberFormat="1" applyFont="1" applyBorder="1" applyAlignment="1">
      <alignment horizontal="right" wrapText="1"/>
    </xf>
    <xf numFmtId="3" fontId="0" fillId="0" borderId="134" xfId="0" applyNumberFormat="1" applyFont="1" applyBorder="1" applyAlignment="1">
      <alignment horizontal="right"/>
    </xf>
    <xf numFmtId="0" fontId="42" fillId="0" borderId="133" xfId="0" applyFont="1" applyBorder="1" applyAlignment="1">
      <alignment/>
    </xf>
    <xf numFmtId="3" fontId="42" fillId="4" borderId="133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wrapText="1"/>
    </xf>
    <xf numFmtId="3" fontId="13" fillId="0" borderId="17" xfId="0" applyNumberFormat="1" applyFont="1" applyBorder="1" applyAlignment="1">
      <alignment horizontal="right" wrapText="1"/>
    </xf>
    <xf numFmtId="3" fontId="41" fillId="0" borderId="1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wrapText="1"/>
    </xf>
    <xf numFmtId="0" fontId="3" fillId="0" borderId="133" xfId="0" applyFont="1" applyFill="1" applyBorder="1" applyAlignment="1">
      <alignment/>
    </xf>
    <xf numFmtId="0" fontId="3" fillId="0" borderId="133" xfId="0" applyFont="1" applyFill="1" applyBorder="1" applyAlignment="1">
      <alignment/>
    </xf>
    <xf numFmtId="0" fontId="3" fillId="0" borderId="133" xfId="0" applyFont="1" applyFill="1" applyBorder="1" applyAlignment="1">
      <alignment wrapText="1"/>
    </xf>
    <xf numFmtId="3" fontId="3" fillId="0" borderId="13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133" xfId="0" applyFont="1" applyBorder="1" applyAlignment="1">
      <alignment/>
    </xf>
    <xf numFmtId="0" fontId="3" fillId="0" borderId="133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133" xfId="0" applyNumberFormat="1" applyFont="1" applyFill="1" applyBorder="1" applyAlignment="1">
      <alignment/>
    </xf>
    <xf numFmtId="0" fontId="3" fillId="0" borderId="133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0" fillId="3" borderId="133" xfId="0" applyFont="1" applyFill="1" applyBorder="1" applyAlignment="1">
      <alignment/>
    </xf>
    <xf numFmtId="0" fontId="13" fillId="2" borderId="133" xfId="0" applyFont="1" applyFill="1" applyBorder="1" applyAlignment="1">
      <alignment/>
    </xf>
    <xf numFmtId="0" fontId="12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0" fontId="0" fillId="4" borderId="82" xfId="0" applyFont="1" applyFill="1" applyBorder="1" applyAlignment="1">
      <alignment horizontal="left"/>
    </xf>
    <xf numFmtId="3" fontId="0" fillId="4" borderId="82" xfId="0" applyNumberFormat="1" applyFont="1" applyFill="1" applyBorder="1" applyAlignment="1">
      <alignment horizontal="right"/>
    </xf>
    <xf numFmtId="3" fontId="12" fillId="4" borderId="8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12" fillId="0" borderId="77" xfId="0" applyNumberFormat="1" applyFont="1" applyFill="1" applyBorder="1" applyAlignment="1">
      <alignment wrapText="1"/>
    </xf>
    <xf numFmtId="3" fontId="12" fillId="0" borderId="77" xfId="0" applyNumberFormat="1" applyFont="1" applyFill="1" applyBorder="1" applyAlignment="1">
      <alignment/>
    </xf>
    <xf numFmtId="0" fontId="0" fillId="0" borderId="133" xfId="0" applyFont="1" applyBorder="1" applyAlignment="1">
      <alignment/>
    </xf>
    <xf numFmtId="3" fontId="12" fillId="0" borderId="133" xfId="0" applyNumberFormat="1" applyFont="1" applyFill="1" applyBorder="1" applyAlignment="1">
      <alignment wrapText="1"/>
    </xf>
    <xf numFmtId="3" fontId="12" fillId="0" borderId="133" xfId="0" applyNumberFormat="1" applyFont="1" applyFill="1" applyBorder="1" applyAlignment="1">
      <alignment/>
    </xf>
    <xf numFmtId="3" fontId="12" fillId="0" borderId="145" xfId="0" applyNumberFormat="1" applyFont="1" applyBorder="1" applyAlignment="1">
      <alignment horizontal="right"/>
    </xf>
    <xf numFmtId="3" fontId="12" fillId="0" borderId="145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wrapText="1"/>
    </xf>
    <xf numFmtId="3" fontId="0" fillId="0" borderId="58" xfId="0" applyNumberFormat="1" applyFont="1" applyBorder="1" applyAlignment="1">
      <alignment/>
    </xf>
    <xf numFmtId="0" fontId="0" fillId="3" borderId="133" xfId="0" applyFont="1" applyFill="1" applyBorder="1" applyAlignment="1">
      <alignment horizontal="right"/>
    </xf>
    <xf numFmtId="0" fontId="13" fillId="3" borderId="133" xfId="0" applyFont="1" applyFill="1" applyBorder="1" applyAlignment="1">
      <alignment/>
    </xf>
    <xf numFmtId="0" fontId="0" fillId="0" borderId="133" xfId="0" applyFont="1" applyBorder="1" applyAlignment="1">
      <alignment wrapText="1"/>
    </xf>
    <xf numFmtId="3" fontId="0" fillId="0" borderId="133" xfId="0" applyNumberFormat="1" applyFont="1" applyBorder="1" applyAlignment="1">
      <alignment horizontal="right" wrapText="1"/>
    </xf>
    <xf numFmtId="3" fontId="0" fillId="0" borderId="133" xfId="0" applyNumberFormat="1" applyFont="1" applyFill="1" applyBorder="1" applyAlignment="1">
      <alignment horizontal="right" wrapText="1"/>
    </xf>
    <xf numFmtId="0" fontId="0" fillId="0" borderId="22" xfId="0" applyFont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3" fontId="12" fillId="0" borderId="77" xfId="0" applyNumberFormat="1" applyFont="1" applyFill="1" applyBorder="1" applyAlignment="1">
      <alignment horizontal="right"/>
    </xf>
    <xf numFmtId="0" fontId="0" fillId="0" borderId="109" xfId="0" applyFont="1" applyBorder="1" applyAlignment="1">
      <alignment/>
    </xf>
    <xf numFmtId="0" fontId="0" fillId="0" borderId="109" xfId="0" applyFont="1" applyFill="1" applyBorder="1" applyAlignment="1">
      <alignment wrapText="1"/>
    </xf>
    <xf numFmtId="3" fontId="0" fillId="0" borderId="109" xfId="0" applyNumberFormat="1" applyFont="1" applyBorder="1" applyAlignment="1">
      <alignment/>
    </xf>
    <xf numFmtId="0" fontId="14" fillId="0" borderId="74" xfId="0" applyFont="1" applyBorder="1" applyAlignment="1">
      <alignment/>
    </xf>
    <xf numFmtId="3" fontId="14" fillId="0" borderId="74" xfId="0" applyNumberFormat="1" applyFont="1" applyBorder="1" applyAlignment="1">
      <alignment/>
    </xf>
    <xf numFmtId="0" fontId="0" fillId="0" borderId="129" xfId="0" applyFont="1" applyFill="1" applyBorder="1" applyAlignment="1">
      <alignment wrapText="1"/>
    </xf>
    <xf numFmtId="3" fontId="0" fillId="0" borderId="129" xfId="0" applyNumberFormat="1" applyFont="1" applyFill="1" applyBorder="1" applyAlignment="1">
      <alignment horizontal="right"/>
    </xf>
    <xf numFmtId="0" fontId="13" fillId="4" borderId="146" xfId="0" applyFont="1" applyFill="1" applyBorder="1" applyAlignment="1">
      <alignment horizontal="left" vertical="center" wrapText="1"/>
    </xf>
    <xf numFmtId="0" fontId="13" fillId="4" borderId="8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54" fillId="0" borderId="0" xfId="0" applyFont="1" applyAlignment="1">
      <alignment wrapText="1"/>
    </xf>
    <xf numFmtId="0" fontId="3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39" fillId="4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3" fontId="34" fillId="0" borderId="0" xfId="0" applyNumberFormat="1" applyFont="1" applyAlignment="1">
      <alignment/>
    </xf>
    <xf numFmtId="0" fontId="13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147" xfId="0" applyFont="1" applyFill="1" applyBorder="1" applyAlignment="1">
      <alignment horizontal="left" vertical="center" wrapText="1"/>
    </xf>
    <xf numFmtId="0" fontId="0" fillId="0" borderId="87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5" fillId="4" borderId="147" xfId="0" applyFont="1" applyFill="1" applyBorder="1" applyAlignment="1">
      <alignment horizontal="left" vertical="center" wrapText="1"/>
    </xf>
    <xf numFmtId="0" fontId="5" fillId="4" borderId="87" xfId="0" applyFont="1" applyFill="1" applyBorder="1" applyAlignment="1">
      <alignment horizontal="left" vertical="center" wrapText="1"/>
    </xf>
    <xf numFmtId="0" fontId="5" fillId="4" borderId="67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5" fillId="0" borderId="0" xfId="0" applyFont="1" applyAlignment="1">
      <alignment/>
    </xf>
    <xf numFmtId="0" fontId="36" fillId="0" borderId="0" xfId="0" applyFont="1" applyAlignment="1">
      <alignment horizontal="left" wrapText="1"/>
    </xf>
    <xf numFmtId="0" fontId="13" fillId="4" borderId="67" xfId="0" applyFont="1" applyFill="1" applyBorder="1" applyAlignment="1">
      <alignment horizontal="left" vertical="center" wrapText="1"/>
    </xf>
    <xf numFmtId="0" fontId="13" fillId="4" borderId="148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1" fillId="0" borderId="14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51" fillId="0" borderId="14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0" fillId="0" borderId="149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13" fillId="4" borderId="147" xfId="15" applyNumberFormat="1" applyFont="1" applyFill="1" applyBorder="1" applyAlignment="1">
      <alignment horizontal="center"/>
    </xf>
    <xf numFmtId="0" fontId="0" fillId="0" borderId="87" xfId="0" applyBorder="1" applyAlignment="1">
      <alignment/>
    </xf>
    <xf numFmtId="0" fontId="0" fillId="0" borderId="67" xfId="0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3" fontId="3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mniejszenia-zwiększeni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4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5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6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7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8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9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0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1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2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3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4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5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6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7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8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9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0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1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2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3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4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5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6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7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8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9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0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1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2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3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4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5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6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7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8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9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0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1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2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3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4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5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6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7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8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9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0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1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2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3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4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5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6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7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8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9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0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1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2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3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4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5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6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7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8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9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0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1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2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3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4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5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6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7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8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9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0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1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2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3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4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5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6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7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8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9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0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1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2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3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4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5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6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7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8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9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0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1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2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3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4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5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6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7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8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9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0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1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2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3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4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5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6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7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8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9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0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1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2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3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4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5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6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7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8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9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0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1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2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3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4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5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6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7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8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9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0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1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2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3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4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5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6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7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8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9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0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1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2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3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4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5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6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7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8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9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0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1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2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3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4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5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6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7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8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9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0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1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2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3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4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5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6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7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8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9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0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1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2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3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4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5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6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7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8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9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0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1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2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3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4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5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6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7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8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9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0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1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2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3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4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5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6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7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8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9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0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1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2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3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4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5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6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7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8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9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0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1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2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3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4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5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6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7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8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9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0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1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2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3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4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5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6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7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8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9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0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1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2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3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4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5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6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7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8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9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0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1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2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3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4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5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6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7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8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9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0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1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2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3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4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5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6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7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8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9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0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1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2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3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4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5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6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7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8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9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0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1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2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3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4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5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6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7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8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9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0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1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2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3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4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5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6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7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8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9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0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1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2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3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4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5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6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7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8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9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0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1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2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3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4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5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6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7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8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9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0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1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2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3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4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5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6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7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8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9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0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1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2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3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4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5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6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7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8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9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0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1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2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3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4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5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6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7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8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9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0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1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2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3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4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5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6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7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8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9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0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1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2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3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4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5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6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7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8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9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0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1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2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3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4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5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6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7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8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9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0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1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2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3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4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5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6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7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8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9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0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1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2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3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4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5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6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7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8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9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0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1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2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3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4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5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6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7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8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9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0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1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2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3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4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5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6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7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8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9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0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1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2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3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4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5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6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7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8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9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0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1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2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3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4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5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6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7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8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9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0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1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2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3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4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5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6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7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8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9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0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1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2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3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4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5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6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7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8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9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0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1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2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3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4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5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6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7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8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9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0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1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2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3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4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5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6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7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8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9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0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1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2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3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4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5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6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7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8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9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0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1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2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3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4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5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6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7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8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9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0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1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2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3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4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5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6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7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8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9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0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1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2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3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4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5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6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7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8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9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0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1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2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3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4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5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6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7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8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9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0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1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2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3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4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5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6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7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8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9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0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1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2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3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4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5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6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7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8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9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0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1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2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3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4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5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6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1577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8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9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0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1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2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3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4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5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6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7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8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9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0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1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2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3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4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5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6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7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8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9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0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1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2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3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4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5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6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7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8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9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0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1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2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3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4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5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6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7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8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9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0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1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2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3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4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5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6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7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8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9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0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1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2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3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4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5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6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7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8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9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0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1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2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3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4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5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6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7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8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9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0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1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2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3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4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5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6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7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8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9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0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1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2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3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4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5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6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7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8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9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0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1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2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3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4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5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6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7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8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9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0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1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2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3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4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5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6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7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8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9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0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1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2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3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4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5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6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7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8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9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0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1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2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3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4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5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6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7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8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9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0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1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2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3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4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5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6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7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8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9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0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1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2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3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4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5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6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7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8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9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0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1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2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3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4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5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6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7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8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9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0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1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2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3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4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5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6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7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8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9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0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1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2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3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4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5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6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7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8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9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0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1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2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3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4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5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6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7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8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9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0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1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2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3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4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5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6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7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8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9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0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1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2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3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4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5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6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7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8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9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0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1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2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3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4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5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6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7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8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9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0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1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2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3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4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5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6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7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8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9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0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1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2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3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4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5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6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7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8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9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0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1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2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3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4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5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6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7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8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9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0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1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2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3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4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5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6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7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8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9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0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1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2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3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4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5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6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7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8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9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0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1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2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3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4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5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6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7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8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9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0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1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2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3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4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5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6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7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8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9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0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1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2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3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4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5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6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7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8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9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0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1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2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3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4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5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6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7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8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9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0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1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2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3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4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5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6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7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8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9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0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1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2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3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4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5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6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7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8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9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0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1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2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3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4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5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6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7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8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9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0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1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2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3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4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5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6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7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8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9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0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1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2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3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4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5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6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7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8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9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0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1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2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3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4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5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6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7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8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9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0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1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2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3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4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5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6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7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8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9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0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1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2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3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4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5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6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7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8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9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0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1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2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3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4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5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6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7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8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9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0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1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2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3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4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5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6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7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8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9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0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1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2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3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4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5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6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7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8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9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0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1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2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3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4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5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6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7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8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9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0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1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2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3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4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5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6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7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8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9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0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1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2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3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4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5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6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7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8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9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0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1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2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3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4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5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6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7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8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9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0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1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2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3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4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5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6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7" name="Line 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48" name="Line 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049" name="Line 2"/>
        <xdr:cNvSpPr>
          <a:spLocks/>
        </xdr:cNvSpPr>
      </xdr:nvSpPr>
      <xdr:spPr>
        <a:xfrm>
          <a:off x="38100" y="3600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0" name="Line 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051" name="Line 4"/>
        <xdr:cNvSpPr>
          <a:spLocks/>
        </xdr:cNvSpPr>
      </xdr:nvSpPr>
      <xdr:spPr>
        <a:xfrm>
          <a:off x="38100" y="3600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052" name="Line 5"/>
        <xdr:cNvSpPr>
          <a:spLocks/>
        </xdr:cNvSpPr>
      </xdr:nvSpPr>
      <xdr:spPr>
        <a:xfrm>
          <a:off x="38100" y="37604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3" name="Line 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54" name="Line 7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5" name="Line 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056" name="Line 9"/>
        <xdr:cNvSpPr>
          <a:spLocks/>
        </xdr:cNvSpPr>
      </xdr:nvSpPr>
      <xdr:spPr>
        <a:xfrm>
          <a:off x="38100" y="37604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057" name="Line 10"/>
        <xdr:cNvSpPr>
          <a:spLocks/>
        </xdr:cNvSpPr>
      </xdr:nvSpPr>
      <xdr:spPr>
        <a:xfrm>
          <a:off x="38100" y="37604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58" name="Line 11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59" name="Line 1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60" name="Line 1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61" name="Line 14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62" name="Line 15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2063" name="Line 16"/>
        <xdr:cNvSpPr>
          <a:spLocks/>
        </xdr:cNvSpPr>
      </xdr:nvSpPr>
      <xdr:spPr>
        <a:xfrm>
          <a:off x="38100" y="72885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2064" name="Line 17"/>
        <xdr:cNvSpPr>
          <a:spLocks/>
        </xdr:cNvSpPr>
      </xdr:nvSpPr>
      <xdr:spPr>
        <a:xfrm>
          <a:off x="38100" y="72885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2065" name="Line 18"/>
        <xdr:cNvSpPr>
          <a:spLocks/>
        </xdr:cNvSpPr>
      </xdr:nvSpPr>
      <xdr:spPr>
        <a:xfrm>
          <a:off x="38100" y="72885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282</xdr:row>
      <xdr:rowOff>0</xdr:rowOff>
    </xdr:from>
    <xdr:to>
      <xdr:col>1</xdr:col>
      <xdr:colOff>0</xdr:colOff>
      <xdr:row>282</xdr:row>
      <xdr:rowOff>0</xdr:rowOff>
    </xdr:to>
    <xdr:sp>
      <xdr:nvSpPr>
        <xdr:cNvPr id="2066" name="Line 19"/>
        <xdr:cNvSpPr>
          <a:spLocks/>
        </xdr:cNvSpPr>
      </xdr:nvSpPr>
      <xdr:spPr>
        <a:xfrm>
          <a:off x="38100" y="80857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282</xdr:row>
      <xdr:rowOff>0</xdr:rowOff>
    </xdr:from>
    <xdr:to>
      <xdr:col>1</xdr:col>
      <xdr:colOff>0</xdr:colOff>
      <xdr:row>282</xdr:row>
      <xdr:rowOff>0</xdr:rowOff>
    </xdr:to>
    <xdr:sp>
      <xdr:nvSpPr>
        <xdr:cNvPr id="2067" name="Line 20"/>
        <xdr:cNvSpPr>
          <a:spLocks/>
        </xdr:cNvSpPr>
      </xdr:nvSpPr>
      <xdr:spPr>
        <a:xfrm>
          <a:off x="38100" y="80857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282</xdr:row>
      <xdr:rowOff>0</xdr:rowOff>
    </xdr:from>
    <xdr:to>
      <xdr:col>1</xdr:col>
      <xdr:colOff>0</xdr:colOff>
      <xdr:row>282</xdr:row>
      <xdr:rowOff>0</xdr:rowOff>
    </xdr:to>
    <xdr:sp>
      <xdr:nvSpPr>
        <xdr:cNvPr id="2068" name="Line 21"/>
        <xdr:cNvSpPr>
          <a:spLocks/>
        </xdr:cNvSpPr>
      </xdr:nvSpPr>
      <xdr:spPr>
        <a:xfrm>
          <a:off x="38100" y="80857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69" name="Line 2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070" name="Line 23"/>
        <xdr:cNvSpPr>
          <a:spLocks/>
        </xdr:cNvSpPr>
      </xdr:nvSpPr>
      <xdr:spPr>
        <a:xfrm>
          <a:off x="38100" y="3600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1" name="Line 2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072" name="Line 25"/>
        <xdr:cNvSpPr>
          <a:spLocks/>
        </xdr:cNvSpPr>
      </xdr:nvSpPr>
      <xdr:spPr>
        <a:xfrm>
          <a:off x="38100" y="36004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073" name="Line 26"/>
        <xdr:cNvSpPr>
          <a:spLocks/>
        </xdr:cNvSpPr>
      </xdr:nvSpPr>
      <xdr:spPr>
        <a:xfrm>
          <a:off x="38100" y="37604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4" name="Line 2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75" name="Line 28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6" name="Line 2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077" name="Line 30"/>
        <xdr:cNvSpPr>
          <a:spLocks/>
        </xdr:cNvSpPr>
      </xdr:nvSpPr>
      <xdr:spPr>
        <a:xfrm>
          <a:off x="38100" y="37604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2419350</xdr:colOff>
      <xdr:row>147</xdr:row>
      <xdr:rowOff>0</xdr:rowOff>
    </xdr:to>
    <xdr:sp>
      <xdr:nvSpPr>
        <xdr:cNvPr id="2078" name="Line 31"/>
        <xdr:cNvSpPr>
          <a:spLocks/>
        </xdr:cNvSpPr>
      </xdr:nvSpPr>
      <xdr:spPr>
        <a:xfrm>
          <a:off x="0" y="37604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79" name="Line 3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80" name="Line 3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81" name="Line 34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82" name="Line 35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083" name="Line 36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2084" name="Line 37"/>
        <xdr:cNvSpPr>
          <a:spLocks/>
        </xdr:cNvSpPr>
      </xdr:nvSpPr>
      <xdr:spPr>
        <a:xfrm>
          <a:off x="38100" y="72885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2085" name="Line 38"/>
        <xdr:cNvSpPr>
          <a:spLocks/>
        </xdr:cNvSpPr>
      </xdr:nvSpPr>
      <xdr:spPr>
        <a:xfrm>
          <a:off x="38100" y="72885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2086" name="Line 39"/>
        <xdr:cNvSpPr>
          <a:spLocks/>
        </xdr:cNvSpPr>
      </xdr:nvSpPr>
      <xdr:spPr>
        <a:xfrm>
          <a:off x="38100" y="72885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282</xdr:row>
      <xdr:rowOff>0</xdr:rowOff>
    </xdr:from>
    <xdr:to>
      <xdr:col>1</xdr:col>
      <xdr:colOff>0</xdr:colOff>
      <xdr:row>282</xdr:row>
      <xdr:rowOff>0</xdr:rowOff>
    </xdr:to>
    <xdr:sp>
      <xdr:nvSpPr>
        <xdr:cNvPr id="2087" name="Line 40"/>
        <xdr:cNvSpPr>
          <a:spLocks/>
        </xdr:cNvSpPr>
      </xdr:nvSpPr>
      <xdr:spPr>
        <a:xfrm>
          <a:off x="38100" y="80857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282</xdr:row>
      <xdr:rowOff>0</xdr:rowOff>
    </xdr:from>
    <xdr:to>
      <xdr:col>1</xdr:col>
      <xdr:colOff>0</xdr:colOff>
      <xdr:row>282</xdr:row>
      <xdr:rowOff>0</xdr:rowOff>
    </xdr:to>
    <xdr:sp>
      <xdr:nvSpPr>
        <xdr:cNvPr id="2088" name="Line 41"/>
        <xdr:cNvSpPr>
          <a:spLocks/>
        </xdr:cNvSpPr>
      </xdr:nvSpPr>
      <xdr:spPr>
        <a:xfrm>
          <a:off x="38100" y="80857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282</xdr:row>
      <xdr:rowOff>0</xdr:rowOff>
    </xdr:from>
    <xdr:to>
      <xdr:col>1</xdr:col>
      <xdr:colOff>0</xdr:colOff>
      <xdr:row>282</xdr:row>
      <xdr:rowOff>0</xdr:rowOff>
    </xdr:to>
    <xdr:sp>
      <xdr:nvSpPr>
        <xdr:cNvPr id="2089" name="Line 42"/>
        <xdr:cNvSpPr>
          <a:spLocks/>
        </xdr:cNvSpPr>
      </xdr:nvSpPr>
      <xdr:spPr>
        <a:xfrm>
          <a:off x="38100" y="80857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90" name="Line 43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1" name="Line 4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2" name="Line 4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3" name="Line 4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4" name="Line 4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5" name="Line 4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096" name="Line 49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7" name="Line 5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8" name="Line 5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9" name="Line 5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00" name="Line 53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01" name="Line 54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2" name="Line 55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3" name="Line 56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4" name="Line 57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5" name="Line 58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6" name="Line 59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7" name="Line 60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8" name="Line 61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09" name="Line 6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10" name="Line 6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11" name="Line 64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2" name="Line 6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3" name="Line 6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4" name="Line 6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5" name="Line 6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6" name="Line 6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17" name="Line 70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8" name="Line 7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9" name="Line 7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20" name="Line 7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21" name="Line 74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22" name="Line 75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23" name="Line 76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24" name="Line 77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25" name="Line 78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26" name="Line 79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27" name="Line 80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28" name="Line 81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29" name="Line 8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30" name="Line 8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31" name="Line 84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32" name="Line 85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3" name="Line 8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4" name="Line 8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5" name="Line 8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6" name="Line 8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7" name="Line 9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38" name="Line 91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9" name="Line 9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0" name="Line 9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1" name="Line 9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42" name="Line 95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43" name="Line 96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44" name="Line 97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45" name="Line 98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46" name="Line 99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47" name="Line 100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48" name="Line 101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49" name="Line 10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50" name="Line 10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51" name="Line 104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52" name="Line 105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53" name="Line 106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4" name="Line 10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5" name="Line 10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6" name="Line 10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7" name="Line 11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8" name="Line 11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59" name="Line 112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0" name="Line 11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1" name="Line 11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2" name="Line 11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63" name="Line 116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64" name="Line 117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65" name="Line 118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66" name="Line 119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67" name="Line 120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68" name="Line 121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69" name="Line 12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70" name="Line 12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71" name="Line 124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72" name="Line 125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73" name="Line 126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74" name="Line 127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5" name="Line 12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6" name="Line 12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7" name="Line 13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8" name="Line 13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9" name="Line 13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80" name="Line 133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1" name="Line 13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2" name="Line 13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3" name="Line 13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84" name="Line 137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185" name="Line 138"/>
        <xdr:cNvSpPr>
          <a:spLocks/>
        </xdr:cNvSpPr>
      </xdr:nvSpPr>
      <xdr:spPr>
        <a:xfrm>
          <a:off x="38100" y="508444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86" name="Line 139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87" name="Line 140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88" name="Line 141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89" name="Line 14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90" name="Line 14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91" name="Line 144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92" name="Line 145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93" name="Line 146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94" name="Line 147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95" name="Line 148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6" name="Line 14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7" name="Line 15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8" name="Line 15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199" name="Line 152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0" name="Line 15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01" name="Line 154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2" name="Line 15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03" name="Line 156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04" name="Line 157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05" name="Line 158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06" name="Line 159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07" name="Line 160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08" name="Line 161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09" name="Line 162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10" name="Line 163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11" name="Line 164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12" name="Line 165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13" name="Line 166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14" name="Line 167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15" name="Line 168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16" name="Line 169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7" name="Line 17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8" name="Line 17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9" name="Line 17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20" name="Line 173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1" name="Line 17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22" name="Line 175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3" name="Line 17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24" name="Line 177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25" name="Line 178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26" name="Line 179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27" name="Line 180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28" name="Line 181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29" name="Line 182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30" name="Line 183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31" name="Line 184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32" name="Line 185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33" name="Line 186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34" name="Line 187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35" name="Line 188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36" name="Line 189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37" name="Line 190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8" name="Line 19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9" name="Line 19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0" name="Line 19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41" name="Line 194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2" name="Line 19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43" name="Line 196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4" name="Line 19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45" name="Line 198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46" name="Line 199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47" name="Line 200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48" name="Line 201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49" name="Line 202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50" name="Line 203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51" name="Line 204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52" name="Line 205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53" name="Line 206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54" name="Line 207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55" name="Line 208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56" name="Line 209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57" name="Line 210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58" name="Line 21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59" name="Line 21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0" name="Line 21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1" name="Line 21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62" name="Line 215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3" name="Line 21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64" name="Line 217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5" name="Line 21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66" name="Line 219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67" name="Line 220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68" name="Line 221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69" name="Line 222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70" name="Line 223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71" name="Line 224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72" name="Line 225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73" name="Line 226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74" name="Line 227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75" name="Line 228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76" name="Line 229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77" name="Line 230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78" name="Line 231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79" name="Line 23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0" name="Line 23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1" name="Line 23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2" name="Line 23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83" name="Line 236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4" name="Line 23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85" name="Line 238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6" name="Line 23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87" name="Line 240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0</xdr:rowOff>
    </xdr:from>
    <xdr:to>
      <xdr:col>1</xdr:col>
      <xdr:colOff>0</xdr:colOff>
      <xdr:row>206</xdr:row>
      <xdr:rowOff>0</xdr:rowOff>
    </xdr:to>
    <xdr:sp>
      <xdr:nvSpPr>
        <xdr:cNvPr id="2288" name="Line 241"/>
        <xdr:cNvSpPr>
          <a:spLocks/>
        </xdr:cNvSpPr>
      </xdr:nvSpPr>
      <xdr:spPr>
        <a:xfrm>
          <a:off x="38100" y="55340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89" name="Line 242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90" name="Line 243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91" name="Line 244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92" name="Line 245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404</xdr:row>
      <xdr:rowOff>0</xdr:rowOff>
    </xdr:from>
    <xdr:to>
      <xdr:col>1</xdr:col>
      <xdr:colOff>0</xdr:colOff>
      <xdr:row>404</xdr:row>
      <xdr:rowOff>0</xdr:rowOff>
    </xdr:to>
    <xdr:sp>
      <xdr:nvSpPr>
        <xdr:cNvPr id="2293" name="Line 246"/>
        <xdr:cNvSpPr>
          <a:spLocks/>
        </xdr:cNvSpPr>
      </xdr:nvSpPr>
      <xdr:spPr>
        <a:xfrm>
          <a:off x="38100" y="1141380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94" name="Line 247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95" name="Line 248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96" name="Line 249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97" name="Line 250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98" name="Line 251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299" name="Line 252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0" name="Line 253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1" name="Line 254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2" name="Line 255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3" name="Line 256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4" name="Line 257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5" name="Line 258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6" name="Line 259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7" name="Line 260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8" name="Line 261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09" name="Line 262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10" name="Line 263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11" name="Line 264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12" name="Line 265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13" name="Line 266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314" name="Line 267"/>
        <xdr:cNvSpPr>
          <a:spLocks/>
        </xdr:cNvSpPr>
      </xdr:nvSpPr>
      <xdr:spPr>
        <a:xfrm>
          <a:off x="38100" y="114385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15" name="Line 26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16" name="Line 26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17" name="Line 27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18" name="Line 27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19" name="Line 27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0" name="Line 27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1" name="Line 274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2" name="Line 275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3" name="Line 276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4" name="Line 277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5" name="Line 27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6" name="Line 27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7" name="Line 28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8" name="Line 28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29" name="Line 28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0" name="Line 28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1" name="Line 284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2" name="Line 285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3" name="Line 286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4" name="Line 287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5" name="Line 28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6" name="Line 28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7" name="Line 29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8" name="Line 29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39" name="Line 29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0" name="Line 29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1" name="Line 294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2" name="Line 295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3" name="Line 296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4" name="Line 297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5" name="Line 29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6" name="Line 29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7" name="Line 30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8" name="Line 30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49" name="Line 30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0" name="Line 30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1" name="Line 304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2" name="Line 305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3" name="Line 306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4" name="Line 307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5" name="Line 30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6" name="Line 30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7" name="Line 31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8" name="Line 31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59" name="Line 31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0" name="Line 31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1" name="Line 314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2" name="Line 315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3" name="Line 316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4" name="Line 317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5" name="Line 31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6" name="Line 31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7" name="Line 32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8" name="Line 32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69" name="Line 32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0" name="Line 32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1" name="Line 324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2" name="Line 325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3" name="Line 326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4" name="Line 327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5" name="Line 32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6" name="Line 32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7" name="Line 33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8" name="Line 33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79" name="Line 33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0" name="Line 33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1" name="Line 334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2" name="Line 335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3" name="Line 336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4" name="Line 337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5" name="Line 338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6" name="Line 339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7" name="Line 340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8" name="Line 341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89" name="Line 342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2390" name="Line 343"/>
        <xdr:cNvSpPr>
          <a:spLocks/>
        </xdr:cNvSpPr>
      </xdr:nvSpPr>
      <xdr:spPr>
        <a:xfrm>
          <a:off x="38100" y="56597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1" name="Line 43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2" name="Line 43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3" name="Line 43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4" name="Line 43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5" name="Line 43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6" name="Line 43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7" name="Line 44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8" name="Line 44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399" name="Line 44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0" name="Line 44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1" name="Line 44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2" name="Line 44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3" name="Line 44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4" name="Line 44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5" name="Line 44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6" name="Line 44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7" name="Line 45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8" name="Line 45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09" name="Line 45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0" name="Line 45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1" name="Line 45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2" name="Line 45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3" name="Line 45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4" name="Line 45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5" name="Line 45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6" name="Line 45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7" name="Line 46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8" name="Line 46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19" name="Line 46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0" name="Line 46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1" name="Line 46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2" name="Line 46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3" name="Line 46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4" name="Line 46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5" name="Line 46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6" name="Line 46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7" name="Line 47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8" name="Line 47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29" name="Line 47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0" name="Line 47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1" name="Line 47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2" name="Line 47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3" name="Line 47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4" name="Line 47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5" name="Line 47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6" name="Line 47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7" name="Line 48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8" name="Line 48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39" name="Line 48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0" name="Line 48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1" name="Line 48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2" name="Line 48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3" name="Line 48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4" name="Line 48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5" name="Line 48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6" name="Line 48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7" name="Line 49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8" name="Line 49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49" name="Line 49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0" name="Line 49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1" name="Line 49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2" name="Line 49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3" name="Line 49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4" name="Line 49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5" name="Line 49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6" name="Line 49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7" name="Line 50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8" name="Line 50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59" name="Line 50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0" name="Line 50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1" name="Line 50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2" name="Line 50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3" name="Line 50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4" name="Line 50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5" name="Line 50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6" name="Line 50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7" name="Line 51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8" name="Line 51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69" name="Line 51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0" name="Line 51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1" name="Line 514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2" name="Line 515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3" name="Line 516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4" name="Line 517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5" name="Line 518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6" name="Line 519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7" name="Line 520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8" name="Line 521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79" name="Line 522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236</xdr:row>
      <xdr:rowOff>0</xdr:rowOff>
    </xdr:from>
    <xdr:to>
      <xdr:col>1</xdr:col>
      <xdr:colOff>0</xdr:colOff>
      <xdr:row>236</xdr:row>
      <xdr:rowOff>0</xdr:rowOff>
    </xdr:to>
    <xdr:sp>
      <xdr:nvSpPr>
        <xdr:cNvPr id="2480" name="Line 523"/>
        <xdr:cNvSpPr>
          <a:spLocks/>
        </xdr:cNvSpPr>
      </xdr:nvSpPr>
      <xdr:spPr>
        <a:xfrm>
          <a:off x="38100" y="63827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1" name="Line 524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2" name="Line 525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3" name="Line 526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4" name="Line 527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5" name="Line 528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6" name="Line 529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7" name="Line 530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8" name="Line 531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89" name="Line 532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0" name="Line 533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1" name="Line 534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2" name="Line 535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3" name="Line 536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4" name="Line 537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5" name="Line 538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6" name="Line 539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7" name="Line 540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8" name="Line 541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499" name="Line 542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0" name="Line 543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1" name="Line 544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2" name="Line 545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3" name="Line 546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4" name="Line 547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5" name="Line 548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6" name="Line 549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7" name="Line 550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8" name="Line 551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09" name="Line 552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510" name="Line 553"/>
        <xdr:cNvSpPr>
          <a:spLocks/>
        </xdr:cNvSpPr>
      </xdr:nvSpPr>
      <xdr:spPr>
        <a:xfrm>
          <a:off x="38100" y="111747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1" name="Line 554"/>
        <xdr:cNvSpPr>
          <a:spLocks/>
        </xdr:cNvSpPr>
      </xdr:nvSpPr>
      <xdr:spPr>
        <a:xfrm>
          <a:off x="38100" y="42681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2" name="Line 555"/>
        <xdr:cNvSpPr>
          <a:spLocks/>
        </xdr:cNvSpPr>
      </xdr:nvSpPr>
      <xdr:spPr>
        <a:xfrm>
          <a:off x="38100" y="42681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3" name="Line 556"/>
        <xdr:cNvSpPr>
          <a:spLocks/>
        </xdr:cNvSpPr>
      </xdr:nvSpPr>
      <xdr:spPr>
        <a:xfrm>
          <a:off x="38100" y="42681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4" name="Line 557"/>
        <xdr:cNvSpPr>
          <a:spLocks/>
        </xdr:cNvSpPr>
      </xdr:nvSpPr>
      <xdr:spPr>
        <a:xfrm>
          <a:off x="38100" y="426815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15" name="Line 558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16" name="Line 559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17" name="Line 560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18" name="Line 561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19" name="Line 562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0" name="Line 563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1" name="Line 564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2" name="Line 565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3" name="Line 566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4" name="Line 567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5" name="Line 568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6" name="Line 569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7" name="Line 570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8" name="Line 571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29" name="Line 572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0" name="Line 573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1" name="Line 574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2" name="Line 575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3" name="Line 576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4" name="Line 577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5" name="Line 578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6" name="Line 579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7" name="Line 580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8" name="Line 581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39" name="Line 582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40" name="Line 583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41" name="Line 584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42" name="Line 585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43" name="Line 586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2544" name="Line 587"/>
        <xdr:cNvSpPr>
          <a:spLocks/>
        </xdr:cNvSpPr>
      </xdr:nvSpPr>
      <xdr:spPr>
        <a:xfrm>
          <a:off x="38100" y="110528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45" name="Line 58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46" name="Line 589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47" name="Line 590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48" name="Line 591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49" name="Line 592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0" name="Line 593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1" name="Line 594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2" name="Line 595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3" name="Line 596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4" name="Line 597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5" name="Line 59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6" name="Line 599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7" name="Line 600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8" name="Line 601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59" name="Line 602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0" name="Line 603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1" name="Line 604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2" name="Line 605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3" name="Line 606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4" name="Line 607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5" name="Line 60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6" name="Line 609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7" name="Line 610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8" name="Line 611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69" name="Line 612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0" name="Line 613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1" name="Line 614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2" name="Line 615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3" name="Line 616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4" name="Line 617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5" name="Line 61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6" name="Line 619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7" name="Line 620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8" name="Line 621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79" name="Line 622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0" name="Line 623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1" name="Line 624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2" name="Line 625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3" name="Line 626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4" name="Line 627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5" name="Line 62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6" name="Line 629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7" name="Line 630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8" name="Line 631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89" name="Line 632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0" name="Line 633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1" name="Line 634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2" name="Line 635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3" name="Line 636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4" name="Line 637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5" name="Line 63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6" name="Line 639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7" name="Line 640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8" name="Line 641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99" name="Line 642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0" name="Line 643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1" name="Line 644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2" name="Line 645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3" name="Line 646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4" name="Line 647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5" name="Line 64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6" name="Line 649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7" name="Line 650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8" name="Line 651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09" name="Line 652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10" name="Line 653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11" name="Line 654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12" name="Line 655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13" name="Line 656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14" name="Line 657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615" name="Line 658"/>
        <xdr:cNvSpPr>
          <a:spLocks/>
        </xdr:cNvSpPr>
      </xdr:nvSpPr>
      <xdr:spPr>
        <a:xfrm>
          <a:off x="38100" y="2286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16" name="Line 659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17" name="Line 660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18" name="Line 661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19" name="Line 662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0" name="Line 663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1" name="Line 664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2" name="Line 665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3" name="Line 666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4" name="Line 667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5" name="Line 668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6" name="Line 669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7" name="Line 670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8" name="Line 671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29" name="Line 672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30" name="Line 673"/>
        <xdr:cNvSpPr>
          <a:spLocks/>
        </xdr:cNvSpPr>
      </xdr:nvSpPr>
      <xdr:spPr>
        <a:xfrm>
          <a:off x="38100" y="14944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0</xdr:rowOff>
    </xdr:from>
    <xdr:to>
      <xdr:col>1</xdr:col>
      <xdr:colOff>0</xdr:colOff>
      <xdr:row>138</xdr:row>
      <xdr:rowOff>0</xdr:rowOff>
    </xdr:to>
    <xdr:sp>
      <xdr:nvSpPr>
        <xdr:cNvPr id="2631" name="Line 674"/>
        <xdr:cNvSpPr>
          <a:spLocks/>
        </xdr:cNvSpPr>
      </xdr:nvSpPr>
      <xdr:spPr>
        <a:xfrm>
          <a:off x="38100" y="35052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0</xdr:rowOff>
    </xdr:from>
    <xdr:to>
      <xdr:col>1</xdr:col>
      <xdr:colOff>0</xdr:colOff>
      <xdr:row>138</xdr:row>
      <xdr:rowOff>0</xdr:rowOff>
    </xdr:to>
    <xdr:sp>
      <xdr:nvSpPr>
        <xdr:cNvPr id="2632" name="Line 675"/>
        <xdr:cNvSpPr>
          <a:spLocks/>
        </xdr:cNvSpPr>
      </xdr:nvSpPr>
      <xdr:spPr>
        <a:xfrm>
          <a:off x="38100" y="35052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0</xdr:rowOff>
    </xdr:from>
    <xdr:to>
      <xdr:col>1</xdr:col>
      <xdr:colOff>0</xdr:colOff>
      <xdr:row>138</xdr:row>
      <xdr:rowOff>0</xdr:rowOff>
    </xdr:to>
    <xdr:sp>
      <xdr:nvSpPr>
        <xdr:cNvPr id="2633" name="Line 676"/>
        <xdr:cNvSpPr>
          <a:spLocks/>
        </xdr:cNvSpPr>
      </xdr:nvSpPr>
      <xdr:spPr>
        <a:xfrm>
          <a:off x="38100" y="35052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0</xdr:rowOff>
    </xdr:from>
    <xdr:to>
      <xdr:col>1</xdr:col>
      <xdr:colOff>0</xdr:colOff>
      <xdr:row>138</xdr:row>
      <xdr:rowOff>0</xdr:rowOff>
    </xdr:to>
    <xdr:sp>
      <xdr:nvSpPr>
        <xdr:cNvPr id="2634" name="Line 677"/>
        <xdr:cNvSpPr>
          <a:spLocks/>
        </xdr:cNvSpPr>
      </xdr:nvSpPr>
      <xdr:spPr>
        <a:xfrm>
          <a:off x="38100" y="35052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35" name="Line 67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36" name="Line 68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37" name="Line 68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38" name="Line 68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39" name="Line 68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0" name="Line 68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1" name="Line 68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2" name="Line 68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3" name="Line 68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4" name="Line 68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5" name="Line 68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6" name="Line 69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7" name="Line 69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8" name="Line 69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49" name="Line 69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0" name="Line 69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1" name="Line 69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2" name="Line 69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3" name="Line 69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4" name="Line 69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5" name="Line 69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6" name="Line 70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7" name="Line 70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8" name="Line 70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59" name="Line 70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0" name="Line 70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1" name="Line 70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2" name="Line 70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3" name="Line 70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4" name="Line 70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5" name="Line 70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6" name="Line 71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7" name="Line 71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8" name="Line 71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69" name="Line 71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0" name="Line 71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1" name="Line 71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2" name="Line 71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3" name="Line 71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4" name="Line 71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5" name="Line 71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6" name="Line 72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7" name="Line 72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8" name="Line 72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79" name="Line 72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0" name="Line 72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1" name="Line 72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2" name="Line 72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3" name="Line 72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4" name="Line 72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5" name="Line 72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6" name="Line 73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7" name="Line 73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8" name="Line 73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89" name="Line 73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0" name="Line 73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1" name="Line 73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2" name="Line 73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3" name="Line 73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4" name="Line 73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5" name="Line 73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6" name="Line 74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7" name="Line 74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8" name="Line 74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699" name="Line 74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0" name="Line 74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1" name="Line 74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2" name="Line 74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3" name="Line 74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4" name="Line 74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5" name="Line 74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6" name="Line 75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7" name="Line 75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8" name="Line 75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09" name="Line 75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0" name="Line 75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1" name="Line 75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2" name="Line 75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3" name="Line 75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4" name="Line 75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5" name="Line 759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6" name="Line 760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7" name="Line 761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8" name="Line 762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19" name="Line 763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20" name="Line 764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21" name="Line 765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22" name="Line 766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23" name="Line 767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1</xdr:col>
      <xdr:colOff>0</xdr:colOff>
      <xdr:row>244</xdr:row>
      <xdr:rowOff>0</xdr:rowOff>
    </xdr:to>
    <xdr:sp>
      <xdr:nvSpPr>
        <xdr:cNvPr id="2724" name="Line 768"/>
        <xdr:cNvSpPr>
          <a:spLocks/>
        </xdr:cNvSpPr>
      </xdr:nvSpPr>
      <xdr:spPr>
        <a:xfrm>
          <a:off x="38100" y="65874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325</xdr:row>
      <xdr:rowOff>0</xdr:rowOff>
    </xdr:from>
    <xdr:to>
      <xdr:col>1</xdr:col>
      <xdr:colOff>0</xdr:colOff>
      <xdr:row>325</xdr:row>
      <xdr:rowOff>0</xdr:rowOff>
    </xdr:to>
    <xdr:sp>
      <xdr:nvSpPr>
        <xdr:cNvPr id="2725" name="Line 769"/>
        <xdr:cNvSpPr>
          <a:spLocks/>
        </xdr:cNvSpPr>
      </xdr:nvSpPr>
      <xdr:spPr>
        <a:xfrm>
          <a:off x="38100" y="91535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325</xdr:row>
      <xdr:rowOff>0</xdr:rowOff>
    </xdr:from>
    <xdr:to>
      <xdr:col>1</xdr:col>
      <xdr:colOff>0</xdr:colOff>
      <xdr:row>325</xdr:row>
      <xdr:rowOff>0</xdr:rowOff>
    </xdr:to>
    <xdr:sp>
      <xdr:nvSpPr>
        <xdr:cNvPr id="2726" name="Line 770"/>
        <xdr:cNvSpPr>
          <a:spLocks/>
        </xdr:cNvSpPr>
      </xdr:nvSpPr>
      <xdr:spPr>
        <a:xfrm>
          <a:off x="38100" y="91535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325</xdr:row>
      <xdr:rowOff>0</xdr:rowOff>
    </xdr:from>
    <xdr:to>
      <xdr:col>1</xdr:col>
      <xdr:colOff>0</xdr:colOff>
      <xdr:row>325</xdr:row>
      <xdr:rowOff>0</xdr:rowOff>
    </xdr:to>
    <xdr:sp>
      <xdr:nvSpPr>
        <xdr:cNvPr id="2727" name="Line 771"/>
        <xdr:cNvSpPr>
          <a:spLocks/>
        </xdr:cNvSpPr>
      </xdr:nvSpPr>
      <xdr:spPr>
        <a:xfrm>
          <a:off x="38100" y="91535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325</xdr:row>
      <xdr:rowOff>0</xdr:rowOff>
    </xdr:from>
    <xdr:to>
      <xdr:col>1</xdr:col>
      <xdr:colOff>0</xdr:colOff>
      <xdr:row>325</xdr:row>
      <xdr:rowOff>0</xdr:rowOff>
    </xdr:to>
    <xdr:sp>
      <xdr:nvSpPr>
        <xdr:cNvPr id="2728" name="Line 772"/>
        <xdr:cNvSpPr>
          <a:spLocks/>
        </xdr:cNvSpPr>
      </xdr:nvSpPr>
      <xdr:spPr>
        <a:xfrm>
          <a:off x="38100" y="91535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325</xdr:row>
      <xdr:rowOff>0</xdr:rowOff>
    </xdr:from>
    <xdr:to>
      <xdr:col>1</xdr:col>
      <xdr:colOff>0</xdr:colOff>
      <xdr:row>325</xdr:row>
      <xdr:rowOff>0</xdr:rowOff>
    </xdr:to>
    <xdr:sp>
      <xdr:nvSpPr>
        <xdr:cNvPr id="2729" name="Line 773"/>
        <xdr:cNvSpPr>
          <a:spLocks/>
        </xdr:cNvSpPr>
      </xdr:nvSpPr>
      <xdr:spPr>
        <a:xfrm>
          <a:off x="38100" y="91535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325</xdr:row>
      <xdr:rowOff>0</xdr:rowOff>
    </xdr:from>
    <xdr:to>
      <xdr:col>0</xdr:col>
      <xdr:colOff>2419350</xdr:colOff>
      <xdr:row>325</xdr:row>
      <xdr:rowOff>0</xdr:rowOff>
    </xdr:to>
    <xdr:sp>
      <xdr:nvSpPr>
        <xdr:cNvPr id="2730" name="Line 774"/>
        <xdr:cNvSpPr>
          <a:spLocks/>
        </xdr:cNvSpPr>
      </xdr:nvSpPr>
      <xdr:spPr>
        <a:xfrm>
          <a:off x="0" y="91535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962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962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J86"/>
  <sheetViews>
    <sheetView zoomScale="90" zoomScaleNormal="90" zoomScaleSheetLayoutView="75" workbookViewId="0" topLeftCell="A70">
      <selection activeCell="C85" sqref="C85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66.625" style="22" customWidth="1"/>
    <col min="4" max="4" width="22.75390625" style="22" customWidth="1"/>
    <col min="5" max="6" width="19.00390625" style="22" customWidth="1"/>
    <col min="7" max="7" width="20.375" style="22" customWidth="1"/>
    <col min="8" max="8" width="12.00390625" style="22" customWidth="1"/>
    <col min="9" max="9" width="11.125" style="22" customWidth="1"/>
    <col min="10" max="10" width="15.25390625" style="22" customWidth="1"/>
    <col min="11" max="16384" width="9.125" style="22" customWidth="1"/>
  </cols>
  <sheetData>
    <row r="1" spans="2:6" ht="15" customHeight="1">
      <c r="B1" s="163"/>
      <c r="F1" s="22" t="s">
        <v>515</v>
      </c>
    </row>
    <row r="2" ht="15" customHeight="1">
      <c r="F2" s="22" t="s">
        <v>14</v>
      </c>
    </row>
    <row r="3" spans="3:6" ht="15" customHeight="1">
      <c r="C3" s="3" t="s">
        <v>210</v>
      </c>
      <c r="F3" s="22" t="s">
        <v>605</v>
      </c>
    </row>
    <row r="4" ht="15" customHeight="1">
      <c r="F4" s="22" t="s">
        <v>15</v>
      </c>
    </row>
    <row r="5" ht="14.25" customHeight="1" thickBot="1">
      <c r="G5" s="51" t="s">
        <v>606</v>
      </c>
    </row>
    <row r="6" spans="1:7" ht="67.5" customHeight="1" thickBot="1" thickTop="1">
      <c r="A6" s="164" t="s">
        <v>669</v>
      </c>
      <c r="B6" s="164" t="s">
        <v>611</v>
      </c>
      <c r="C6" s="87" t="s">
        <v>516</v>
      </c>
      <c r="D6" s="87" t="s">
        <v>212</v>
      </c>
      <c r="E6" s="87" t="s">
        <v>659</v>
      </c>
      <c r="F6" s="87" t="s">
        <v>660</v>
      </c>
      <c r="G6" s="86" t="s">
        <v>672</v>
      </c>
    </row>
    <row r="7" spans="1:7" s="166" customFormat="1" ht="15.75" customHeight="1" thickBot="1" thickTop="1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49">
        <v>7</v>
      </c>
    </row>
    <row r="8" spans="1:10" ht="21" customHeight="1" thickBot="1" thickTop="1">
      <c r="A8" s="167"/>
      <c r="B8" s="167"/>
      <c r="C8" s="168" t="s">
        <v>213</v>
      </c>
      <c r="D8" s="169">
        <v>921938575</v>
      </c>
      <c r="E8" s="169">
        <f>E10+E43</f>
        <v>3484450</v>
      </c>
      <c r="F8" s="169">
        <f>F10+F43</f>
        <v>660623</v>
      </c>
      <c r="G8" s="169">
        <f>D8+F8-E8</f>
        <v>919114748</v>
      </c>
      <c r="H8" s="47"/>
      <c r="I8" s="47"/>
      <c r="J8" s="47"/>
    </row>
    <row r="9" spans="1:7" ht="13.5" customHeight="1" thickTop="1">
      <c r="A9" s="53"/>
      <c r="B9" s="53"/>
      <c r="C9" s="53" t="s">
        <v>626</v>
      </c>
      <c r="D9" s="188"/>
      <c r="E9" s="188"/>
      <c r="F9" s="188"/>
      <c r="G9" s="170"/>
    </row>
    <row r="10" spans="1:10" ht="18.75" customHeight="1" thickBot="1">
      <c r="A10" s="53"/>
      <c r="B10" s="53"/>
      <c r="C10" s="171" t="s">
        <v>221</v>
      </c>
      <c r="D10" s="189">
        <v>622792127</v>
      </c>
      <c r="E10" s="189">
        <f>E11+E12+E13+E25+E26</f>
        <v>3457844</v>
      </c>
      <c r="F10" s="189">
        <f>F11+F12+F13+F25+F26</f>
        <v>221878</v>
      </c>
      <c r="G10" s="172">
        <f aca="true" t="shared" si="0" ref="G10:G74">D10+F10-E10</f>
        <v>619556161</v>
      </c>
      <c r="H10" s="47"/>
      <c r="J10" s="47"/>
    </row>
    <row r="11" spans="1:7" s="163" customFormat="1" ht="16.5" customHeight="1" thickBot="1">
      <c r="A11" s="70"/>
      <c r="B11" s="70"/>
      <c r="C11" s="173" t="s">
        <v>214</v>
      </c>
      <c r="D11" s="84">
        <v>403289173</v>
      </c>
      <c r="E11" s="84"/>
      <c r="F11" s="84"/>
      <c r="G11" s="174">
        <f t="shared" si="0"/>
        <v>403289173</v>
      </c>
    </row>
    <row r="12" spans="1:7" s="163" customFormat="1" ht="17.25" customHeight="1" thickBot="1" thickTop="1">
      <c r="A12" s="70"/>
      <c r="B12" s="70"/>
      <c r="C12" s="175" t="s">
        <v>215</v>
      </c>
      <c r="D12" s="113">
        <v>109011682</v>
      </c>
      <c r="E12" s="113"/>
      <c r="F12" s="113"/>
      <c r="G12" s="56">
        <f t="shared" si="0"/>
        <v>109011682</v>
      </c>
    </row>
    <row r="13" spans="1:7" s="163" customFormat="1" ht="18.75" customHeight="1" thickBot="1" thickTop="1">
      <c r="A13" s="70"/>
      <c r="B13" s="70"/>
      <c r="C13" s="175" t="s">
        <v>216</v>
      </c>
      <c r="D13" s="84">
        <v>32105400</v>
      </c>
      <c r="E13" s="84">
        <f>E14+E20</f>
        <v>114344</v>
      </c>
      <c r="F13" s="84">
        <f>F14+F20</f>
        <v>30240</v>
      </c>
      <c r="G13" s="176">
        <f t="shared" si="0"/>
        <v>32021296</v>
      </c>
    </row>
    <row r="14" spans="1:7" ht="21.75" customHeight="1" thickTop="1">
      <c r="A14" s="129">
        <v>801</v>
      </c>
      <c r="B14" s="57"/>
      <c r="C14" s="161" t="s">
        <v>647</v>
      </c>
      <c r="D14" s="162">
        <v>761821</v>
      </c>
      <c r="E14" s="1007"/>
      <c r="F14" s="1007">
        <f>F15+F17</f>
        <v>20240</v>
      </c>
      <c r="G14" s="72">
        <f t="shared" si="0"/>
        <v>782061</v>
      </c>
    </row>
    <row r="15" spans="1:7" ht="21.75" customHeight="1">
      <c r="A15" s="130"/>
      <c r="B15" s="159">
        <v>80101</v>
      </c>
      <c r="C15" s="336" t="s">
        <v>202</v>
      </c>
      <c r="D15" s="314">
        <v>737074</v>
      </c>
      <c r="E15" s="1008"/>
      <c r="F15" s="1008">
        <f>F16</f>
        <v>429</v>
      </c>
      <c r="G15" s="158">
        <f t="shared" si="0"/>
        <v>737503</v>
      </c>
    </row>
    <row r="16" spans="1:7" ht="21.75" customHeight="1">
      <c r="A16" s="130"/>
      <c r="B16" s="131"/>
      <c r="C16" s="1366" t="s">
        <v>914</v>
      </c>
      <c r="D16" s="1367">
        <v>41600</v>
      </c>
      <c r="E16" s="1368"/>
      <c r="F16" s="1368">
        <v>429</v>
      </c>
      <c r="G16" s="1369">
        <f t="shared" si="0"/>
        <v>42029</v>
      </c>
    </row>
    <row r="17" spans="1:7" ht="21.75" customHeight="1">
      <c r="A17" s="130"/>
      <c r="B17" s="159">
        <v>80195</v>
      </c>
      <c r="C17" s="336" t="s">
        <v>646</v>
      </c>
      <c r="D17" s="1008">
        <v>19947</v>
      </c>
      <c r="E17" s="1008"/>
      <c r="F17" s="1008">
        <f>SUM(F18:F19)</f>
        <v>19811</v>
      </c>
      <c r="G17" s="158">
        <f t="shared" si="0"/>
        <v>39758</v>
      </c>
    </row>
    <row r="18" spans="1:7" ht="38.25">
      <c r="A18" s="130"/>
      <c r="B18" s="152"/>
      <c r="C18" s="337" t="s">
        <v>11</v>
      </c>
      <c r="D18" s="1488"/>
      <c r="E18" s="1489"/>
      <c r="F18" s="1489">
        <v>13600</v>
      </c>
      <c r="G18" s="183">
        <f t="shared" si="0"/>
        <v>13600</v>
      </c>
    </row>
    <row r="19" spans="1:7" ht="25.5">
      <c r="A19" s="130"/>
      <c r="B19" s="159"/>
      <c r="C19" s="1490" t="s">
        <v>413</v>
      </c>
      <c r="D19" s="1487">
        <v>19947</v>
      </c>
      <c r="E19" s="1486"/>
      <c r="F19" s="1486">
        <v>6211</v>
      </c>
      <c r="G19" s="1380">
        <f>D19+F19-E19</f>
        <v>26158</v>
      </c>
    </row>
    <row r="20" spans="1:7" ht="21.75" customHeight="1">
      <c r="A20" s="129">
        <v>852</v>
      </c>
      <c r="B20" s="317"/>
      <c r="C20" s="441" t="s">
        <v>648</v>
      </c>
      <c r="D20" s="1007">
        <v>12050843</v>
      </c>
      <c r="E20" s="1007">
        <v>114344</v>
      </c>
      <c r="F20" s="1007">
        <v>10000</v>
      </c>
      <c r="G20" s="72">
        <f t="shared" si="0"/>
        <v>11946499</v>
      </c>
    </row>
    <row r="21" spans="1:7" ht="21.75" customHeight="1">
      <c r="A21" s="130"/>
      <c r="B21" s="159">
        <v>85214</v>
      </c>
      <c r="C21" s="336" t="s">
        <v>66</v>
      </c>
      <c r="D21" s="1008">
        <v>3757344</v>
      </c>
      <c r="E21" s="1008">
        <v>114344</v>
      </c>
      <c r="F21" s="1008"/>
      <c r="G21" s="158">
        <f t="shared" si="0"/>
        <v>3643000</v>
      </c>
    </row>
    <row r="22" spans="1:7" ht="25.5">
      <c r="A22" s="130"/>
      <c r="B22" s="131"/>
      <c r="C22" s="1366" t="s">
        <v>67</v>
      </c>
      <c r="D22" s="1367">
        <v>3757344</v>
      </c>
      <c r="E22" s="1368">
        <v>114344</v>
      </c>
      <c r="F22" s="1368"/>
      <c r="G22" s="1369">
        <f t="shared" si="0"/>
        <v>3643000</v>
      </c>
    </row>
    <row r="23" spans="1:7" ht="21.75" customHeight="1">
      <c r="A23" s="130"/>
      <c r="B23" s="159">
        <v>85219</v>
      </c>
      <c r="C23" s="336" t="s">
        <v>813</v>
      </c>
      <c r="D23" s="1008">
        <v>4462433</v>
      </c>
      <c r="E23" s="1008"/>
      <c r="F23" s="1008">
        <v>10000</v>
      </c>
      <c r="G23" s="158">
        <f t="shared" si="0"/>
        <v>4472433</v>
      </c>
    </row>
    <row r="24" spans="1:7" ht="25.5">
      <c r="A24" s="130"/>
      <c r="B24" s="61"/>
      <c r="C24" s="1366" t="s">
        <v>63</v>
      </c>
      <c r="D24" s="1367">
        <v>408750</v>
      </c>
      <c r="E24" s="1368"/>
      <c r="F24" s="1368">
        <v>10000</v>
      </c>
      <c r="G24" s="1369">
        <f t="shared" si="0"/>
        <v>418750</v>
      </c>
    </row>
    <row r="25" spans="1:7" s="163" customFormat="1" ht="29.25" customHeight="1" thickBot="1">
      <c r="A25" s="186"/>
      <c r="B25" s="186"/>
      <c r="C25" s="1375" t="s">
        <v>217</v>
      </c>
      <c r="D25" s="1376">
        <v>858936</v>
      </c>
      <c r="E25" s="1376"/>
      <c r="F25" s="1376"/>
      <c r="G25" s="1377">
        <f t="shared" si="0"/>
        <v>858936</v>
      </c>
    </row>
    <row r="26" spans="1:7" s="163" customFormat="1" ht="29.25" customHeight="1" thickTop="1">
      <c r="A26" s="1491"/>
      <c r="B26" s="1491"/>
      <c r="C26" s="1492" t="s">
        <v>218</v>
      </c>
      <c r="D26" s="1493">
        <v>77526936</v>
      </c>
      <c r="E26" s="1493">
        <f>E28+E31+E34</f>
        <v>3343500</v>
      </c>
      <c r="F26" s="1493">
        <f>F28+F31+F34</f>
        <v>191638</v>
      </c>
      <c r="G26" s="1494">
        <f t="shared" si="0"/>
        <v>74375074</v>
      </c>
    </row>
    <row r="27" spans="1:7" s="163" customFormat="1" ht="17.25" customHeight="1">
      <c r="A27" s="1525"/>
      <c r="B27" s="1525"/>
      <c r="C27" s="1526"/>
      <c r="D27" s="1527"/>
      <c r="E27" s="1527"/>
      <c r="F27" s="1527"/>
      <c r="G27" s="1528"/>
    </row>
    <row r="28" spans="1:7" ht="21.75" customHeight="1">
      <c r="A28" s="573" t="s">
        <v>862</v>
      </c>
      <c r="B28" s="573"/>
      <c r="C28" s="77" t="s">
        <v>863</v>
      </c>
      <c r="D28" s="178"/>
      <c r="E28" s="178"/>
      <c r="F28" s="178">
        <v>4573</v>
      </c>
      <c r="G28" s="72">
        <f t="shared" si="0"/>
        <v>4573</v>
      </c>
    </row>
    <row r="29" spans="1:7" ht="21.75" customHeight="1">
      <c r="A29" s="179"/>
      <c r="B29" s="1063" t="s">
        <v>896</v>
      </c>
      <c r="C29" s="62" t="s">
        <v>646</v>
      </c>
      <c r="D29" s="1015"/>
      <c r="E29" s="1015"/>
      <c r="F29" s="1015">
        <v>4573</v>
      </c>
      <c r="G29" s="298">
        <f t="shared" si="0"/>
        <v>4573</v>
      </c>
    </row>
    <row r="30" spans="1:7" ht="29.25" customHeight="1">
      <c r="A30" s="1361"/>
      <c r="B30" s="159"/>
      <c r="C30" s="1370" t="s">
        <v>414</v>
      </c>
      <c r="D30" s="1379"/>
      <c r="E30" s="1379"/>
      <c r="F30" s="1379">
        <v>4573</v>
      </c>
      <c r="G30" s="1380">
        <f t="shared" si="0"/>
        <v>4573</v>
      </c>
    </row>
    <row r="31" spans="1:7" ht="19.5" customHeight="1">
      <c r="A31" s="129">
        <v>851</v>
      </c>
      <c r="B31" s="129"/>
      <c r="C31" s="77" t="s">
        <v>650</v>
      </c>
      <c r="D31" s="178">
        <v>3682</v>
      </c>
      <c r="E31" s="178"/>
      <c r="F31" s="178">
        <v>3297</v>
      </c>
      <c r="G31" s="72">
        <f t="shared" si="0"/>
        <v>6979</v>
      </c>
    </row>
    <row r="32" spans="1:7" ht="18" customHeight="1">
      <c r="A32" s="179"/>
      <c r="B32" s="1023">
        <v>85195</v>
      </c>
      <c r="C32" s="336" t="s">
        <v>646</v>
      </c>
      <c r="D32" s="181">
        <v>3682</v>
      </c>
      <c r="E32" s="181"/>
      <c r="F32" s="181">
        <v>3297</v>
      </c>
      <c r="G32" s="158">
        <f t="shared" si="0"/>
        <v>6979</v>
      </c>
    </row>
    <row r="33" spans="1:7" ht="29.25" customHeight="1">
      <c r="A33" s="130"/>
      <c r="B33" s="61"/>
      <c r="C33" s="1370" t="s">
        <v>70</v>
      </c>
      <c r="D33" s="1371">
        <v>3682</v>
      </c>
      <c r="E33" s="1371"/>
      <c r="F33" s="1371">
        <v>3297</v>
      </c>
      <c r="G33" s="1369">
        <f t="shared" si="0"/>
        <v>6979</v>
      </c>
    </row>
    <row r="34" spans="1:7" ht="19.5" customHeight="1">
      <c r="A34" s="129">
        <v>852</v>
      </c>
      <c r="B34" s="129"/>
      <c r="C34" s="77" t="s">
        <v>648</v>
      </c>
      <c r="D34" s="178">
        <v>75012600</v>
      </c>
      <c r="E34" s="178">
        <f>E35+E37+E39+E41</f>
        <v>3343500</v>
      </c>
      <c r="F34" s="178">
        <f>F35+F37+F39+F41</f>
        <v>183768</v>
      </c>
      <c r="G34" s="72">
        <f t="shared" si="0"/>
        <v>71852868</v>
      </c>
    </row>
    <row r="35" spans="1:7" ht="18" customHeight="1">
      <c r="A35" s="179"/>
      <c r="B35" s="1023">
        <v>85203</v>
      </c>
      <c r="C35" s="336" t="s">
        <v>73</v>
      </c>
      <c r="D35" s="181">
        <v>806000</v>
      </c>
      <c r="E35" s="181"/>
      <c r="F35" s="181">
        <v>3000</v>
      </c>
      <c r="G35" s="158">
        <f t="shared" si="0"/>
        <v>809000</v>
      </c>
    </row>
    <row r="36" spans="1:7" ht="29.25" customHeight="1">
      <c r="A36" s="130"/>
      <c r="B36" s="131"/>
      <c r="C36" s="1370" t="s">
        <v>63</v>
      </c>
      <c r="D36" s="1371"/>
      <c r="E36" s="1371"/>
      <c r="F36" s="1371">
        <v>3000</v>
      </c>
      <c r="G36" s="1369">
        <f t="shared" si="0"/>
        <v>3000</v>
      </c>
    </row>
    <row r="37" spans="1:7" ht="24" customHeight="1">
      <c r="A37" s="130"/>
      <c r="B37" s="1023">
        <v>85212</v>
      </c>
      <c r="C37" s="336" t="s">
        <v>415</v>
      </c>
      <c r="D37" s="181">
        <v>63922000</v>
      </c>
      <c r="E37" s="181">
        <f>E38</f>
        <v>2643500</v>
      </c>
      <c r="F37" s="181"/>
      <c r="G37" s="158">
        <f t="shared" si="0"/>
        <v>61278500</v>
      </c>
    </row>
    <row r="38" spans="1:7" ht="29.25" customHeight="1">
      <c r="A38" s="130"/>
      <c r="B38" s="131"/>
      <c r="C38" s="1370" t="s">
        <v>416</v>
      </c>
      <c r="D38" s="1369">
        <v>63922000</v>
      </c>
      <c r="E38" s="1371">
        <v>2643500</v>
      </c>
      <c r="F38" s="1371"/>
      <c r="G38" s="1369">
        <f t="shared" si="0"/>
        <v>61278500</v>
      </c>
    </row>
    <row r="39" spans="1:7" ht="24" customHeight="1">
      <c r="A39" s="130"/>
      <c r="B39" s="1023">
        <v>85214</v>
      </c>
      <c r="C39" s="336" t="s">
        <v>66</v>
      </c>
      <c r="D39" s="181">
        <v>8122000</v>
      </c>
      <c r="E39" s="181">
        <v>700000</v>
      </c>
      <c r="F39" s="181"/>
      <c r="G39" s="158">
        <f t="shared" si="0"/>
        <v>7422000</v>
      </c>
    </row>
    <row r="40" spans="1:7" ht="29.25" customHeight="1">
      <c r="A40" s="130"/>
      <c r="B40" s="131"/>
      <c r="C40" s="1370" t="s">
        <v>67</v>
      </c>
      <c r="D40" s="1371">
        <v>8122000</v>
      </c>
      <c r="E40" s="1371">
        <v>700000</v>
      </c>
      <c r="F40" s="1371"/>
      <c r="G40" s="1369">
        <f t="shared" si="0"/>
        <v>7422000</v>
      </c>
    </row>
    <row r="41" spans="1:7" ht="18" customHeight="1">
      <c r="A41" s="130"/>
      <c r="B41" s="1023">
        <v>85278</v>
      </c>
      <c r="C41" s="336" t="s">
        <v>74</v>
      </c>
      <c r="D41" s="181">
        <v>69500</v>
      </c>
      <c r="E41" s="181"/>
      <c r="F41" s="181">
        <f>F42</f>
        <v>180768</v>
      </c>
      <c r="G41" s="158">
        <f t="shared" si="0"/>
        <v>250268</v>
      </c>
    </row>
    <row r="42" spans="1:7" ht="29.25" customHeight="1">
      <c r="A42" s="130"/>
      <c r="B42" s="61"/>
      <c r="C42" s="1370" t="s">
        <v>417</v>
      </c>
      <c r="D42" s="1371">
        <v>69500</v>
      </c>
      <c r="E42" s="1371"/>
      <c r="F42" s="1371">
        <v>180768</v>
      </c>
      <c r="G42" s="1369">
        <f t="shared" si="0"/>
        <v>250268</v>
      </c>
    </row>
    <row r="43" spans="1:7" s="163" customFormat="1" ht="20.25" customHeight="1" thickBot="1">
      <c r="A43" s="53"/>
      <c r="B43" s="53"/>
      <c r="C43" s="110" t="s">
        <v>280</v>
      </c>
      <c r="D43" s="172">
        <v>299146448</v>
      </c>
      <c r="E43" s="172">
        <f>E44+E45+E46+E63</f>
        <v>26606</v>
      </c>
      <c r="F43" s="172">
        <f>F44+F45+F46+F63</f>
        <v>438745</v>
      </c>
      <c r="G43" s="172">
        <f t="shared" si="0"/>
        <v>299558587</v>
      </c>
    </row>
    <row r="44" spans="1:7" s="163" customFormat="1" ht="19.5" customHeight="1" thickBot="1">
      <c r="A44" s="70"/>
      <c r="B44" s="70"/>
      <c r="C44" s="440" t="s">
        <v>214</v>
      </c>
      <c r="D44" s="113">
        <v>72360210</v>
      </c>
      <c r="E44" s="113"/>
      <c r="F44" s="113"/>
      <c r="G44" s="82">
        <f t="shared" si="0"/>
        <v>72360210</v>
      </c>
    </row>
    <row r="45" spans="1:7" s="163" customFormat="1" ht="20.25" customHeight="1" thickBot="1" thickTop="1">
      <c r="A45" s="70"/>
      <c r="B45" s="70"/>
      <c r="C45" s="1372" t="s">
        <v>219</v>
      </c>
      <c r="D45" s="1373">
        <v>134984634</v>
      </c>
      <c r="E45" s="1373"/>
      <c r="F45" s="1373"/>
      <c r="G45" s="1374">
        <f t="shared" si="0"/>
        <v>134984634</v>
      </c>
    </row>
    <row r="46" spans="1:7" s="163" customFormat="1" ht="18.75" customHeight="1" thickBot="1" thickTop="1">
      <c r="A46" s="70"/>
      <c r="B46" s="70"/>
      <c r="C46" s="175" t="s">
        <v>216</v>
      </c>
      <c r="D46" s="113">
        <v>62711495</v>
      </c>
      <c r="E46" s="113"/>
      <c r="F46" s="113">
        <f>F47+F52+F59</f>
        <v>238692</v>
      </c>
      <c r="G46" s="82">
        <f t="shared" si="0"/>
        <v>62950187</v>
      </c>
    </row>
    <row r="47" spans="1:7" ht="19.5" customHeight="1" thickTop="1">
      <c r="A47" s="129">
        <v>801</v>
      </c>
      <c r="B47" s="57"/>
      <c r="C47" s="161" t="s">
        <v>647</v>
      </c>
      <c r="D47" s="162">
        <v>84660</v>
      </c>
      <c r="E47" s="1007"/>
      <c r="F47" s="1007">
        <v>16062</v>
      </c>
      <c r="G47" s="72">
        <f t="shared" si="0"/>
        <v>100722</v>
      </c>
    </row>
    <row r="48" spans="1:7" ht="18" customHeight="1">
      <c r="A48" s="130"/>
      <c r="B48" s="159">
        <v>80102</v>
      </c>
      <c r="C48" s="336" t="s">
        <v>271</v>
      </c>
      <c r="D48" s="314"/>
      <c r="E48" s="1008"/>
      <c r="F48" s="1008">
        <v>1462</v>
      </c>
      <c r="G48" s="158">
        <f t="shared" si="0"/>
        <v>1462</v>
      </c>
    </row>
    <row r="49" spans="1:7" ht="25.5">
      <c r="A49" s="130"/>
      <c r="B49" s="131"/>
      <c r="C49" s="1366" t="s">
        <v>915</v>
      </c>
      <c r="D49" s="1367"/>
      <c r="E49" s="1368"/>
      <c r="F49" s="1368">
        <v>1462</v>
      </c>
      <c r="G49" s="1369">
        <f t="shared" si="0"/>
        <v>1462</v>
      </c>
    </row>
    <row r="50" spans="1:7" ht="18" customHeight="1">
      <c r="A50" s="130"/>
      <c r="B50" s="159">
        <v>80195</v>
      </c>
      <c r="C50" s="336" t="s">
        <v>646</v>
      </c>
      <c r="D50" s="1008"/>
      <c r="E50" s="1008"/>
      <c r="F50" s="1008">
        <v>14600</v>
      </c>
      <c r="G50" s="158">
        <f t="shared" si="0"/>
        <v>14600</v>
      </c>
    </row>
    <row r="51" spans="1:7" ht="26.25" customHeight="1">
      <c r="A51" s="1361"/>
      <c r="B51" s="159"/>
      <c r="C51" s="1366" t="s">
        <v>11</v>
      </c>
      <c r="D51" s="1367"/>
      <c r="E51" s="1368"/>
      <c r="F51" s="1368">
        <v>14600</v>
      </c>
      <c r="G51" s="1369">
        <f t="shared" si="0"/>
        <v>14600</v>
      </c>
    </row>
    <row r="52" spans="1:7" ht="19.5" customHeight="1">
      <c r="A52" s="573">
        <v>852</v>
      </c>
      <c r="B52" s="317"/>
      <c r="C52" s="77" t="s">
        <v>648</v>
      </c>
      <c r="D52" s="178">
        <v>10040370</v>
      </c>
      <c r="E52" s="178"/>
      <c r="F52" s="178">
        <v>179430</v>
      </c>
      <c r="G52" s="72">
        <f t="shared" si="0"/>
        <v>10219800</v>
      </c>
    </row>
    <row r="53" spans="1:7" ht="18" customHeight="1">
      <c r="A53" s="1529"/>
      <c r="B53" s="131">
        <v>85201</v>
      </c>
      <c r="C53" s="62" t="s">
        <v>298</v>
      </c>
      <c r="D53" s="1015">
        <v>810560</v>
      </c>
      <c r="E53" s="1015"/>
      <c r="F53" s="1015">
        <v>77680</v>
      </c>
      <c r="G53" s="298">
        <f t="shared" si="0"/>
        <v>888240</v>
      </c>
    </row>
    <row r="54" spans="1:7" ht="29.25" customHeight="1">
      <c r="A54" s="130"/>
      <c r="B54" s="159"/>
      <c r="C54" s="1378" t="s">
        <v>12</v>
      </c>
      <c r="D54" s="1379"/>
      <c r="E54" s="1379"/>
      <c r="F54" s="1379">
        <v>77680</v>
      </c>
      <c r="G54" s="1380">
        <f t="shared" si="0"/>
        <v>77680</v>
      </c>
    </row>
    <row r="55" spans="1:7" ht="18" customHeight="1">
      <c r="A55" s="130"/>
      <c r="B55" s="159">
        <v>85202</v>
      </c>
      <c r="C55" s="63" t="s">
        <v>220</v>
      </c>
      <c r="D55" s="181">
        <v>9097810</v>
      </c>
      <c r="E55" s="181"/>
      <c r="F55" s="181">
        <v>100000</v>
      </c>
      <c r="G55" s="158">
        <f t="shared" si="0"/>
        <v>9197810</v>
      </c>
    </row>
    <row r="56" spans="1:7" ht="29.25" customHeight="1">
      <c r="A56" s="130"/>
      <c r="B56" s="131"/>
      <c r="C56" s="653" t="s">
        <v>10</v>
      </c>
      <c r="D56" s="1371">
        <v>290000</v>
      </c>
      <c r="E56" s="1371"/>
      <c r="F56" s="1371">
        <v>100000</v>
      </c>
      <c r="G56" s="1369">
        <f t="shared" si="0"/>
        <v>390000</v>
      </c>
    </row>
    <row r="57" spans="1:7" ht="27.75" customHeight="1">
      <c r="A57" s="130"/>
      <c r="B57" s="159">
        <v>85220</v>
      </c>
      <c r="C57" s="236" t="s">
        <v>586</v>
      </c>
      <c r="D57" s="181">
        <v>129000</v>
      </c>
      <c r="E57" s="181"/>
      <c r="F57" s="181">
        <v>1750</v>
      </c>
      <c r="G57" s="158">
        <f t="shared" si="0"/>
        <v>130750</v>
      </c>
    </row>
    <row r="58" spans="1:7" ht="29.25" customHeight="1">
      <c r="A58" s="1361"/>
      <c r="B58" s="159"/>
      <c r="C58" s="1370" t="s">
        <v>63</v>
      </c>
      <c r="D58" s="1371">
        <v>3000</v>
      </c>
      <c r="E58" s="1371"/>
      <c r="F58" s="1371">
        <v>1750</v>
      </c>
      <c r="G58" s="1369">
        <f t="shared" si="0"/>
        <v>4750</v>
      </c>
    </row>
    <row r="59" spans="1:7" ht="19.5" customHeight="1">
      <c r="A59" s="573">
        <v>854</v>
      </c>
      <c r="B59" s="317"/>
      <c r="C59" s="77" t="s">
        <v>649</v>
      </c>
      <c r="D59" s="178">
        <v>2162644</v>
      </c>
      <c r="E59" s="178"/>
      <c r="F59" s="178">
        <v>43200</v>
      </c>
      <c r="G59" s="72">
        <f t="shared" si="0"/>
        <v>2205844</v>
      </c>
    </row>
    <row r="60" spans="1:7" ht="18" customHeight="1">
      <c r="A60" s="179"/>
      <c r="B60" s="159">
        <v>85415</v>
      </c>
      <c r="C60" s="62" t="s">
        <v>201</v>
      </c>
      <c r="D60" s="181">
        <v>68400</v>
      </c>
      <c r="E60" s="181"/>
      <c r="F60" s="181">
        <v>43200</v>
      </c>
      <c r="G60" s="158">
        <f t="shared" si="0"/>
        <v>111600</v>
      </c>
    </row>
    <row r="61" spans="1:7" ht="29.25" customHeight="1">
      <c r="A61" s="130"/>
      <c r="B61" s="61"/>
      <c r="C61" s="1370" t="s">
        <v>913</v>
      </c>
      <c r="D61" s="1371">
        <v>68400</v>
      </c>
      <c r="E61" s="1371"/>
      <c r="F61" s="1371">
        <v>43200</v>
      </c>
      <c r="G61" s="1369">
        <f t="shared" si="0"/>
        <v>111600</v>
      </c>
    </row>
    <row r="62" spans="1:7" ht="28.5" customHeight="1" thickBot="1">
      <c r="A62" s="70"/>
      <c r="B62" s="70"/>
      <c r="C62" s="1477" t="s">
        <v>217</v>
      </c>
      <c r="D62" s="1478">
        <v>6532338</v>
      </c>
      <c r="E62" s="1478"/>
      <c r="F62" s="1478"/>
      <c r="G62" s="1479">
        <f t="shared" si="0"/>
        <v>6532338</v>
      </c>
    </row>
    <row r="63" spans="1:8" ht="30" customHeight="1" thickBot="1" thickTop="1">
      <c r="A63" s="71"/>
      <c r="B63" s="71"/>
      <c r="C63" s="447" t="s">
        <v>356</v>
      </c>
      <c r="D63" s="113">
        <v>22557771</v>
      </c>
      <c r="E63" s="113">
        <f>E64+E69+E74+E80</f>
        <v>26606</v>
      </c>
      <c r="F63" s="113">
        <f>F64+F69+F74+F80+F77</f>
        <v>200053</v>
      </c>
      <c r="G63" s="82">
        <f t="shared" si="0"/>
        <v>22731218</v>
      </c>
      <c r="H63" s="47"/>
    </row>
    <row r="64" spans="1:7" ht="19.5" customHeight="1" thickTop="1">
      <c r="A64" s="573">
        <v>710</v>
      </c>
      <c r="B64" s="317"/>
      <c r="C64" s="441" t="s">
        <v>258</v>
      </c>
      <c r="D64" s="178">
        <v>614235</v>
      </c>
      <c r="E64" s="178">
        <v>11337</v>
      </c>
      <c r="F64" s="178">
        <v>14337</v>
      </c>
      <c r="G64" s="72">
        <f t="shared" si="0"/>
        <v>617235</v>
      </c>
    </row>
    <row r="65" spans="1:7" ht="18" customHeight="1">
      <c r="A65" s="179"/>
      <c r="B65" s="159">
        <v>71015</v>
      </c>
      <c r="C65" s="160" t="s">
        <v>79</v>
      </c>
      <c r="D65" s="181">
        <v>502898</v>
      </c>
      <c r="E65" s="181"/>
      <c r="F65" s="181">
        <v>14337</v>
      </c>
      <c r="G65" s="158">
        <f t="shared" si="0"/>
        <v>517235</v>
      </c>
    </row>
    <row r="66" spans="1:7" ht="25.5" customHeight="1">
      <c r="A66" s="130"/>
      <c r="B66" s="131"/>
      <c r="C66" s="1362" t="s">
        <v>80</v>
      </c>
      <c r="D66" s="1371">
        <v>502898</v>
      </c>
      <c r="E66" s="1371"/>
      <c r="F66" s="1371">
        <v>14337</v>
      </c>
      <c r="G66" s="1369">
        <f t="shared" si="0"/>
        <v>517235</v>
      </c>
    </row>
    <row r="67" spans="1:7" ht="18" customHeight="1">
      <c r="A67" s="130"/>
      <c r="B67" s="159">
        <v>71095</v>
      </c>
      <c r="C67" s="1211" t="s">
        <v>646</v>
      </c>
      <c r="D67" s="181">
        <v>11337</v>
      </c>
      <c r="E67" s="181">
        <v>11337</v>
      </c>
      <c r="F67" s="181"/>
      <c r="G67" s="158">
        <f t="shared" si="0"/>
        <v>0</v>
      </c>
    </row>
    <row r="68" spans="1:7" ht="25.5" customHeight="1">
      <c r="A68" s="1361"/>
      <c r="B68" s="159"/>
      <c r="C68" s="1362" t="s">
        <v>81</v>
      </c>
      <c r="D68" s="1371">
        <v>11337</v>
      </c>
      <c r="E68" s="1371">
        <v>11337</v>
      </c>
      <c r="F68" s="1371"/>
      <c r="G68" s="1369">
        <f t="shared" si="0"/>
        <v>0</v>
      </c>
    </row>
    <row r="69" spans="1:7" ht="19.5" customHeight="1">
      <c r="A69" s="573">
        <v>750</v>
      </c>
      <c r="B69" s="317"/>
      <c r="C69" s="441" t="s">
        <v>651</v>
      </c>
      <c r="D69" s="178">
        <v>916641</v>
      </c>
      <c r="E69" s="178">
        <v>15269</v>
      </c>
      <c r="F69" s="178">
        <v>15269</v>
      </c>
      <c r="G69" s="72">
        <f t="shared" si="0"/>
        <v>916641</v>
      </c>
    </row>
    <row r="70" spans="1:7" ht="18" customHeight="1">
      <c r="A70" s="179"/>
      <c r="B70" s="159">
        <v>75011</v>
      </c>
      <c r="C70" s="160" t="s">
        <v>77</v>
      </c>
      <c r="D70" s="181">
        <v>810641</v>
      </c>
      <c r="E70" s="181"/>
      <c r="F70" s="181">
        <v>15269</v>
      </c>
      <c r="G70" s="158">
        <f t="shared" si="0"/>
        <v>825910</v>
      </c>
    </row>
    <row r="71" spans="1:7" ht="25.5" customHeight="1">
      <c r="A71" s="130"/>
      <c r="B71" s="131"/>
      <c r="C71" s="1362" t="s">
        <v>78</v>
      </c>
      <c r="D71" s="1371">
        <v>810641</v>
      </c>
      <c r="E71" s="1371"/>
      <c r="F71" s="1371">
        <v>15269</v>
      </c>
      <c r="G71" s="1369">
        <f t="shared" si="0"/>
        <v>825910</v>
      </c>
    </row>
    <row r="72" spans="1:7" ht="18" customHeight="1">
      <c r="A72" s="130"/>
      <c r="B72" s="159">
        <v>75045</v>
      </c>
      <c r="C72" s="1211" t="s">
        <v>886</v>
      </c>
      <c r="D72" s="181">
        <v>106000</v>
      </c>
      <c r="E72" s="181">
        <v>15269</v>
      </c>
      <c r="F72" s="181"/>
      <c r="G72" s="158">
        <f t="shared" si="0"/>
        <v>90731</v>
      </c>
    </row>
    <row r="73" spans="1:7" ht="18" customHeight="1">
      <c r="A73" s="1361"/>
      <c r="B73" s="159"/>
      <c r="C73" s="1362" t="s">
        <v>887</v>
      </c>
      <c r="D73" s="1371">
        <v>106000</v>
      </c>
      <c r="E73" s="1371">
        <v>15269</v>
      </c>
      <c r="F73" s="1371"/>
      <c r="G73" s="1369">
        <f t="shared" si="0"/>
        <v>90731</v>
      </c>
    </row>
    <row r="74" spans="1:7" ht="19.5" customHeight="1">
      <c r="A74" s="573">
        <v>754</v>
      </c>
      <c r="B74" s="317"/>
      <c r="C74" s="441" t="s">
        <v>641</v>
      </c>
      <c r="D74" s="178">
        <v>12959000</v>
      </c>
      <c r="E74" s="178"/>
      <c r="F74" s="178">
        <v>21200</v>
      </c>
      <c r="G74" s="72">
        <f t="shared" si="0"/>
        <v>12980200</v>
      </c>
    </row>
    <row r="75" spans="1:7" ht="18" customHeight="1">
      <c r="A75" s="179"/>
      <c r="B75" s="159">
        <v>75411</v>
      </c>
      <c r="C75" s="160" t="s">
        <v>806</v>
      </c>
      <c r="D75" s="181">
        <v>12959000</v>
      </c>
      <c r="E75" s="181"/>
      <c r="F75" s="181">
        <v>21200</v>
      </c>
      <c r="G75" s="158">
        <f aca="true" t="shared" si="1" ref="G75:G82">D75+F75-E75</f>
        <v>12980200</v>
      </c>
    </row>
    <row r="76" spans="1:7" ht="26.25" customHeight="1">
      <c r="A76" s="1361"/>
      <c r="B76" s="159"/>
      <c r="C76" s="1362" t="s">
        <v>900</v>
      </c>
      <c r="D76" s="1371">
        <v>12959000</v>
      </c>
      <c r="E76" s="1371"/>
      <c r="F76" s="1371">
        <v>21200</v>
      </c>
      <c r="G76" s="1369">
        <f t="shared" si="1"/>
        <v>12980200</v>
      </c>
    </row>
    <row r="77" spans="1:7" ht="19.5" customHeight="1">
      <c r="A77" s="129">
        <v>851</v>
      </c>
      <c r="B77" s="57"/>
      <c r="C77" s="77" t="s">
        <v>650</v>
      </c>
      <c r="D77" s="178">
        <v>3307000</v>
      </c>
      <c r="E77" s="178"/>
      <c r="F77" s="178">
        <v>120000</v>
      </c>
      <c r="G77" s="72">
        <f t="shared" si="1"/>
        <v>3427000</v>
      </c>
    </row>
    <row r="78" spans="1:7" ht="18" customHeight="1">
      <c r="A78" s="179"/>
      <c r="B78" s="159">
        <v>85141</v>
      </c>
      <c r="C78" s="62" t="s">
        <v>891</v>
      </c>
      <c r="D78" s="181">
        <v>120000</v>
      </c>
      <c r="E78" s="181"/>
      <c r="F78" s="181">
        <v>120000</v>
      </c>
      <c r="G78" s="158">
        <f t="shared" si="1"/>
        <v>240000</v>
      </c>
    </row>
    <row r="79" spans="1:7" ht="29.25" customHeight="1">
      <c r="A79" s="1361"/>
      <c r="B79" s="159"/>
      <c r="C79" s="1370" t="s">
        <v>874</v>
      </c>
      <c r="D79" s="1371">
        <v>120000</v>
      </c>
      <c r="E79" s="1371"/>
      <c r="F79" s="1371">
        <v>120000</v>
      </c>
      <c r="G79" s="1369">
        <f t="shared" si="1"/>
        <v>240000</v>
      </c>
    </row>
    <row r="80" spans="1:7" ht="19.5" customHeight="1">
      <c r="A80" s="573">
        <v>853</v>
      </c>
      <c r="B80" s="317"/>
      <c r="C80" s="441" t="s">
        <v>691</v>
      </c>
      <c r="D80" s="178">
        <v>633654</v>
      </c>
      <c r="E80" s="178"/>
      <c r="F80" s="178">
        <v>29247</v>
      </c>
      <c r="G80" s="72">
        <f t="shared" si="1"/>
        <v>662901</v>
      </c>
    </row>
    <row r="81" spans="1:7" ht="18" customHeight="1">
      <c r="A81" s="179"/>
      <c r="B81" s="159">
        <v>85334</v>
      </c>
      <c r="C81" s="160" t="s">
        <v>908</v>
      </c>
      <c r="D81" s="181">
        <v>64654</v>
      </c>
      <c r="E81" s="181"/>
      <c r="F81" s="181">
        <v>29247</v>
      </c>
      <c r="G81" s="158">
        <f t="shared" si="1"/>
        <v>93901</v>
      </c>
    </row>
    <row r="82" spans="1:7" ht="18" customHeight="1">
      <c r="A82" s="1361"/>
      <c r="B82" s="159"/>
      <c r="C82" s="1362" t="s">
        <v>909</v>
      </c>
      <c r="D82" s="1371">
        <v>64654</v>
      </c>
      <c r="E82" s="1371"/>
      <c r="F82" s="1371">
        <v>29247</v>
      </c>
      <c r="G82" s="1369">
        <f t="shared" si="1"/>
        <v>93901</v>
      </c>
    </row>
    <row r="83" ht="26.25" customHeight="1"/>
    <row r="84" ht="21" customHeight="1"/>
    <row r="85" spans="3:7" ht="15">
      <c r="C85" s="1" t="s">
        <v>446</v>
      </c>
      <c r="F85" s="1" t="s">
        <v>447</v>
      </c>
      <c r="G85" s="1"/>
    </row>
    <row r="86" spans="3:7" ht="14.25" customHeight="1">
      <c r="C86" s="1634" t="s">
        <v>449</v>
      </c>
      <c r="F86" s="48" t="s">
        <v>448</v>
      </c>
      <c r="G86" s="1"/>
    </row>
  </sheetData>
  <printOptions horizontalCentered="1"/>
  <pageMargins left="0.4724409448818898" right="0.4724409448818898" top="0.66" bottom="0.52" header="0.5118110236220472" footer="0.34"/>
  <pageSetup firstPageNumber="6" useFirstPageNumber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L630"/>
  <sheetViews>
    <sheetView zoomScaleSheetLayoutView="75" workbookViewId="0" topLeftCell="A9">
      <pane ySplit="1590" topLeftCell="BM574" activePane="bottomLeft" state="split"/>
      <selection pane="topLeft" activeCell="S199" sqref="S199"/>
      <selection pane="bottomLeft" activeCell="I593" sqref="I593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7.625" style="22" customWidth="1"/>
    <col min="4" max="4" width="57.00390625" style="22" customWidth="1"/>
    <col min="5" max="8" width="20.75390625" style="22" customWidth="1"/>
    <col min="9" max="9" width="11.875" style="22" customWidth="1"/>
    <col min="10" max="10" width="12.375" style="22" customWidth="1"/>
    <col min="11" max="11" width="13.375" style="22" customWidth="1"/>
    <col min="12" max="12" width="11.00390625" style="22" customWidth="1"/>
    <col min="13" max="16384" width="9.125" style="22" customWidth="1"/>
  </cols>
  <sheetData>
    <row r="1" ht="18" customHeight="1">
      <c r="G1" s="49" t="s">
        <v>303</v>
      </c>
    </row>
    <row r="2" ht="18" customHeight="1">
      <c r="G2" s="22" t="s">
        <v>14</v>
      </c>
    </row>
    <row r="3" spans="5:7" ht="18" customHeight="1">
      <c r="E3" s="47"/>
      <c r="G3" s="22" t="s">
        <v>605</v>
      </c>
    </row>
    <row r="4" spans="4:7" ht="18" customHeight="1">
      <c r="D4" s="4" t="s">
        <v>668</v>
      </c>
      <c r="G4" s="22" t="s">
        <v>15</v>
      </c>
    </row>
    <row r="5" ht="18" customHeight="1">
      <c r="D5" s="4"/>
    </row>
    <row r="6" ht="17.25" customHeight="1" thickBot="1">
      <c r="H6" s="51" t="s">
        <v>606</v>
      </c>
    </row>
    <row r="7" spans="1:8" ht="79.5" customHeight="1" thickBot="1" thickTop="1">
      <c r="A7" s="85" t="s">
        <v>669</v>
      </c>
      <c r="B7" s="85" t="s">
        <v>611</v>
      </c>
      <c r="C7" s="86" t="s">
        <v>655</v>
      </c>
      <c r="D7" s="86" t="s">
        <v>670</v>
      </c>
      <c r="E7" s="87" t="s">
        <v>671</v>
      </c>
      <c r="F7" s="86" t="s">
        <v>659</v>
      </c>
      <c r="G7" s="86" t="s">
        <v>660</v>
      </c>
      <c r="H7" s="86" t="s">
        <v>672</v>
      </c>
    </row>
    <row r="8" spans="1:10" ht="18.75" customHeight="1" thickBot="1" thickTop="1">
      <c r="A8" s="16">
        <v>1</v>
      </c>
      <c r="B8" s="16">
        <v>2</v>
      </c>
      <c r="C8" s="16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J8" s="47"/>
    </row>
    <row r="9" spans="1:12" ht="21.75" customHeight="1" thickBot="1" thickTop="1">
      <c r="A9" s="70"/>
      <c r="B9" s="89"/>
      <c r="C9" s="89"/>
      <c r="D9" s="90" t="s">
        <v>625</v>
      </c>
      <c r="E9" s="91">
        <f>E11+E475+E499</f>
        <v>966641222</v>
      </c>
      <c r="F9" s="91">
        <f>F11+F475+F499</f>
        <v>9653783</v>
      </c>
      <c r="G9" s="91">
        <f>G11+G475+G499</f>
        <v>6829956</v>
      </c>
      <c r="H9" s="91">
        <f>E9+G9-F9</f>
        <v>963817395</v>
      </c>
      <c r="I9" s="47"/>
      <c r="J9" s="47"/>
      <c r="K9" s="47"/>
      <c r="L9" s="47"/>
    </row>
    <row r="10" spans="1:10" ht="21" customHeight="1">
      <c r="A10" s="53"/>
      <c r="B10" s="53"/>
      <c r="C10" s="53"/>
      <c r="D10" s="53" t="s">
        <v>626</v>
      </c>
      <c r="E10" s="92"/>
      <c r="F10" s="92"/>
      <c r="G10" s="92"/>
      <c r="H10" s="92"/>
      <c r="I10" s="47"/>
      <c r="J10" s="93"/>
    </row>
    <row r="11" spans="1:12" ht="21" customHeight="1" thickBot="1">
      <c r="A11" s="71"/>
      <c r="B11" s="71"/>
      <c r="C11" s="71"/>
      <c r="D11" s="76" t="s">
        <v>640</v>
      </c>
      <c r="E11" s="73">
        <f>846573418+14000000</f>
        <v>860573418</v>
      </c>
      <c r="F11" s="94">
        <f>F45+F66+F45+F418+F85+F278+F38+F247+F12+F453+F16+F458+F344+F49+F335+F62</f>
        <v>6224609</v>
      </c>
      <c r="G11" s="94">
        <f>G12+G16+G38+G45+G49+G62+G66+G85+G247+G278+G335+G344+G418+G453+G458</f>
        <v>6379197</v>
      </c>
      <c r="H11" s="94">
        <f aca="true" t="shared" si="0" ref="H11:H74">E11+G11-F11</f>
        <v>860728006</v>
      </c>
      <c r="I11" s="47"/>
      <c r="J11" s="47"/>
      <c r="L11" s="47"/>
    </row>
    <row r="12" spans="1:12" ht="19.5" customHeight="1" thickTop="1">
      <c r="A12" s="129" t="s">
        <v>862</v>
      </c>
      <c r="B12" s="74"/>
      <c r="C12" s="74"/>
      <c r="D12" s="74" t="s">
        <v>863</v>
      </c>
      <c r="E12" s="59">
        <v>11000</v>
      </c>
      <c r="F12" s="60"/>
      <c r="G12" s="60">
        <f>G13</f>
        <v>3000</v>
      </c>
      <c r="H12" s="60">
        <f t="shared" si="0"/>
        <v>14000</v>
      </c>
      <c r="I12" s="47"/>
      <c r="J12" s="47"/>
      <c r="L12" s="47"/>
    </row>
    <row r="13" spans="1:12" s="99" customFormat="1" ht="19.5" customHeight="1">
      <c r="A13" s="383"/>
      <c r="B13" s="858" t="s">
        <v>864</v>
      </c>
      <c r="C13" s="62"/>
      <c r="D13" s="62" t="s">
        <v>865</v>
      </c>
      <c r="E13" s="106">
        <v>11000</v>
      </c>
      <c r="F13" s="106"/>
      <c r="G13" s="106">
        <f>G14</f>
        <v>3000</v>
      </c>
      <c r="H13" s="106">
        <f t="shared" si="0"/>
        <v>14000</v>
      </c>
      <c r="I13" s="107"/>
      <c r="J13" s="107"/>
      <c r="L13" s="107"/>
    </row>
    <row r="14" spans="1:12" s="99" customFormat="1" ht="19.5" customHeight="1">
      <c r="A14" s="146"/>
      <c r="B14" s="151"/>
      <c r="C14" s="83"/>
      <c r="D14" s="80" t="s">
        <v>866</v>
      </c>
      <c r="E14" s="112">
        <v>11000</v>
      </c>
      <c r="F14" s="112"/>
      <c r="G14" s="112">
        <f>G15</f>
        <v>3000</v>
      </c>
      <c r="H14" s="112">
        <f t="shared" si="0"/>
        <v>14000</v>
      </c>
      <c r="I14" s="107"/>
      <c r="J14" s="107"/>
      <c r="L14" s="107"/>
    </row>
    <row r="15" spans="1:12" s="118" customFormat="1" ht="30" customHeight="1">
      <c r="A15" s="145"/>
      <c r="B15" s="125"/>
      <c r="C15" s="231">
        <v>2850</v>
      </c>
      <c r="D15" s="232" t="s">
        <v>867</v>
      </c>
      <c r="E15" s="116">
        <v>11000</v>
      </c>
      <c r="F15" s="116"/>
      <c r="G15" s="116">
        <v>3000</v>
      </c>
      <c r="H15" s="116">
        <f t="shared" si="0"/>
        <v>14000</v>
      </c>
      <c r="I15" s="117"/>
      <c r="J15" s="117"/>
      <c r="L15" s="117"/>
    </row>
    <row r="16" spans="1:12" ht="19.5" customHeight="1">
      <c r="A16" s="74">
        <v>600</v>
      </c>
      <c r="B16" s="74"/>
      <c r="C16" s="74"/>
      <c r="D16" s="74" t="s">
        <v>644</v>
      </c>
      <c r="E16" s="59">
        <f>127715751+14000000</f>
        <v>141715751</v>
      </c>
      <c r="F16" s="60">
        <f>F17+F29</f>
        <v>1648000</v>
      </c>
      <c r="G16" s="60">
        <f>G17+G29</f>
        <v>1648000</v>
      </c>
      <c r="H16" s="60">
        <f t="shared" si="0"/>
        <v>141715751</v>
      </c>
      <c r="I16" s="47"/>
      <c r="J16" s="47"/>
      <c r="L16" s="47"/>
    </row>
    <row r="17" spans="1:12" s="99" customFormat="1" ht="19.5" customHeight="1">
      <c r="A17" s="383"/>
      <c r="B17" s="62">
        <v>60015</v>
      </c>
      <c r="C17" s="62"/>
      <c r="D17" s="62" t="s">
        <v>208</v>
      </c>
      <c r="E17" s="106">
        <v>88114856</v>
      </c>
      <c r="F17" s="106">
        <f>F18+F21</f>
        <v>1121510</v>
      </c>
      <c r="G17" s="106">
        <f>G18+G21</f>
        <v>1348000</v>
      </c>
      <c r="H17" s="106">
        <f t="shared" si="0"/>
        <v>88341346</v>
      </c>
      <c r="I17" s="107"/>
      <c r="J17" s="107"/>
      <c r="L17" s="107"/>
    </row>
    <row r="18" spans="1:12" s="99" customFormat="1" ht="19.5" customHeight="1">
      <c r="A18" s="146"/>
      <c r="B18" s="151"/>
      <c r="C18" s="83"/>
      <c r="D18" s="80" t="s">
        <v>898</v>
      </c>
      <c r="E18" s="112">
        <v>7833911</v>
      </c>
      <c r="F18" s="112">
        <f>SUM(F19:F20)</f>
        <v>291510</v>
      </c>
      <c r="G18" s="112"/>
      <c r="H18" s="112">
        <f t="shared" si="0"/>
        <v>7542401</v>
      </c>
      <c r="I18" s="107"/>
      <c r="J18" s="107"/>
      <c r="L18" s="107"/>
    </row>
    <row r="19" spans="1:12" s="118" customFormat="1" ht="19.5" customHeight="1">
      <c r="A19" s="145"/>
      <c r="B19" s="125"/>
      <c r="C19" s="231">
        <v>4300</v>
      </c>
      <c r="D19" s="232" t="s">
        <v>664</v>
      </c>
      <c r="E19" s="116">
        <v>7513911</v>
      </c>
      <c r="F19" s="116">
        <v>278214</v>
      </c>
      <c r="G19" s="116"/>
      <c r="H19" s="116">
        <f t="shared" si="0"/>
        <v>7235697</v>
      </c>
      <c r="I19" s="117"/>
      <c r="J19" s="117"/>
      <c r="L19" s="117"/>
    </row>
    <row r="20" spans="1:12" s="118" customFormat="1" ht="19.5" customHeight="1">
      <c r="A20" s="145"/>
      <c r="B20" s="125"/>
      <c r="C20" s="231">
        <v>4590</v>
      </c>
      <c r="D20" s="232" t="s">
        <v>899</v>
      </c>
      <c r="E20" s="310">
        <v>20000</v>
      </c>
      <c r="F20" s="310">
        <v>13296</v>
      </c>
      <c r="G20" s="310"/>
      <c r="H20" s="310">
        <f t="shared" si="0"/>
        <v>6704</v>
      </c>
      <c r="I20" s="117"/>
      <c r="J20" s="117"/>
      <c r="L20" s="117"/>
    </row>
    <row r="21" spans="1:12" s="79" customFormat="1" ht="18.75" customHeight="1">
      <c r="A21" s="65"/>
      <c r="B21" s="52"/>
      <c r="C21" s="52"/>
      <c r="D21" s="438" t="s">
        <v>130</v>
      </c>
      <c r="E21" s="576">
        <v>78732641</v>
      </c>
      <c r="F21" s="439">
        <f>F26+F28</f>
        <v>830000</v>
      </c>
      <c r="G21" s="439">
        <f>G26</f>
        <v>1348000</v>
      </c>
      <c r="H21" s="439">
        <f t="shared" si="0"/>
        <v>79250641</v>
      </c>
      <c r="I21" s="107"/>
      <c r="J21" s="107"/>
      <c r="L21" s="78"/>
    </row>
    <row r="22" spans="1:12" s="403" customFormat="1" ht="29.25" customHeight="1">
      <c r="A22" s="145"/>
      <c r="B22" s="125"/>
      <c r="C22" s="125"/>
      <c r="D22" s="400" t="s">
        <v>88</v>
      </c>
      <c r="E22" s="332">
        <v>4257000</v>
      </c>
      <c r="F22" s="466"/>
      <c r="G22" s="466">
        <v>1248000</v>
      </c>
      <c r="H22" s="466">
        <f t="shared" si="0"/>
        <v>5505000</v>
      </c>
      <c r="I22" s="117"/>
      <c r="J22" s="117"/>
      <c r="L22" s="404"/>
    </row>
    <row r="23" spans="1:12" s="403" customFormat="1" ht="27" customHeight="1">
      <c r="A23" s="145"/>
      <c r="B23" s="125"/>
      <c r="C23" s="125"/>
      <c r="D23" s="400" t="s">
        <v>17</v>
      </c>
      <c r="E23" s="332">
        <v>3400000</v>
      </c>
      <c r="F23" s="466"/>
      <c r="G23" s="466">
        <v>100000</v>
      </c>
      <c r="H23" s="466">
        <f t="shared" si="0"/>
        <v>3500000</v>
      </c>
      <c r="I23" s="117"/>
      <c r="J23" s="117"/>
      <c r="L23" s="404"/>
    </row>
    <row r="24" spans="1:12" s="403" customFormat="1" ht="16.5" customHeight="1">
      <c r="A24" s="145"/>
      <c r="B24" s="125"/>
      <c r="C24" s="125"/>
      <c r="D24" s="400" t="s">
        <v>901</v>
      </c>
      <c r="E24" s="332">
        <v>1900000</v>
      </c>
      <c r="F24" s="466">
        <v>570000</v>
      </c>
      <c r="G24" s="466"/>
      <c r="H24" s="466">
        <f t="shared" si="0"/>
        <v>1330000</v>
      </c>
      <c r="I24" s="117"/>
      <c r="J24" s="117"/>
      <c r="L24" s="404"/>
    </row>
    <row r="25" spans="1:12" s="403" customFormat="1" ht="19.5" customHeight="1">
      <c r="A25" s="145"/>
      <c r="B25" s="125"/>
      <c r="C25" s="125"/>
      <c r="D25" s="400" t="s">
        <v>87</v>
      </c>
      <c r="E25" s="332">
        <v>80000</v>
      </c>
      <c r="F25" s="466">
        <v>80000</v>
      </c>
      <c r="G25" s="466"/>
      <c r="H25" s="466">
        <f t="shared" si="0"/>
        <v>0</v>
      </c>
      <c r="I25" s="117"/>
      <c r="J25" s="117"/>
      <c r="L25" s="404"/>
    </row>
    <row r="26" spans="1:12" s="79" customFormat="1" ht="18.75" customHeight="1">
      <c r="A26" s="65"/>
      <c r="B26" s="52"/>
      <c r="C26" s="231">
        <v>6050</v>
      </c>
      <c r="D26" s="232" t="s">
        <v>125</v>
      </c>
      <c r="E26" s="310">
        <v>20509780</v>
      </c>
      <c r="F26" s="235">
        <f>SUM(F22:F25)</f>
        <v>650000</v>
      </c>
      <c r="G26" s="235">
        <f>SUM(G22:G25)</f>
        <v>1348000</v>
      </c>
      <c r="H26" s="114">
        <f t="shared" si="0"/>
        <v>21207780</v>
      </c>
      <c r="I26" s="107"/>
      <c r="J26" s="107"/>
      <c r="L26" s="78"/>
    </row>
    <row r="27" spans="1:12" s="403" customFormat="1" ht="24" customHeight="1">
      <c r="A27" s="870"/>
      <c r="B27" s="233"/>
      <c r="C27" s="233"/>
      <c r="D27" s="232" t="s">
        <v>902</v>
      </c>
      <c r="E27" s="310">
        <v>5050000</v>
      </c>
      <c r="F27" s="235">
        <v>180000</v>
      </c>
      <c r="G27" s="235"/>
      <c r="H27" s="235">
        <f t="shared" si="0"/>
        <v>4870000</v>
      </c>
      <c r="I27" s="117"/>
      <c r="J27" s="117"/>
      <c r="L27" s="404"/>
    </row>
    <row r="28" spans="1:12" s="79" customFormat="1" ht="21" customHeight="1">
      <c r="A28" s="65"/>
      <c r="B28" s="52"/>
      <c r="C28" s="231">
        <v>6052</v>
      </c>
      <c r="D28" s="232" t="s">
        <v>125</v>
      </c>
      <c r="E28" s="310">
        <v>5050000</v>
      </c>
      <c r="F28" s="235">
        <f>F27</f>
        <v>180000</v>
      </c>
      <c r="G28" s="235"/>
      <c r="H28" s="114">
        <f t="shared" si="0"/>
        <v>4870000</v>
      </c>
      <c r="I28" s="107"/>
      <c r="J28" s="107"/>
      <c r="L28" s="78"/>
    </row>
    <row r="29" spans="1:12" s="99" customFormat="1" ht="21.75" customHeight="1">
      <c r="A29" s="66"/>
      <c r="B29" s="62">
        <v>60016</v>
      </c>
      <c r="C29" s="62"/>
      <c r="D29" s="62" t="s">
        <v>257</v>
      </c>
      <c r="E29" s="106">
        <v>10817000</v>
      </c>
      <c r="F29" s="106">
        <f>F30+F33</f>
        <v>526490</v>
      </c>
      <c r="G29" s="106">
        <f>G30</f>
        <v>300000</v>
      </c>
      <c r="H29" s="106">
        <f t="shared" si="0"/>
        <v>10590510</v>
      </c>
      <c r="I29" s="107"/>
      <c r="J29" s="107"/>
      <c r="L29" s="107"/>
    </row>
    <row r="30" spans="1:12" s="99" customFormat="1" ht="21.75" customHeight="1">
      <c r="A30" s="146"/>
      <c r="B30" s="151"/>
      <c r="C30" s="83"/>
      <c r="D30" s="80" t="s">
        <v>898</v>
      </c>
      <c r="E30" s="112">
        <v>3100000</v>
      </c>
      <c r="F30" s="112">
        <f>SUM(F31:F32)</f>
        <v>8490</v>
      </c>
      <c r="G30" s="112">
        <f>SUM(G31:G32)</f>
        <v>300000</v>
      </c>
      <c r="H30" s="112">
        <f t="shared" si="0"/>
        <v>3391510</v>
      </c>
      <c r="I30" s="107"/>
      <c r="J30" s="107"/>
      <c r="L30" s="107"/>
    </row>
    <row r="31" spans="1:12" s="118" customFormat="1" ht="21.75" customHeight="1">
      <c r="A31" s="145"/>
      <c r="B31" s="125"/>
      <c r="C31" s="231">
        <v>4300</v>
      </c>
      <c r="D31" s="232" t="s">
        <v>664</v>
      </c>
      <c r="E31" s="116">
        <v>3074000</v>
      </c>
      <c r="F31" s="116"/>
      <c r="G31" s="116">
        <v>300000</v>
      </c>
      <c r="H31" s="116">
        <f t="shared" si="0"/>
        <v>3374000</v>
      </c>
      <c r="I31" s="117"/>
      <c r="J31" s="117"/>
      <c r="L31" s="117"/>
    </row>
    <row r="32" spans="1:12" s="118" customFormat="1" ht="21.75" customHeight="1">
      <c r="A32" s="145"/>
      <c r="B32" s="125"/>
      <c r="C32" s="231">
        <v>4590</v>
      </c>
      <c r="D32" s="232" t="s">
        <v>899</v>
      </c>
      <c r="E32" s="310">
        <v>20000</v>
      </c>
      <c r="F32" s="310">
        <v>8490</v>
      </c>
      <c r="G32" s="310"/>
      <c r="H32" s="310">
        <f t="shared" si="0"/>
        <v>11510</v>
      </c>
      <c r="I32" s="117"/>
      <c r="J32" s="117"/>
      <c r="L32" s="117"/>
    </row>
    <row r="33" spans="1:12" s="79" customFormat="1" ht="21.75" customHeight="1">
      <c r="A33" s="65"/>
      <c r="B33" s="52"/>
      <c r="C33" s="52"/>
      <c r="D33" s="438" t="s">
        <v>130</v>
      </c>
      <c r="E33" s="576">
        <v>6588000</v>
      </c>
      <c r="F33" s="439">
        <f>F37</f>
        <v>518000</v>
      </c>
      <c r="G33" s="439"/>
      <c r="H33" s="439">
        <f t="shared" si="0"/>
        <v>6070000</v>
      </c>
      <c r="I33" s="107"/>
      <c r="J33" s="107"/>
      <c r="L33" s="78"/>
    </row>
    <row r="34" spans="1:12" s="403" customFormat="1" ht="21.75" customHeight="1">
      <c r="A34" s="145"/>
      <c r="B34" s="125"/>
      <c r="C34" s="125"/>
      <c r="D34" s="473" t="s">
        <v>904</v>
      </c>
      <c r="E34" s="512">
        <v>50000</v>
      </c>
      <c r="F34" s="594">
        <v>14000</v>
      </c>
      <c r="G34" s="594"/>
      <c r="H34" s="594">
        <f t="shared" si="0"/>
        <v>36000</v>
      </c>
      <c r="I34" s="117"/>
      <c r="J34" s="117"/>
      <c r="L34" s="404"/>
    </row>
    <row r="35" spans="1:12" s="403" customFormat="1" ht="21.75" customHeight="1">
      <c r="A35" s="145"/>
      <c r="B35" s="125"/>
      <c r="C35" s="125"/>
      <c r="D35" s="400" t="s">
        <v>903</v>
      </c>
      <c r="E35" s="332">
        <v>1100000</v>
      </c>
      <c r="F35" s="466">
        <v>495000</v>
      </c>
      <c r="G35" s="466"/>
      <c r="H35" s="466">
        <f t="shared" si="0"/>
        <v>605000</v>
      </c>
      <c r="I35" s="117"/>
      <c r="J35" s="117"/>
      <c r="L35" s="404"/>
    </row>
    <row r="36" spans="1:12" s="403" customFormat="1" ht="21.75" customHeight="1">
      <c r="A36" s="145"/>
      <c r="B36" s="125"/>
      <c r="C36" s="125"/>
      <c r="D36" s="622" t="s">
        <v>905</v>
      </c>
      <c r="E36" s="332">
        <v>250000</v>
      </c>
      <c r="F36" s="466">
        <v>9000</v>
      </c>
      <c r="G36" s="466"/>
      <c r="H36" s="466">
        <f t="shared" si="0"/>
        <v>241000</v>
      </c>
      <c r="I36" s="117"/>
      <c r="J36" s="117"/>
      <c r="L36" s="404"/>
    </row>
    <row r="37" spans="1:12" s="79" customFormat="1" ht="21.75" customHeight="1">
      <c r="A37" s="65"/>
      <c r="B37" s="52"/>
      <c r="C37" s="231">
        <v>6050</v>
      </c>
      <c r="D37" s="232" t="s">
        <v>125</v>
      </c>
      <c r="E37" s="310">
        <v>6588000</v>
      </c>
      <c r="F37" s="235">
        <f>SUM(F34:F36)</f>
        <v>518000</v>
      </c>
      <c r="G37" s="235"/>
      <c r="H37" s="114">
        <f t="shared" si="0"/>
        <v>6070000</v>
      </c>
      <c r="I37" s="107"/>
      <c r="J37" s="107"/>
      <c r="L37" s="78"/>
    </row>
    <row r="38" spans="1:12" ht="19.5" customHeight="1">
      <c r="A38" s="74">
        <v>700</v>
      </c>
      <c r="B38" s="74"/>
      <c r="C38" s="74"/>
      <c r="D38" s="74" t="s">
        <v>679</v>
      </c>
      <c r="E38" s="59">
        <v>14211000</v>
      </c>
      <c r="F38" s="60">
        <f>F39</f>
        <v>58149</v>
      </c>
      <c r="G38" s="60">
        <f>G39</f>
        <v>58149</v>
      </c>
      <c r="H38" s="60">
        <f t="shared" si="0"/>
        <v>14211000</v>
      </c>
      <c r="I38" s="47"/>
      <c r="J38" s="47"/>
      <c r="L38" s="47"/>
    </row>
    <row r="39" spans="1:12" s="99" customFormat="1" ht="21.75" customHeight="1">
      <c r="A39" s="383"/>
      <c r="B39" s="62">
        <v>70001</v>
      </c>
      <c r="C39" s="62"/>
      <c r="D39" s="62" t="s">
        <v>821</v>
      </c>
      <c r="E39" s="106">
        <v>6745000</v>
      </c>
      <c r="F39" s="106">
        <f>F40</f>
        <v>58149</v>
      </c>
      <c r="G39" s="106">
        <f>G40</f>
        <v>58149</v>
      </c>
      <c r="H39" s="106">
        <f t="shared" si="0"/>
        <v>6745000</v>
      </c>
      <c r="I39" s="107"/>
      <c r="J39" s="107"/>
      <c r="L39" s="107"/>
    </row>
    <row r="40" spans="1:12" s="99" customFormat="1" ht="21.75" customHeight="1">
      <c r="A40" s="146"/>
      <c r="B40" s="151"/>
      <c r="C40" s="83"/>
      <c r="D40" s="905" t="s">
        <v>826</v>
      </c>
      <c r="E40" s="308">
        <v>6745000</v>
      </c>
      <c r="F40" s="308">
        <f>F44</f>
        <v>58149</v>
      </c>
      <c r="G40" s="308">
        <f>G44</f>
        <v>58149</v>
      </c>
      <c r="H40" s="308">
        <f t="shared" si="0"/>
        <v>6745000</v>
      </c>
      <c r="I40" s="107"/>
      <c r="J40" s="107"/>
      <c r="L40" s="107"/>
    </row>
    <row r="41" spans="1:12" ht="21.75" customHeight="1">
      <c r="A41" s="70"/>
      <c r="B41" s="70"/>
      <c r="C41" s="70"/>
      <c r="D41" s="910" t="s">
        <v>823</v>
      </c>
      <c r="E41" s="466">
        <v>2272070</v>
      </c>
      <c r="F41" s="912">
        <f>100000-50000</f>
        <v>50000</v>
      </c>
      <c r="G41" s="912"/>
      <c r="H41" s="912">
        <f t="shared" si="0"/>
        <v>2222070</v>
      </c>
      <c r="I41" s="47"/>
      <c r="J41" s="47"/>
      <c r="L41" s="47"/>
    </row>
    <row r="42" spans="1:12" ht="21.75" customHeight="1">
      <c r="A42" s="70"/>
      <c r="B42" s="70"/>
      <c r="C42" s="70"/>
      <c r="D42" s="911" t="s">
        <v>824</v>
      </c>
      <c r="E42" s="466">
        <v>1761670</v>
      </c>
      <c r="F42" s="912"/>
      <c r="G42" s="912">
        <f>59930-1781</f>
        <v>58149</v>
      </c>
      <c r="H42" s="912">
        <f t="shared" si="0"/>
        <v>1819819</v>
      </c>
      <c r="I42" s="47"/>
      <c r="J42" s="47"/>
      <c r="L42" s="47"/>
    </row>
    <row r="43" spans="1:12" ht="21.75" customHeight="1">
      <c r="A43" s="70"/>
      <c r="B43" s="70"/>
      <c r="C43" s="70"/>
      <c r="D43" s="911" t="s">
        <v>825</v>
      </c>
      <c r="E43" s="466">
        <v>86260</v>
      </c>
      <c r="F43" s="912">
        <v>8149</v>
      </c>
      <c r="G43" s="912"/>
      <c r="H43" s="912">
        <f t="shared" si="0"/>
        <v>78111</v>
      </c>
      <c r="I43" s="47"/>
      <c r="J43" s="47"/>
      <c r="L43" s="47"/>
    </row>
    <row r="44" spans="1:12" s="118" customFormat="1" ht="21.75" customHeight="1">
      <c r="A44" s="145"/>
      <c r="B44" s="125"/>
      <c r="C44" s="231">
        <v>2650</v>
      </c>
      <c r="D44" s="232" t="s">
        <v>822</v>
      </c>
      <c r="E44" s="310">
        <v>5000000</v>
      </c>
      <c r="F44" s="310">
        <f>SUM(F41:F43)</f>
        <v>58149</v>
      </c>
      <c r="G44" s="310">
        <f>SUM(G41:G43)</f>
        <v>58149</v>
      </c>
      <c r="H44" s="310">
        <f t="shared" si="0"/>
        <v>5000000</v>
      </c>
      <c r="I44" s="117"/>
      <c r="J44" s="117"/>
      <c r="L44" s="117"/>
    </row>
    <row r="45" spans="1:12" ht="21.75" customHeight="1">
      <c r="A45" s="74">
        <v>710</v>
      </c>
      <c r="B45" s="74"/>
      <c r="C45" s="74"/>
      <c r="D45" s="74" t="s">
        <v>258</v>
      </c>
      <c r="E45" s="59">
        <v>2839900</v>
      </c>
      <c r="F45" s="60"/>
      <c r="G45" s="60">
        <f>G46</f>
        <v>26000</v>
      </c>
      <c r="H45" s="60">
        <f t="shared" si="0"/>
        <v>2865900</v>
      </c>
      <c r="I45" s="47"/>
      <c r="J45" s="47"/>
      <c r="L45" s="47"/>
    </row>
    <row r="46" spans="1:12" s="99" customFormat="1" ht="21.75" customHeight="1">
      <c r="A46" s="383"/>
      <c r="B46" s="62">
        <v>71035</v>
      </c>
      <c r="C46" s="62"/>
      <c r="D46" s="62" t="s">
        <v>600</v>
      </c>
      <c r="E46" s="106">
        <v>1928400</v>
      </c>
      <c r="F46" s="106"/>
      <c r="G46" s="106">
        <f>G47</f>
        <v>26000</v>
      </c>
      <c r="H46" s="106">
        <f t="shared" si="0"/>
        <v>1954400</v>
      </c>
      <c r="I46" s="107"/>
      <c r="J46" s="107"/>
      <c r="L46" s="107"/>
    </row>
    <row r="47" spans="1:12" s="99" customFormat="1" ht="21.75" customHeight="1">
      <c r="A47" s="146"/>
      <c r="B47" s="151"/>
      <c r="C47" s="83"/>
      <c r="D47" s="80" t="s">
        <v>798</v>
      </c>
      <c r="E47" s="112">
        <v>750000</v>
      </c>
      <c r="F47" s="112"/>
      <c r="G47" s="112">
        <f>G48</f>
        <v>26000</v>
      </c>
      <c r="H47" s="112">
        <f t="shared" si="0"/>
        <v>776000</v>
      </c>
      <c r="I47" s="107"/>
      <c r="J47" s="107"/>
      <c r="L47" s="107"/>
    </row>
    <row r="48" spans="1:12" s="118" customFormat="1" ht="21.75" customHeight="1">
      <c r="A48" s="145"/>
      <c r="B48" s="125"/>
      <c r="C48" s="231">
        <v>6050</v>
      </c>
      <c r="D48" s="232" t="s">
        <v>125</v>
      </c>
      <c r="E48" s="116">
        <v>750000</v>
      </c>
      <c r="F48" s="116"/>
      <c r="G48" s="116">
        <v>26000</v>
      </c>
      <c r="H48" s="116">
        <f t="shared" si="0"/>
        <v>776000</v>
      </c>
      <c r="I48" s="117"/>
      <c r="J48" s="117"/>
      <c r="L48" s="117"/>
    </row>
    <row r="49" spans="1:12" ht="21.75" customHeight="1">
      <c r="A49" s="74">
        <v>750</v>
      </c>
      <c r="B49" s="74"/>
      <c r="C49" s="74"/>
      <c r="D49" s="74" t="s">
        <v>651</v>
      </c>
      <c r="E49" s="59">
        <v>66076863</v>
      </c>
      <c r="F49" s="60">
        <f>F59+F50</f>
        <v>700000</v>
      </c>
      <c r="G49" s="60">
        <f>G59+G50</f>
        <v>850000</v>
      </c>
      <c r="H49" s="60">
        <f t="shared" si="0"/>
        <v>66226863</v>
      </c>
      <c r="I49" s="47"/>
      <c r="J49" s="47"/>
      <c r="L49" s="47"/>
    </row>
    <row r="50" spans="1:12" s="99" customFormat="1" ht="21.75" customHeight="1">
      <c r="A50" s="383"/>
      <c r="B50" s="62">
        <v>75023</v>
      </c>
      <c r="C50" s="62"/>
      <c r="D50" s="62" t="s">
        <v>666</v>
      </c>
      <c r="E50" s="106">
        <v>61522685</v>
      </c>
      <c r="F50" s="106">
        <f>F51+F55</f>
        <v>700000</v>
      </c>
      <c r="G50" s="106">
        <f>G51+G55</f>
        <v>700000</v>
      </c>
      <c r="H50" s="106">
        <f t="shared" si="0"/>
        <v>61522685</v>
      </c>
      <c r="I50" s="107"/>
      <c r="J50" s="107"/>
      <c r="L50" s="107"/>
    </row>
    <row r="51" spans="1:12" s="99" customFormat="1" ht="21.75" customHeight="1">
      <c r="A51" s="146"/>
      <c r="B51" s="151"/>
      <c r="C51" s="83"/>
      <c r="D51" s="80" t="s">
        <v>667</v>
      </c>
      <c r="E51" s="112">
        <v>12351170</v>
      </c>
      <c r="F51" s="112"/>
      <c r="G51" s="112">
        <f>SUM(G52:G54)</f>
        <v>700000</v>
      </c>
      <c r="H51" s="112">
        <f t="shared" si="0"/>
        <v>13051170</v>
      </c>
      <c r="I51" s="107"/>
      <c r="J51" s="107"/>
      <c r="L51" s="107"/>
    </row>
    <row r="52" spans="1:12" s="118" customFormat="1" ht="21.75" customHeight="1">
      <c r="A52" s="145"/>
      <c r="B52" s="125"/>
      <c r="C52" s="231">
        <v>4300</v>
      </c>
      <c r="D52" s="232" t="s">
        <v>664</v>
      </c>
      <c r="E52" s="116">
        <v>7482353</v>
      </c>
      <c r="F52" s="116"/>
      <c r="G52" s="116">
        <v>640000</v>
      </c>
      <c r="H52" s="116">
        <f t="shared" si="0"/>
        <v>8122353</v>
      </c>
      <c r="I52" s="117"/>
      <c r="J52" s="117"/>
      <c r="L52" s="117"/>
    </row>
    <row r="53" spans="1:12" s="118" customFormat="1" ht="21.75" customHeight="1">
      <c r="A53" s="145"/>
      <c r="B53" s="125"/>
      <c r="C53" s="231">
        <v>4410</v>
      </c>
      <c r="D53" s="232" t="s">
        <v>834</v>
      </c>
      <c r="E53" s="116">
        <v>120000</v>
      </c>
      <c r="F53" s="116"/>
      <c r="G53" s="116">
        <v>20000</v>
      </c>
      <c r="H53" s="116">
        <f t="shared" si="0"/>
        <v>140000</v>
      </c>
      <c r="I53" s="117"/>
      <c r="J53" s="117"/>
      <c r="L53" s="117"/>
    </row>
    <row r="54" spans="1:12" s="118" customFormat="1" ht="21.75" customHeight="1">
      <c r="A54" s="870"/>
      <c r="B54" s="233"/>
      <c r="C54" s="231">
        <v>4430</v>
      </c>
      <c r="D54" s="232" t="s">
        <v>733</v>
      </c>
      <c r="E54" s="310">
        <v>320000</v>
      </c>
      <c r="F54" s="310"/>
      <c r="G54" s="310">
        <v>40000</v>
      </c>
      <c r="H54" s="310">
        <f t="shared" si="0"/>
        <v>360000</v>
      </c>
      <c r="I54" s="117"/>
      <c r="J54" s="117"/>
      <c r="L54" s="117"/>
    </row>
    <row r="55" spans="1:12" s="79" customFormat="1" ht="21.75" customHeight="1">
      <c r="A55" s="65"/>
      <c r="B55" s="52"/>
      <c r="C55" s="52"/>
      <c r="D55" s="438" t="s">
        <v>130</v>
      </c>
      <c r="E55" s="576">
        <v>3102810</v>
      </c>
      <c r="F55" s="439">
        <f>F58</f>
        <v>700000</v>
      </c>
      <c r="G55" s="439"/>
      <c r="H55" s="439">
        <f t="shared" si="0"/>
        <v>2402810</v>
      </c>
      <c r="I55" s="107"/>
      <c r="J55" s="107"/>
      <c r="L55" s="78"/>
    </row>
    <row r="56" spans="1:12" s="403" customFormat="1" ht="21.75" customHeight="1">
      <c r="A56" s="145"/>
      <c r="B56" s="125"/>
      <c r="C56" s="125"/>
      <c r="D56" s="473" t="s">
        <v>835</v>
      </c>
      <c r="E56" s="331">
        <v>1262000</v>
      </c>
      <c r="F56" s="675">
        <v>22000</v>
      </c>
      <c r="G56" s="675"/>
      <c r="H56" s="675">
        <f t="shared" si="0"/>
        <v>1240000</v>
      </c>
      <c r="I56" s="117"/>
      <c r="J56" s="117"/>
      <c r="L56" s="404"/>
    </row>
    <row r="57" spans="1:12" s="403" customFormat="1" ht="21.75" customHeight="1">
      <c r="A57" s="145"/>
      <c r="B57" s="125"/>
      <c r="C57" s="125"/>
      <c r="D57" s="1277" t="s">
        <v>836</v>
      </c>
      <c r="E57" s="623">
        <v>708000</v>
      </c>
      <c r="F57" s="624">
        <v>678000</v>
      </c>
      <c r="G57" s="624"/>
      <c r="H57" s="624">
        <f t="shared" si="0"/>
        <v>30000</v>
      </c>
      <c r="I57" s="117"/>
      <c r="J57" s="117"/>
      <c r="L57" s="404"/>
    </row>
    <row r="58" spans="1:12" s="79" customFormat="1" ht="21.75" customHeight="1">
      <c r="A58" s="65"/>
      <c r="B58" s="52"/>
      <c r="C58" s="231">
        <v>6050</v>
      </c>
      <c r="D58" s="232" t="s">
        <v>125</v>
      </c>
      <c r="E58" s="310">
        <v>2134030</v>
      </c>
      <c r="F58" s="235">
        <f>SUM(F56:F57)</f>
        <v>700000</v>
      </c>
      <c r="G58" s="235"/>
      <c r="H58" s="114">
        <f t="shared" si="0"/>
        <v>1434030</v>
      </c>
      <c r="I58" s="107"/>
      <c r="J58" s="107"/>
      <c r="L58" s="78"/>
    </row>
    <row r="59" spans="1:12" s="99" customFormat="1" ht="21.75" customHeight="1">
      <c r="A59" s="66"/>
      <c r="B59" s="62">
        <v>75075</v>
      </c>
      <c r="C59" s="62"/>
      <c r="D59" s="62" t="s">
        <v>514</v>
      </c>
      <c r="E59" s="106">
        <v>2628900</v>
      </c>
      <c r="F59" s="106"/>
      <c r="G59" s="106">
        <f>G60</f>
        <v>150000</v>
      </c>
      <c r="H59" s="106">
        <f t="shared" si="0"/>
        <v>2778900</v>
      </c>
      <c r="I59" s="107"/>
      <c r="J59" s="107"/>
      <c r="L59" s="107"/>
    </row>
    <row r="60" spans="1:12" s="99" customFormat="1" ht="21.75" customHeight="1">
      <c r="A60" s="146"/>
      <c r="B60" s="151"/>
      <c r="C60" s="83"/>
      <c r="D60" s="80" t="s">
        <v>800</v>
      </c>
      <c r="E60" s="112">
        <v>2205000</v>
      </c>
      <c r="F60" s="112"/>
      <c r="G60" s="112">
        <f>G61</f>
        <v>150000</v>
      </c>
      <c r="H60" s="112">
        <f t="shared" si="0"/>
        <v>2355000</v>
      </c>
      <c r="I60" s="107"/>
      <c r="J60" s="107"/>
      <c r="L60" s="107"/>
    </row>
    <row r="61" spans="1:12" s="118" customFormat="1" ht="21.75" customHeight="1">
      <c r="A61" s="145"/>
      <c r="B61" s="125"/>
      <c r="C61" s="231">
        <v>4300</v>
      </c>
      <c r="D61" s="232" t="s">
        <v>664</v>
      </c>
      <c r="E61" s="116">
        <v>1588500</v>
      </c>
      <c r="F61" s="116"/>
      <c r="G61" s="116">
        <v>150000</v>
      </c>
      <c r="H61" s="116">
        <f t="shared" si="0"/>
        <v>1738500</v>
      </c>
      <c r="I61" s="117"/>
      <c r="J61" s="117"/>
      <c r="L61" s="117"/>
    </row>
    <row r="62" spans="1:12" ht="21.75" customHeight="1">
      <c r="A62" s="74">
        <v>754</v>
      </c>
      <c r="B62" s="74"/>
      <c r="C62" s="74"/>
      <c r="D62" s="74" t="s">
        <v>641</v>
      </c>
      <c r="E62" s="59">
        <v>7258659</v>
      </c>
      <c r="F62" s="60"/>
      <c r="G62" s="60">
        <f>G63</f>
        <v>44000</v>
      </c>
      <c r="H62" s="60">
        <f t="shared" si="0"/>
        <v>7302659</v>
      </c>
      <c r="I62" s="47"/>
      <c r="J62" s="47"/>
      <c r="L62" s="47"/>
    </row>
    <row r="63" spans="1:12" s="99" customFormat="1" ht="21.75" customHeight="1">
      <c r="A63" s="383"/>
      <c r="B63" s="62">
        <v>75416</v>
      </c>
      <c r="C63" s="62"/>
      <c r="D63" s="62" t="s">
        <v>129</v>
      </c>
      <c r="E63" s="106">
        <v>5445000</v>
      </c>
      <c r="F63" s="106"/>
      <c r="G63" s="106">
        <f>G64</f>
        <v>44000</v>
      </c>
      <c r="H63" s="106">
        <f t="shared" si="0"/>
        <v>5489000</v>
      </c>
      <c r="I63" s="107"/>
      <c r="J63" s="107"/>
      <c r="L63" s="107"/>
    </row>
    <row r="64" spans="1:12" s="99" customFormat="1" ht="21.75" customHeight="1">
      <c r="A64" s="146"/>
      <c r="B64" s="151"/>
      <c r="C64" s="83"/>
      <c r="D64" s="80" t="s">
        <v>692</v>
      </c>
      <c r="E64" s="112">
        <v>670000</v>
      </c>
      <c r="F64" s="112"/>
      <c r="G64" s="112">
        <f>G65</f>
        <v>44000</v>
      </c>
      <c r="H64" s="112">
        <f t="shared" si="0"/>
        <v>714000</v>
      </c>
      <c r="I64" s="107"/>
      <c r="J64" s="107"/>
      <c r="L64" s="107"/>
    </row>
    <row r="65" spans="1:12" s="118" customFormat="1" ht="21.75" customHeight="1">
      <c r="A65" s="145"/>
      <c r="B65" s="125"/>
      <c r="C65" s="231">
        <v>4110</v>
      </c>
      <c r="D65" s="232" t="s">
        <v>729</v>
      </c>
      <c r="E65" s="116">
        <v>578350</v>
      </c>
      <c r="F65" s="116"/>
      <c r="G65" s="116">
        <v>44000</v>
      </c>
      <c r="H65" s="116">
        <f t="shared" si="0"/>
        <v>622350</v>
      </c>
      <c r="I65" s="117"/>
      <c r="J65" s="117"/>
      <c r="L65" s="117"/>
    </row>
    <row r="66" spans="1:12" ht="21.75" customHeight="1">
      <c r="A66" s="74">
        <v>758</v>
      </c>
      <c r="B66" s="74"/>
      <c r="C66" s="74"/>
      <c r="D66" s="74" t="s">
        <v>642</v>
      </c>
      <c r="E66" s="59">
        <v>6535696</v>
      </c>
      <c r="F66" s="60">
        <f>F67+F72</f>
        <v>1320155</v>
      </c>
      <c r="G66" s="60">
        <f>G67+G72</f>
        <v>30719</v>
      </c>
      <c r="H66" s="60">
        <f t="shared" si="0"/>
        <v>5246260</v>
      </c>
      <c r="I66" s="47"/>
      <c r="J66" s="47"/>
      <c r="L66" s="47"/>
    </row>
    <row r="67" spans="1:12" s="99" customFormat="1" ht="21.75" customHeight="1">
      <c r="A67" s="383"/>
      <c r="B67" s="62">
        <v>75818</v>
      </c>
      <c r="C67" s="62"/>
      <c r="D67" s="62" t="s">
        <v>643</v>
      </c>
      <c r="E67" s="106">
        <v>3319698</v>
      </c>
      <c r="F67" s="106">
        <f>F68+F70</f>
        <v>1289868</v>
      </c>
      <c r="G67" s="106"/>
      <c r="H67" s="106">
        <f t="shared" si="0"/>
        <v>2029830</v>
      </c>
      <c r="I67" s="107"/>
      <c r="J67" s="107"/>
      <c r="L67" s="107"/>
    </row>
    <row r="68" spans="1:12" s="99" customFormat="1" ht="21.75" customHeight="1">
      <c r="A68" s="146"/>
      <c r="B68" s="151"/>
      <c r="C68" s="83"/>
      <c r="D68" s="80" t="s">
        <v>359</v>
      </c>
      <c r="E68" s="112">
        <v>1690893</v>
      </c>
      <c r="F68" s="112">
        <f>F69</f>
        <v>1284086</v>
      </c>
      <c r="G68" s="112"/>
      <c r="H68" s="112">
        <f t="shared" si="0"/>
        <v>406807</v>
      </c>
      <c r="I68" s="107"/>
      <c r="J68" s="107"/>
      <c r="L68" s="107"/>
    </row>
    <row r="69" spans="1:12" s="118" customFormat="1" ht="21.75" customHeight="1">
      <c r="A69" s="145"/>
      <c r="B69" s="125"/>
      <c r="C69" s="231">
        <v>4810</v>
      </c>
      <c r="D69" s="232" t="s">
        <v>665</v>
      </c>
      <c r="E69" s="116">
        <v>1690893</v>
      </c>
      <c r="F69" s="116">
        <f>26000+150000+9900+3000+1000000+44000+30000+21186</f>
        <v>1284086</v>
      </c>
      <c r="G69" s="116"/>
      <c r="H69" s="116">
        <f t="shared" si="0"/>
        <v>406807</v>
      </c>
      <c r="I69" s="117"/>
      <c r="J69" s="117"/>
      <c r="L69" s="117"/>
    </row>
    <row r="70" spans="1:12" s="99" customFormat="1" ht="25.5">
      <c r="A70" s="146"/>
      <c r="B70" s="151"/>
      <c r="C70" s="83"/>
      <c r="D70" s="80" t="s">
        <v>812</v>
      </c>
      <c r="E70" s="112">
        <v>1578805</v>
      </c>
      <c r="F70" s="112">
        <f>F71</f>
        <v>5782</v>
      </c>
      <c r="G70" s="112"/>
      <c r="H70" s="112">
        <f t="shared" si="0"/>
        <v>1573023</v>
      </c>
      <c r="I70" s="107"/>
      <c r="J70" s="107"/>
      <c r="L70" s="107"/>
    </row>
    <row r="71" spans="1:12" s="118" customFormat="1" ht="21.75" customHeight="1">
      <c r="A71" s="145"/>
      <c r="B71" s="233"/>
      <c r="C71" s="231">
        <v>4810</v>
      </c>
      <c r="D71" s="232" t="s">
        <v>665</v>
      </c>
      <c r="E71" s="116">
        <v>43552</v>
      </c>
      <c r="F71" s="116">
        <f>3450+1900+378+54</f>
        <v>5782</v>
      </c>
      <c r="G71" s="116"/>
      <c r="H71" s="116">
        <f t="shared" si="0"/>
        <v>37770</v>
      </c>
      <c r="I71" s="117"/>
      <c r="J71" s="117"/>
      <c r="L71" s="117"/>
    </row>
    <row r="72" spans="1:12" s="99" customFormat="1" ht="21.75" customHeight="1">
      <c r="A72" s="66"/>
      <c r="B72" s="62">
        <v>75860</v>
      </c>
      <c r="C72" s="62"/>
      <c r="D72" s="62" t="s">
        <v>819</v>
      </c>
      <c r="E72" s="106">
        <v>461214</v>
      </c>
      <c r="F72" s="106">
        <f>F76</f>
        <v>30287</v>
      </c>
      <c r="G72" s="106">
        <f>G76+G73</f>
        <v>30719</v>
      </c>
      <c r="H72" s="106">
        <f t="shared" si="0"/>
        <v>461646</v>
      </c>
      <c r="I72" s="107"/>
      <c r="J72" s="107"/>
      <c r="L72" s="107"/>
    </row>
    <row r="73" spans="1:12" s="99" customFormat="1" ht="30" customHeight="1">
      <c r="A73" s="146"/>
      <c r="B73" s="151"/>
      <c r="C73" s="83"/>
      <c r="D73" s="80" t="s">
        <v>869</v>
      </c>
      <c r="E73" s="112">
        <v>76145</v>
      </c>
      <c r="F73" s="112"/>
      <c r="G73" s="112">
        <f>SUM(G74:G75)</f>
        <v>432</v>
      </c>
      <c r="H73" s="112">
        <f t="shared" si="0"/>
        <v>76577</v>
      </c>
      <c r="I73" s="107"/>
      <c r="J73" s="107"/>
      <c r="L73" s="107"/>
    </row>
    <row r="74" spans="1:12" s="118" customFormat="1" ht="21.75" customHeight="1">
      <c r="A74" s="145"/>
      <c r="B74" s="125"/>
      <c r="C74" s="231">
        <v>4110</v>
      </c>
      <c r="D74" s="232" t="s">
        <v>729</v>
      </c>
      <c r="E74" s="116"/>
      <c r="F74" s="116"/>
      <c r="G74" s="116">
        <v>378</v>
      </c>
      <c r="H74" s="116">
        <f t="shared" si="0"/>
        <v>378</v>
      </c>
      <c r="I74" s="117"/>
      <c r="J74" s="117"/>
      <c r="L74" s="117"/>
    </row>
    <row r="75" spans="1:12" s="118" customFormat="1" ht="21.75" customHeight="1">
      <c r="A75" s="145"/>
      <c r="B75" s="125"/>
      <c r="C75" s="231">
        <v>4120</v>
      </c>
      <c r="D75" s="232" t="s">
        <v>730</v>
      </c>
      <c r="E75" s="116"/>
      <c r="F75" s="116"/>
      <c r="G75" s="116">
        <v>54</v>
      </c>
      <c r="H75" s="116">
        <f aca="true" t="shared" si="1" ref="H75:H139">E75+G75-F75</f>
        <v>54</v>
      </c>
      <c r="I75" s="117"/>
      <c r="J75" s="117"/>
      <c r="L75" s="117"/>
    </row>
    <row r="76" spans="1:12" s="99" customFormat="1" ht="26.25" customHeight="1">
      <c r="A76" s="146"/>
      <c r="B76" s="151"/>
      <c r="C76" s="83"/>
      <c r="D76" s="80" t="s">
        <v>820</v>
      </c>
      <c r="E76" s="112">
        <v>181500</v>
      </c>
      <c r="F76" s="112">
        <f>SUM(F77:F84)</f>
        <v>30287</v>
      </c>
      <c r="G76" s="112">
        <f>SUM(G77:G84)</f>
        <v>30287</v>
      </c>
      <c r="H76" s="112">
        <f t="shared" si="1"/>
        <v>181500</v>
      </c>
      <c r="I76" s="107"/>
      <c r="J76" s="107"/>
      <c r="L76" s="107"/>
    </row>
    <row r="77" spans="1:12" s="118" customFormat="1" ht="21.75" customHeight="1">
      <c r="A77" s="145"/>
      <c r="B77" s="125"/>
      <c r="C77" s="231">
        <v>4110</v>
      </c>
      <c r="D77" s="232" t="s">
        <v>729</v>
      </c>
      <c r="E77" s="116"/>
      <c r="F77" s="116"/>
      <c r="G77" s="116">
        <v>181</v>
      </c>
      <c r="H77" s="116">
        <f t="shared" si="1"/>
        <v>181</v>
      </c>
      <c r="I77" s="117"/>
      <c r="J77" s="117"/>
      <c r="L77" s="117"/>
    </row>
    <row r="78" spans="1:12" s="118" customFormat="1" ht="21.75" customHeight="1">
      <c r="A78" s="145"/>
      <c r="B78" s="125"/>
      <c r="C78" s="231">
        <v>4120</v>
      </c>
      <c r="D78" s="232" t="s">
        <v>730</v>
      </c>
      <c r="E78" s="116"/>
      <c r="F78" s="116"/>
      <c r="G78" s="116">
        <v>26</v>
      </c>
      <c r="H78" s="116">
        <f t="shared" si="1"/>
        <v>26</v>
      </c>
      <c r="I78" s="117"/>
      <c r="J78" s="117"/>
      <c r="L78" s="117"/>
    </row>
    <row r="79" spans="1:12" s="118" customFormat="1" ht="21.75" customHeight="1">
      <c r="A79" s="145"/>
      <c r="B79" s="125"/>
      <c r="C79" s="231">
        <v>4170</v>
      </c>
      <c r="D79" s="232" t="s">
        <v>674</v>
      </c>
      <c r="E79" s="116">
        <v>16000</v>
      </c>
      <c r="F79" s="116">
        <v>181</v>
      </c>
      <c r="G79" s="116"/>
      <c r="H79" s="116">
        <f t="shared" si="1"/>
        <v>15819</v>
      </c>
      <c r="I79" s="117"/>
      <c r="J79" s="117"/>
      <c r="L79" s="117"/>
    </row>
    <row r="80" spans="1:12" s="118" customFormat="1" ht="21.75" customHeight="1">
      <c r="A80" s="870"/>
      <c r="B80" s="233"/>
      <c r="C80" s="231">
        <v>4178</v>
      </c>
      <c r="D80" s="232" t="s">
        <v>674</v>
      </c>
      <c r="E80" s="310">
        <v>67500</v>
      </c>
      <c r="F80" s="310">
        <v>22560</v>
      </c>
      <c r="G80" s="310"/>
      <c r="H80" s="310">
        <f t="shared" si="1"/>
        <v>44940</v>
      </c>
      <c r="I80" s="117"/>
      <c r="J80" s="117"/>
      <c r="L80" s="117"/>
    </row>
    <row r="81" spans="1:12" s="118" customFormat="1" ht="21.75" customHeight="1">
      <c r="A81" s="145"/>
      <c r="B81" s="125"/>
      <c r="C81" s="231">
        <v>4179</v>
      </c>
      <c r="D81" s="232" t="s">
        <v>674</v>
      </c>
      <c r="E81" s="310">
        <v>22500</v>
      </c>
      <c r="F81" s="310">
        <v>7520</v>
      </c>
      <c r="G81" s="310"/>
      <c r="H81" s="310">
        <f t="shared" si="1"/>
        <v>14980</v>
      </c>
      <c r="I81" s="117"/>
      <c r="J81" s="117"/>
      <c r="L81" s="117"/>
    </row>
    <row r="82" spans="1:12" s="118" customFormat="1" ht="21.75" customHeight="1">
      <c r="A82" s="145"/>
      <c r="B82" s="125"/>
      <c r="C82" s="231">
        <v>4308</v>
      </c>
      <c r="D82" s="232" t="s">
        <v>664</v>
      </c>
      <c r="E82" s="310">
        <v>50025</v>
      </c>
      <c r="F82" s="310"/>
      <c r="G82" s="310">
        <v>22560</v>
      </c>
      <c r="H82" s="310">
        <f t="shared" si="1"/>
        <v>72585</v>
      </c>
      <c r="I82" s="117"/>
      <c r="J82" s="117"/>
      <c r="L82" s="117"/>
    </row>
    <row r="83" spans="1:12" s="118" customFormat="1" ht="21.75" customHeight="1">
      <c r="A83" s="145"/>
      <c r="B83" s="125"/>
      <c r="C83" s="231">
        <v>4309</v>
      </c>
      <c r="D83" s="232" t="s">
        <v>664</v>
      </c>
      <c r="E83" s="310">
        <v>16675</v>
      </c>
      <c r="F83" s="310"/>
      <c r="G83" s="310">
        <v>7520</v>
      </c>
      <c r="H83" s="310">
        <f t="shared" si="1"/>
        <v>24195</v>
      </c>
      <c r="I83" s="117"/>
      <c r="J83" s="117"/>
      <c r="L83" s="117"/>
    </row>
    <row r="84" spans="1:12" s="118" customFormat="1" ht="21.75" customHeight="1">
      <c r="A84" s="870"/>
      <c r="B84" s="233"/>
      <c r="C84" s="231">
        <v>4420</v>
      </c>
      <c r="D84" s="232" t="s">
        <v>701</v>
      </c>
      <c r="E84" s="310">
        <v>2500</v>
      </c>
      <c r="F84" s="310">
        <v>26</v>
      </c>
      <c r="G84" s="310"/>
      <c r="H84" s="310">
        <f t="shared" si="1"/>
        <v>2474</v>
      </c>
      <c r="I84" s="117"/>
      <c r="J84" s="117"/>
      <c r="L84" s="117"/>
    </row>
    <row r="85" spans="1:12" ht="21.75" customHeight="1">
      <c r="A85" s="317">
        <v>801</v>
      </c>
      <c r="B85" s="58"/>
      <c r="C85" s="58"/>
      <c r="D85" s="77" t="s">
        <v>647</v>
      </c>
      <c r="E85" s="59">
        <v>352999290</v>
      </c>
      <c r="F85" s="60">
        <f>F86+F108+F120+F126+F149+F156+F173+F182+F185+F197+F202+F209+F212+F223+F226+F229+F236+F242</f>
        <v>833982</v>
      </c>
      <c r="G85" s="60">
        <f>G86+G108+G120+G126+G149+G156+G173+G182+G185+G197+G202+G209+G212+G223+G226+G229+G236+G242</f>
        <v>1870284</v>
      </c>
      <c r="H85" s="60">
        <f t="shared" si="1"/>
        <v>354035592</v>
      </c>
      <c r="I85" s="47"/>
      <c r="J85" s="47"/>
      <c r="K85" s="47"/>
      <c r="L85" s="47"/>
    </row>
    <row r="86" spans="1:12" s="79" customFormat="1" ht="21.75" customHeight="1">
      <c r="A86" s="61"/>
      <c r="B86" s="63">
        <v>80101</v>
      </c>
      <c r="C86" s="63"/>
      <c r="D86" s="63" t="s">
        <v>202</v>
      </c>
      <c r="E86" s="405">
        <v>99378852</v>
      </c>
      <c r="F86" s="379">
        <f>F87+F89+F94+F97+F103+F101</f>
        <v>531305</v>
      </c>
      <c r="G86" s="379">
        <f>G87+G89+G94+G97+G103+G101</f>
        <v>168363</v>
      </c>
      <c r="H86" s="379">
        <f t="shared" si="1"/>
        <v>99015910</v>
      </c>
      <c r="I86" s="107"/>
      <c r="J86" s="107"/>
      <c r="L86" s="78"/>
    </row>
    <row r="87" spans="1:12" s="79" customFormat="1" ht="21.75" customHeight="1">
      <c r="A87" s="65"/>
      <c r="B87" s="52"/>
      <c r="C87" s="333"/>
      <c r="D87" s="387" t="s">
        <v>348</v>
      </c>
      <c r="E87" s="111">
        <v>57739324</v>
      </c>
      <c r="F87" s="406"/>
      <c r="G87" s="406">
        <f>G88</f>
        <v>38570</v>
      </c>
      <c r="H87" s="406">
        <f t="shared" si="1"/>
        <v>57777894</v>
      </c>
      <c r="I87" s="107"/>
      <c r="J87" s="107"/>
      <c r="L87" s="78"/>
    </row>
    <row r="88" spans="1:12" s="79" customFormat="1" ht="21.75" customHeight="1">
      <c r="A88" s="65"/>
      <c r="B88" s="52"/>
      <c r="C88" s="67">
        <v>4010</v>
      </c>
      <c r="D88" s="385" t="s">
        <v>603</v>
      </c>
      <c r="E88" s="310">
        <v>53563500</v>
      </c>
      <c r="F88" s="235"/>
      <c r="G88" s="235">
        <f>191570-153000</f>
        <v>38570</v>
      </c>
      <c r="H88" s="310">
        <f t="shared" si="1"/>
        <v>53602070</v>
      </c>
      <c r="I88" s="107"/>
      <c r="J88" s="107"/>
      <c r="L88" s="78"/>
    </row>
    <row r="89" spans="1:12" s="79" customFormat="1" ht="21.75" customHeight="1">
      <c r="A89" s="65"/>
      <c r="B89" s="52"/>
      <c r="C89" s="333"/>
      <c r="D89" s="387" t="s">
        <v>667</v>
      </c>
      <c r="E89" s="111">
        <v>12587424</v>
      </c>
      <c r="F89" s="406">
        <f>SUM(F90:F93)</f>
        <v>10050</v>
      </c>
      <c r="G89" s="406">
        <f>SUM(G90:G93)</f>
        <v>109400</v>
      </c>
      <c r="H89" s="406">
        <f t="shared" si="1"/>
        <v>12686774</v>
      </c>
      <c r="I89" s="107"/>
      <c r="J89" s="107"/>
      <c r="L89" s="78"/>
    </row>
    <row r="90" spans="1:12" s="403" customFormat="1" ht="21.75" customHeight="1">
      <c r="A90" s="145"/>
      <c r="B90" s="125"/>
      <c r="C90" s="233">
        <v>4240</v>
      </c>
      <c r="D90" s="234" t="s">
        <v>207</v>
      </c>
      <c r="E90" s="310">
        <v>203983</v>
      </c>
      <c r="F90" s="235">
        <v>3000</v>
      </c>
      <c r="G90" s="235"/>
      <c r="H90" s="235">
        <f t="shared" si="1"/>
        <v>200983</v>
      </c>
      <c r="I90" s="117"/>
      <c r="J90" s="117"/>
      <c r="L90" s="404"/>
    </row>
    <row r="91" spans="1:12" s="79" customFormat="1" ht="21.75" customHeight="1">
      <c r="A91" s="65"/>
      <c r="B91" s="52"/>
      <c r="C91" s="67">
        <v>4260</v>
      </c>
      <c r="D91" s="385" t="s">
        <v>731</v>
      </c>
      <c r="E91" s="310">
        <v>4669614</v>
      </c>
      <c r="F91" s="235">
        <f>7500-2100</f>
        <v>5400</v>
      </c>
      <c r="G91" s="235"/>
      <c r="H91" s="310">
        <f t="shared" si="1"/>
        <v>4664214</v>
      </c>
      <c r="I91" s="107"/>
      <c r="J91" s="107"/>
      <c r="L91" s="78"/>
    </row>
    <row r="92" spans="1:12" s="407" customFormat="1" ht="21.75" customHeight="1">
      <c r="A92" s="144"/>
      <c r="B92" s="66"/>
      <c r="C92" s="67">
        <v>4270</v>
      </c>
      <c r="D92" s="385" t="s">
        <v>307</v>
      </c>
      <c r="E92" s="500">
        <v>1456579</v>
      </c>
      <c r="F92" s="501"/>
      <c r="G92" s="501">
        <f>106400+3000</f>
        <v>109400</v>
      </c>
      <c r="H92" s="501">
        <f t="shared" si="1"/>
        <v>1565979</v>
      </c>
      <c r="I92" s="673"/>
      <c r="J92" s="119"/>
      <c r="L92" s="408"/>
    </row>
    <row r="93" spans="1:12" s="407" customFormat="1" ht="21.75" customHeight="1">
      <c r="A93" s="144"/>
      <c r="B93" s="66"/>
      <c r="C93" s="231">
        <v>4440</v>
      </c>
      <c r="D93" s="232" t="s">
        <v>347</v>
      </c>
      <c r="E93" s="310">
        <v>3465978</v>
      </c>
      <c r="F93" s="235">
        <v>1650</v>
      </c>
      <c r="G93" s="235"/>
      <c r="H93" s="501">
        <f t="shared" si="1"/>
        <v>3464328</v>
      </c>
      <c r="I93" s="119"/>
      <c r="J93" s="119"/>
      <c r="L93" s="408"/>
    </row>
    <row r="94" spans="1:12" s="79" customFormat="1" ht="21.75" customHeight="1">
      <c r="A94" s="65"/>
      <c r="B94" s="52"/>
      <c r="C94" s="52"/>
      <c r="D94" s="438" t="s">
        <v>692</v>
      </c>
      <c r="E94" s="576">
        <v>11216605</v>
      </c>
      <c r="F94" s="439">
        <f>SUM(F95:F96)</f>
        <v>51220</v>
      </c>
      <c r="G94" s="439">
        <f>SUM(G95:G96)</f>
        <v>400</v>
      </c>
      <c r="H94" s="439">
        <f t="shared" si="1"/>
        <v>11165785</v>
      </c>
      <c r="I94" s="107"/>
      <c r="J94" s="107"/>
      <c r="L94" s="78"/>
    </row>
    <row r="95" spans="1:12" s="79" customFormat="1" ht="21.75" customHeight="1">
      <c r="A95" s="65"/>
      <c r="B95" s="52"/>
      <c r="C95" s="67">
        <v>4110</v>
      </c>
      <c r="D95" s="385" t="s">
        <v>729</v>
      </c>
      <c r="E95" s="310">
        <v>9842684</v>
      </c>
      <c r="F95" s="235">
        <f>90575-39355</f>
        <v>51220</v>
      </c>
      <c r="G95" s="235"/>
      <c r="H95" s="310">
        <f t="shared" si="1"/>
        <v>9791464</v>
      </c>
      <c r="I95" s="107"/>
      <c r="J95" s="107"/>
      <c r="L95" s="78"/>
    </row>
    <row r="96" spans="1:12" s="407" customFormat="1" ht="21.75" customHeight="1">
      <c r="A96" s="144"/>
      <c r="B96" s="66"/>
      <c r="C96" s="67">
        <v>4120</v>
      </c>
      <c r="D96" s="385" t="s">
        <v>730</v>
      </c>
      <c r="E96" s="500">
        <v>1373921</v>
      </c>
      <c r="F96" s="500"/>
      <c r="G96" s="500">
        <f>4250-3850</f>
        <v>400</v>
      </c>
      <c r="H96" s="501">
        <f t="shared" si="1"/>
        <v>1374321</v>
      </c>
      <c r="I96" s="119"/>
      <c r="J96" s="119"/>
      <c r="L96" s="408"/>
    </row>
    <row r="97" spans="1:12" s="79" customFormat="1" ht="21.75" customHeight="1">
      <c r="A97" s="65"/>
      <c r="B97" s="52"/>
      <c r="C97" s="333"/>
      <c r="D97" s="387" t="s">
        <v>346</v>
      </c>
      <c r="E97" s="111">
        <v>402009</v>
      </c>
      <c r="F97" s="406"/>
      <c r="G97" s="406">
        <f>SUM(G98:G100)</f>
        <v>14564</v>
      </c>
      <c r="H97" s="406">
        <f t="shared" si="1"/>
        <v>416573</v>
      </c>
      <c r="I97" s="107"/>
      <c r="J97" s="107"/>
      <c r="L97" s="78"/>
    </row>
    <row r="98" spans="1:12" s="79" customFormat="1" ht="21.75" customHeight="1">
      <c r="A98" s="65"/>
      <c r="B98" s="52"/>
      <c r="C98" s="231">
        <v>4010</v>
      </c>
      <c r="D98" s="232" t="s">
        <v>603</v>
      </c>
      <c r="E98" s="310">
        <v>292340</v>
      </c>
      <c r="F98" s="235"/>
      <c r="G98" s="235">
        <v>14398</v>
      </c>
      <c r="H98" s="310">
        <f t="shared" si="1"/>
        <v>306738</v>
      </c>
      <c r="I98" s="107"/>
      <c r="J98" s="107"/>
      <c r="L98" s="78"/>
    </row>
    <row r="99" spans="1:12" s="79" customFormat="1" ht="21.75" customHeight="1">
      <c r="A99" s="65"/>
      <c r="B99" s="52"/>
      <c r="C99" s="231">
        <v>4110</v>
      </c>
      <c r="D99" s="232" t="s">
        <v>729</v>
      </c>
      <c r="E99" s="500">
        <v>57235</v>
      </c>
      <c r="F99" s="501"/>
      <c r="G99" s="501">
        <v>134</v>
      </c>
      <c r="H99" s="310">
        <f t="shared" si="1"/>
        <v>57369</v>
      </c>
      <c r="I99" s="107"/>
      <c r="J99" s="107"/>
      <c r="L99" s="78"/>
    </row>
    <row r="100" spans="1:12" s="79" customFormat="1" ht="21.75" customHeight="1">
      <c r="A100" s="65"/>
      <c r="B100" s="52"/>
      <c r="C100" s="600">
        <v>4120</v>
      </c>
      <c r="D100" s="592" t="s">
        <v>730</v>
      </c>
      <c r="E100" s="500">
        <v>7885</v>
      </c>
      <c r="F100" s="501"/>
      <c r="G100" s="501">
        <v>32</v>
      </c>
      <c r="H100" s="500">
        <f t="shared" si="1"/>
        <v>7917</v>
      </c>
      <c r="I100" s="107"/>
      <c r="J100" s="107"/>
      <c r="L100" s="78"/>
    </row>
    <row r="101" spans="1:12" s="79" customFormat="1" ht="21.75" customHeight="1">
      <c r="A101" s="65"/>
      <c r="B101" s="52"/>
      <c r="C101" s="333"/>
      <c r="D101" s="387" t="s">
        <v>918</v>
      </c>
      <c r="E101" s="111">
        <v>41600</v>
      </c>
      <c r="F101" s="406"/>
      <c r="G101" s="406">
        <f>G102</f>
        <v>429</v>
      </c>
      <c r="H101" s="406">
        <f t="shared" si="1"/>
        <v>42029</v>
      </c>
      <c r="I101" s="107"/>
      <c r="J101" s="107"/>
      <c r="L101" s="78"/>
    </row>
    <row r="102" spans="1:12" s="79" customFormat="1" ht="21.75" customHeight="1">
      <c r="A102" s="65"/>
      <c r="B102" s="52"/>
      <c r="C102" s="231">
        <v>4240</v>
      </c>
      <c r="D102" s="232" t="s">
        <v>207</v>
      </c>
      <c r="E102" s="310">
        <v>41600</v>
      </c>
      <c r="F102" s="235"/>
      <c r="G102" s="235">
        <v>429</v>
      </c>
      <c r="H102" s="310">
        <f t="shared" si="1"/>
        <v>42029</v>
      </c>
      <c r="I102" s="107"/>
      <c r="J102" s="107"/>
      <c r="L102" s="78"/>
    </row>
    <row r="103" spans="1:12" s="79" customFormat="1" ht="21.75" customHeight="1">
      <c r="A103" s="65"/>
      <c r="B103" s="52"/>
      <c r="C103" s="52"/>
      <c r="D103" s="438" t="s">
        <v>130</v>
      </c>
      <c r="E103" s="576">
        <v>16120343</v>
      </c>
      <c r="F103" s="439">
        <f>F106</f>
        <v>470035</v>
      </c>
      <c r="G103" s="439">
        <f>G106</f>
        <v>5000</v>
      </c>
      <c r="H103" s="439">
        <f t="shared" si="1"/>
        <v>15655308</v>
      </c>
      <c r="I103" s="107"/>
      <c r="J103" s="107"/>
      <c r="L103" s="78"/>
    </row>
    <row r="104" spans="1:12" s="403" customFormat="1" ht="21.75" customHeight="1">
      <c r="A104" s="145"/>
      <c r="B104" s="125"/>
      <c r="C104" s="125"/>
      <c r="D104" s="473" t="s">
        <v>21</v>
      </c>
      <c r="E104" s="331">
        <v>3320000</v>
      </c>
      <c r="F104" s="675"/>
      <c r="G104" s="675">
        <v>5000</v>
      </c>
      <c r="H104" s="675">
        <f t="shared" si="1"/>
        <v>3325000</v>
      </c>
      <c r="I104" s="117"/>
      <c r="J104" s="117"/>
      <c r="L104" s="404"/>
    </row>
    <row r="105" spans="1:12" s="403" customFormat="1" ht="21.75" customHeight="1">
      <c r="A105" s="145"/>
      <c r="B105" s="125"/>
      <c r="C105" s="125"/>
      <c r="D105" s="660" t="s">
        <v>308</v>
      </c>
      <c r="E105" s="623">
        <v>2885202</v>
      </c>
      <c r="F105" s="624">
        <v>470035</v>
      </c>
      <c r="G105" s="624"/>
      <c r="H105" s="624">
        <f t="shared" si="1"/>
        <v>2415167</v>
      </c>
      <c r="I105" s="117"/>
      <c r="J105" s="117"/>
      <c r="L105" s="404"/>
    </row>
    <row r="106" spans="1:12" s="79" customFormat="1" ht="21.75" customHeight="1">
      <c r="A106" s="595"/>
      <c r="B106" s="55"/>
      <c r="C106" s="231">
        <v>6050</v>
      </c>
      <c r="D106" s="232" t="s">
        <v>125</v>
      </c>
      <c r="E106" s="310">
        <v>16120343</v>
      </c>
      <c r="F106" s="235">
        <f>SUM(F104:F105)</f>
        <v>470035</v>
      </c>
      <c r="G106" s="235">
        <f>SUM(G104:G105)</f>
        <v>5000</v>
      </c>
      <c r="H106" s="114">
        <f t="shared" si="1"/>
        <v>15655308</v>
      </c>
      <c r="I106" s="107"/>
      <c r="J106" s="107"/>
      <c r="L106" s="78"/>
    </row>
    <row r="107" spans="1:12" s="79" customFormat="1" ht="21.75" customHeight="1">
      <c r="A107" s="1332"/>
      <c r="B107" s="1333"/>
      <c r="C107" s="1334"/>
      <c r="D107" s="1335"/>
      <c r="E107" s="1336"/>
      <c r="F107" s="1337"/>
      <c r="G107" s="1337"/>
      <c r="H107" s="1515"/>
      <c r="I107" s="107"/>
      <c r="J107" s="107"/>
      <c r="L107" s="78"/>
    </row>
    <row r="108" spans="1:12" s="79" customFormat="1" ht="21.75" customHeight="1">
      <c r="A108" s="61"/>
      <c r="B108" s="63">
        <v>80102</v>
      </c>
      <c r="C108" s="63"/>
      <c r="D108" s="63" t="s">
        <v>271</v>
      </c>
      <c r="E108" s="405">
        <v>6632700</v>
      </c>
      <c r="F108" s="379">
        <f>F109+F111+F113+F116</f>
        <v>1870</v>
      </c>
      <c r="G108" s="379">
        <f>G109+G111+G113+G116</f>
        <v>94072</v>
      </c>
      <c r="H108" s="379">
        <f t="shared" si="1"/>
        <v>6724902</v>
      </c>
      <c r="I108" s="107"/>
      <c r="J108" s="107"/>
      <c r="L108" s="78"/>
    </row>
    <row r="109" spans="1:12" s="79" customFormat="1" ht="21.75" customHeight="1">
      <c r="A109" s="65"/>
      <c r="B109" s="52"/>
      <c r="C109" s="333"/>
      <c r="D109" s="387" t="s">
        <v>348</v>
      </c>
      <c r="E109" s="111">
        <v>5118840</v>
      </c>
      <c r="F109" s="406"/>
      <c r="G109" s="406">
        <f>G110</f>
        <v>82840</v>
      </c>
      <c r="H109" s="406">
        <f t="shared" si="1"/>
        <v>5201680</v>
      </c>
      <c r="I109" s="107"/>
      <c r="J109" s="107"/>
      <c r="L109" s="78"/>
    </row>
    <row r="110" spans="1:12" s="79" customFormat="1" ht="21.75" customHeight="1">
      <c r="A110" s="65"/>
      <c r="B110" s="52"/>
      <c r="C110" s="67">
        <v>4010</v>
      </c>
      <c r="D110" s="385" t="s">
        <v>603</v>
      </c>
      <c r="E110" s="310">
        <v>4759986</v>
      </c>
      <c r="F110" s="235"/>
      <c r="G110" s="235">
        <v>82840</v>
      </c>
      <c r="H110" s="310">
        <f t="shared" si="1"/>
        <v>4842826</v>
      </c>
      <c r="I110" s="107"/>
      <c r="J110" s="107"/>
      <c r="L110" s="78"/>
    </row>
    <row r="111" spans="1:12" s="79" customFormat="1" ht="21.75" customHeight="1">
      <c r="A111" s="65"/>
      <c r="B111" s="52"/>
      <c r="C111" s="333"/>
      <c r="D111" s="387" t="s">
        <v>667</v>
      </c>
      <c r="E111" s="111">
        <v>496900</v>
      </c>
      <c r="F111" s="406">
        <f>F112</f>
        <v>1870</v>
      </c>
      <c r="G111" s="406"/>
      <c r="H111" s="406">
        <f t="shared" si="1"/>
        <v>495030</v>
      </c>
      <c r="I111" s="107"/>
      <c r="J111" s="107"/>
      <c r="L111" s="78"/>
    </row>
    <row r="112" spans="1:12" s="403" customFormat="1" ht="21.75" customHeight="1">
      <c r="A112" s="145"/>
      <c r="B112" s="125"/>
      <c r="C112" s="233">
        <v>4260</v>
      </c>
      <c r="D112" s="234" t="s">
        <v>731</v>
      </c>
      <c r="E112" s="310">
        <v>119500</v>
      </c>
      <c r="F112" s="235">
        <v>1870</v>
      </c>
      <c r="G112" s="235"/>
      <c r="H112" s="235">
        <f t="shared" si="1"/>
        <v>117630</v>
      </c>
      <c r="I112" s="117"/>
      <c r="J112" s="117"/>
      <c r="L112" s="404"/>
    </row>
    <row r="113" spans="1:12" s="79" customFormat="1" ht="21.75" customHeight="1">
      <c r="A113" s="65"/>
      <c r="B113" s="52"/>
      <c r="C113" s="333"/>
      <c r="D113" s="387" t="s">
        <v>692</v>
      </c>
      <c r="E113" s="111">
        <v>1016960</v>
      </c>
      <c r="F113" s="406"/>
      <c r="G113" s="406">
        <f>SUM(G114:G115)</f>
        <v>9770</v>
      </c>
      <c r="H113" s="406">
        <f t="shared" si="1"/>
        <v>1026730</v>
      </c>
      <c r="I113" s="107"/>
      <c r="J113" s="107"/>
      <c r="L113" s="78"/>
    </row>
    <row r="114" spans="1:12" s="403" customFormat="1" ht="21.75" customHeight="1">
      <c r="A114" s="145"/>
      <c r="B114" s="125"/>
      <c r="C114" s="233">
        <v>4110</v>
      </c>
      <c r="D114" s="234" t="s">
        <v>729</v>
      </c>
      <c r="E114" s="310">
        <v>894000</v>
      </c>
      <c r="F114" s="235"/>
      <c r="G114" s="235">
        <f>11270-2000</f>
        <v>9270</v>
      </c>
      <c r="H114" s="235">
        <f t="shared" si="1"/>
        <v>903270</v>
      </c>
      <c r="I114" s="117"/>
      <c r="J114" s="117"/>
      <c r="L114" s="404"/>
    </row>
    <row r="115" spans="1:12" s="403" customFormat="1" ht="21.75" customHeight="1">
      <c r="A115" s="145"/>
      <c r="B115" s="125"/>
      <c r="C115" s="122">
        <v>4120</v>
      </c>
      <c r="D115" s="591" t="s">
        <v>730</v>
      </c>
      <c r="E115" s="500">
        <v>122960</v>
      </c>
      <c r="F115" s="501"/>
      <c r="G115" s="501">
        <v>500</v>
      </c>
      <c r="H115" s="501">
        <f t="shared" si="1"/>
        <v>123460</v>
      </c>
      <c r="I115" s="117"/>
      <c r="J115" s="117"/>
      <c r="L115" s="404"/>
    </row>
    <row r="116" spans="1:12" s="79" customFormat="1" ht="21.75" customHeight="1">
      <c r="A116" s="65"/>
      <c r="B116" s="52"/>
      <c r="C116" s="333"/>
      <c r="D116" s="387" t="s">
        <v>427</v>
      </c>
      <c r="E116" s="111"/>
      <c r="F116" s="406"/>
      <c r="G116" s="406">
        <f>SUM(G117:G119)</f>
        <v>1462</v>
      </c>
      <c r="H116" s="406">
        <f t="shared" si="1"/>
        <v>1462</v>
      </c>
      <c r="I116" s="107"/>
      <c r="J116" s="107"/>
      <c r="L116" s="78"/>
    </row>
    <row r="117" spans="1:12" s="79" customFormat="1" ht="21.75" customHeight="1">
      <c r="A117" s="65"/>
      <c r="B117" s="52"/>
      <c r="C117" s="231">
        <v>4010</v>
      </c>
      <c r="D117" s="232" t="s">
        <v>603</v>
      </c>
      <c r="E117" s="310"/>
      <c r="F117" s="235"/>
      <c r="G117" s="235">
        <v>1219</v>
      </c>
      <c r="H117" s="310">
        <f t="shared" si="1"/>
        <v>1219</v>
      </c>
      <c r="I117" s="107"/>
      <c r="J117" s="107"/>
      <c r="L117" s="78"/>
    </row>
    <row r="118" spans="1:12" s="79" customFormat="1" ht="21.75" customHeight="1">
      <c r="A118" s="65"/>
      <c r="B118" s="52"/>
      <c r="C118" s="231">
        <v>4110</v>
      </c>
      <c r="D118" s="232" t="s">
        <v>729</v>
      </c>
      <c r="E118" s="500"/>
      <c r="F118" s="501"/>
      <c r="G118" s="501">
        <v>213</v>
      </c>
      <c r="H118" s="310">
        <f t="shared" si="1"/>
        <v>213</v>
      </c>
      <c r="I118" s="107"/>
      <c r="J118" s="107"/>
      <c r="L118" s="78"/>
    </row>
    <row r="119" spans="1:12" s="79" customFormat="1" ht="21.75" customHeight="1">
      <c r="A119" s="65"/>
      <c r="B119" s="55"/>
      <c r="C119" s="600">
        <v>4120</v>
      </c>
      <c r="D119" s="592" t="s">
        <v>730</v>
      </c>
      <c r="E119" s="500"/>
      <c r="F119" s="501"/>
      <c r="G119" s="501">
        <v>30</v>
      </c>
      <c r="H119" s="500">
        <f t="shared" si="1"/>
        <v>30</v>
      </c>
      <c r="I119" s="107"/>
      <c r="J119" s="107"/>
      <c r="L119" s="78"/>
    </row>
    <row r="120" spans="1:12" s="79" customFormat="1" ht="21.75" customHeight="1">
      <c r="A120" s="61"/>
      <c r="B120" s="63">
        <v>80103</v>
      </c>
      <c r="C120" s="63"/>
      <c r="D120" s="63" t="s">
        <v>270</v>
      </c>
      <c r="E120" s="405">
        <v>1729596</v>
      </c>
      <c r="F120" s="379">
        <f>F121+F123</f>
        <v>17560</v>
      </c>
      <c r="G120" s="379"/>
      <c r="H120" s="379">
        <f t="shared" si="1"/>
        <v>1712036</v>
      </c>
      <c r="I120" s="107"/>
      <c r="J120" s="107"/>
      <c r="L120" s="78"/>
    </row>
    <row r="121" spans="1:12" s="79" customFormat="1" ht="21.75" customHeight="1">
      <c r="A121" s="65"/>
      <c r="B121" s="52"/>
      <c r="C121" s="333"/>
      <c r="D121" s="387" t="s">
        <v>348</v>
      </c>
      <c r="E121" s="111">
        <v>1301304</v>
      </c>
      <c r="F121" s="406">
        <f>F122</f>
        <v>12200</v>
      </c>
      <c r="G121" s="406"/>
      <c r="H121" s="406">
        <f t="shared" si="1"/>
        <v>1289104</v>
      </c>
      <c r="I121" s="107"/>
      <c r="J121" s="107"/>
      <c r="L121" s="78"/>
    </row>
    <row r="122" spans="1:12" s="79" customFormat="1" ht="21.75" customHeight="1">
      <c r="A122" s="65"/>
      <c r="B122" s="52"/>
      <c r="C122" s="67">
        <v>4010</v>
      </c>
      <c r="D122" s="385" t="s">
        <v>603</v>
      </c>
      <c r="E122" s="310">
        <v>1214405</v>
      </c>
      <c r="F122" s="235">
        <f>23400-11200</f>
        <v>12200</v>
      </c>
      <c r="G122" s="235"/>
      <c r="H122" s="310">
        <f t="shared" si="1"/>
        <v>1202205</v>
      </c>
      <c r="I122" s="107"/>
      <c r="J122" s="107"/>
      <c r="L122" s="78"/>
    </row>
    <row r="123" spans="1:12" s="79" customFormat="1" ht="21.75" customHeight="1">
      <c r="A123" s="65"/>
      <c r="B123" s="52"/>
      <c r="C123" s="333"/>
      <c r="D123" s="387" t="s">
        <v>692</v>
      </c>
      <c r="E123" s="111">
        <v>267532</v>
      </c>
      <c r="F123" s="406">
        <f>SUM(F124:F125)</f>
        <v>5360</v>
      </c>
      <c r="G123" s="406"/>
      <c r="H123" s="406">
        <f t="shared" si="1"/>
        <v>262172</v>
      </c>
      <c r="I123" s="107"/>
      <c r="J123" s="107"/>
      <c r="L123" s="78"/>
    </row>
    <row r="124" spans="1:12" s="403" customFormat="1" ht="21.75" customHeight="1">
      <c r="A124" s="145"/>
      <c r="B124" s="125"/>
      <c r="C124" s="233">
        <v>4110</v>
      </c>
      <c r="D124" s="234" t="s">
        <v>729</v>
      </c>
      <c r="E124" s="310">
        <v>235373</v>
      </c>
      <c r="F124" s="235">
        <f>6500-1270</f>
        <v>5230</v>
      </c>
      <c r="G124" s="235"/>
      <c r="H124" s="235">
        <f t="shared" si="1"/>
        <v>230143</v>
      </c>
      <c r="I124" s="117"/>
      <c r="J124" s="117"/>
      <c r="L124" s="404"/>
    </row>
    <row r="125" spans="1:12" s="403" customFormat="1" ht="21.75" customHeight="1">
      <c r="A125" s="145"/>
      <c r="B125" s="125"/>
      <c r="C125" s="233">
        <v>4120</v>
      </c>
      <c r="D125" s="234" t="s">
        <v>730</v>
      </c>
      <c r="E125" s="310">
        <v>32159</v>
      </c>
      <c r="F125" s="235">
        <f>330-200</f>
        <v>130</v>
      </c>
      <c r="G125" s="235"/>
      <c r="H125" s="235">
        <f t="shared" si="1"/>
        <v>32029</v>
      </c>
      <c r="I125" s="117"/>
      <c r="J125" s="117"/>
      <c r="L125" s="404"/>
    </row>
    <row r="126" spans="1:12" s="99" customFormat="1" ht="21.75" customHeight="1">
      <c r="A126" s="61"/>
      <c r="B126" s="62">
        <v>80104</v>
      </c>
      <c r="C126" s="62"/>
      <c r="D126" s="62" t="s">
        <v>694</v>
      </c>
      <c r="E126" s="106">
        <v>49797890</v>
      </c>
      <c r="F126" s="106">
        <f>F127+F129+F138+F144+F141</f>
        <v>16340</v>
      </c>
      <c r="G126" s="106">
        <f>G127+G129+G138+G144+G141</f>
        <v>1005796</v>
      </c>
      <c r="H126" s="106">
        <f t="shared" si="1"/>
        <v>50787346</v>
      </c>
      <c r="I126" s="107"/>
      <c r="J126" s="107"/>
      <c r="L126" s="107"/>
    </row>
    <row r="127" spans="1:12" s="79" customFormat="1" ht="21.75" customHeight="1">
      <c r="A127" s="65"/>
      <c r="B127" s="52"/>
      <c r="C127" s="333"/>
      <c r="D127" s="387" t="s">
        <v>348</v>
      </c>
      <c r="E127" s="111">
        <v>30979471</v>
      </c>
      <c r="F127" s="406"/>
      <c r="G127" s="406">
        <f>G128</f>
        <v>500000</v>
      </c>
      <c r="H127" s="406">
        <f t="shared" si="1"/>
        <v>31479471</v>
      </c>
      <c r="I127" s="107"/>
      <c r="J127" s="107"/>
      <c r="L127" s="78"/>
    </row>
    <row r="128" spans="1:12" s="79" customFormat="1" ht="21.75" customHeight="1">
      <c r="A128" s="65"/>
      <c r="B128" s="52"/>
      <c r="C128" s="67">
        <v>4010</v>
      </c>
      <c r="D128" s="385" t="s">
        <v>603</v>
      </c>
      <c r="E128" s="310">
        <v>28799000</v>
      </c>
      <c r="F128" s="235"/>
      <c r="G128" s="235">
        <v>500000</v>
      </c>
      <c r="H128" s="310">
        <f t="shared" si="1"/>
        <v>29299000</v>
      </c>
      <c r="I128" s="107"/>
      <c r="J128" s="107"/>
      <c r="L128" s="78"/>
    </row>
    <row r="129" spans="1:12" s="79" customFormat="1" ht="21.75" customHeight="1">
      <c r="A129" s="65"/>
      <c r="B129" s="52"/>
      <c r="C129" s="333"/>
      <c r="D129" s="387" t="s">
        <v>667</v>
      </c>
      <c r="E129" s="111">
        <v>6915117</v>
      </c>
      <c r="F129" s="406">
        <f>SUM(F131:F137)</f>
        <v>2345</v>
      </c>
      <c r="G129" s="406">
        <f>SUM(G130:G137)</f>
        <v>278495</v>
      </c>
      <c r="H129" s="406">
        <f t="shared" si="1"/>
        <v>7191267</v>
      </c>
      <c r="I129" s="107"/>
      <c r="J129" s="107"/>
      <c r="L129" s="78"/>
    </row>
    <row r="130" spans="1:12" s="79" customFormat="1" ht="21.75" customHeight="1">
      <c r="A130" s="65"/>
      <c r="B130" s="52"/>
      <c r="C130" s="231">
        <v>3020</v>
      </c>
      <c r="D130" s="232" t="s">
        <v>234</v>
      </c>
      <c r="E130" s="310">
        <v>28488</v>
      </c>
      <c r="F130" s="235"/>
      <c r="G130" s="235">
        <v>158</v>
      </c>
      <c r="H130" s="114">
        <f t="shared" si="1"/>
        <v>28646</v>
      </c>
      <c r="I130" s="107"/>
      <c r="J130" s="107"/>
      <c r="L130" s="78"/>
    </row>
    <row r="131" spans="1:12" s="79" customFormat="1" ht="23.25" customHeight="1">
      <c r="A131" s="65"/>
      <c r="B131" s="52"/>
      <c r="C131" s="231">
        <v>4140</v>
      </c>
      <c r="D131" s="232" t="s">
        <v>597</v>
      </c>
      <c r="E131" s="310">
        <v>82204</v>
      </c>
      <c r="F131" s="235">
        <f>1181-72</f>
        <v>1109</v>
      </c>
      <c r="G131" s="235"/>
      <c r="H131" s="114">
        <f t="shared" si="1"/>
        <v>81095</v>
      </c>
      <c r="I131" s="107"/>
      <c r="J131" s="107"/>
      <c r="L131" s="78"/>
    </row>
    <row r="132" spans="1:12" s="79" customFormat="1" ht="21.75" customHeight="1">
      <c r="A132" s="65"/>
      <c r="B132" s="52"/>
      <c r="C132" s="600">
        <v>4210</v>
      </c>
      <c r="D132" s="592" t="s">
        <v>663</v>
      </c>
      <c r="E132" s="500">
        <v>400090</v>
      </c>
      <c r="F132" s="501"/>
      <c r="G132" s="501">
        <v>1973</v>
      </c>
      <c r="H132" s="414">
        <f t="shared" si="1"/>
        <v>402063</v>
      </c>
      <c r="I132" s="107"/>
      <c r="J132" s="107"/>
      <c r="L132" s="78"/>
    </row>
    <row r="133" spans="1:12" s="79" customFormat="1" ht="21.75" customHeight="1">
      <c r="A133" s="65"/>
      <c r="B133" s="52"/>
      <c r="C133" s="600">
        <v>4240</v>
      </c>
      <c r="D133" s="592" t="s">
        <v>207</v>
      </c>
      <c r="E133" s="500">
        <v>96477</v>
      </c>
      <c r="F133" s="501"/>
      <c r="G133" s="501">
        <v>1330</v>
      </c>
      <c r="H133" s="414">
        <f t="shared" si="1"/>
        <v>97807</v>
      </c>
      <c r="I133" s="107"/>
      <c r="J133" s="107"/>
      <c r="L133" s="78"/>
    </row>
    <row r="134" spans="1:12" s="79" customFormat="1" ht="21.75" customHeight="1">
      <c r="A134" s="595"/>
      <c r="B134" s="55"/>
      <c r="C134" s="600">
        <v>4260</v>
      </c>
      <c r="D134" s="592" t="s">
        <v>731</v>
      </c>
      <c r="E134" s="500">
        <v>2354430</v>
      </c>
      <c r="F134" s="501"/>
      <c r="G134" s="501">
        <v>100000</v>
      </c>
      <c r="H134" s="414">
        <f t="shared" si="1"/>
        <v>2454430</v>
      </c>
      <c r="I134" s="107"/>
      <c r="J134" s="107"/>
      <c r="L134" s="78"/>
    </row>
    <row r="135" spans="1:12" s="79" customFormat="1" ht="21.75" customHeight="1">
      <c r="A135" s="65"/>
      <c r="B135" s="52"/>
      <c r="C135" s="231">
        <v>4270</v>
      </c>
      <c r="D135" s="232" t="s">
        <v>695</v>
      </c>
      <c r="E135" s="310">
        <v>583877</v>
      </c>
      <c r="F135" s="235"/>
      <c r="G135" s="235">
        <f>176000+98-1535</f>
        <v>174563</v>
      </c>
      <c r="H135" s="310">
        <f t="shared" si="1"/>
        <v>758440</v>
      </c>
      <c r="I135" s="107"/>
      <c r="J135" s="107"/>
      <c r="L135" s="78"/>
    </row>
    <row r="136" spans="1:12" s="79" customFormat="1" ht="21.75" customHeight="1">
      <c r="A136" s="65"/>
      <c r="B136" s="52"/>
      <c r="C136" s="600">
        <v>4280</v>
      </c>
      <c r="D136" s="592" t="s">
        <v>732</v>
      </c>
      <c r="E136" s="500">
        <v>47977</v>
      </c>
      <c r="F136" s="501"/>
      <c r="G136" s="501">
        <v>471</v>
      </c>
      <c r="H136" s="500">
        <f t="shared" si="1"/>
        <v>48448</v>
      </c>
      <c r="I136" s="107"/>
      <c r="J136" s="107"/>
      <c r="L136" s="78"/>
    </row>
    <row r="137" spans="1:12" s="79" customFormat="1" ht="21.75" customHeight="1">
      <c r="A137" s="65"/>
      <c r="B137" s="52"/>
      <c r="C137" s="231">
        <v>4300</v>
      </c>
      <c r="D137" s="232" t="s">
        <v>664</v>
      </c>
      <c r="E137" s="310">
        <v>1285572</v>
      </c>
      <c r="F137" s="235">
        <f>25498-24262</f>
        <v>1236</v>
      </c>
      <c r="G137" s="235"/>
      <c r="H137" s="310">
        <f t="shared" si="1"/>
        <v>1284336</v>
      </c>
      <c r="I137" s="107"/>
      <c r="J137" s="107"/>
      <c r="L137" s="78"/>
    </row>
    <row r="138" spans="1:12" s="79" customFormat="1" ht="21.75" customHeight="1">
      <c r="A138" s="65"/>
      <c r="B138" s="52"/>
      <c r="C138" s="333"/>
      <c r="D138" s="387" t="s">
        <v>692</v>
      </c>
      <c r="E138" s="111">
        <v>5890117</v>
      </c>
      <c r="F138" s="406"/>
      <c r="G138" s="406">
        <f>SUM(G139:G140)</f>
        <v>188000</v>
      </c>
      <c r="H138" s="406">
        <f t="shared" si="1"/>
        <v>6078117</v>
      </c>
      <c r="I138" s="107"/>
      <c r="J138" s="107"/>
      <c r="L138" s="78"/>
    </row>
    <row r="139" spans="1:12" s="403" customFormat="1" ht="21.75" customHeight="1">
      <c r="A139" s="145"/>
      <c r="B139" s="125"/>
      <c r="C139" s="233">
        <v>4110</v>
      </c>
      <c r="D139" s="234" t="s">
        <v>729</v>
      </c>
      <c r="E139" s="310">
        <v>5189670</v>
      </c>
      <c r="F139" s="235"/>
      <c r="G139" s="235">
        <v>148000</v>
      </c>
      <c r="H139" s="235">
        <f t="shared" si="1"/>
        <v>5337670</v>
      </c>
      <c r="I139" s="117"/>
      <c r="J139" s="117"/>
      <c r="L139" s="404"/>
    </row>
    <row r="140" spans="1:12" s="403" customFormat="1" ht="21.75" customHeight="1">
      <c r="A140" s="145"/>
      <c r="B140" s="125"/>
      <c r="C140" s="233">
        <v>4120</v>
      </c>
      <c r="D140" s="234" t="s">
        <v>730</v>
      </c>
      <c r="E140" s="310">
        <v>700447</v>
      </c>
      <c r="F140" s="235"/>
      <c r="G140" s="235">
        <v>40000</v>
      </c>
      <c r="H140" s="235">
        <f aca="true" t="shared" si="2" ref="H140:H207">E140+G140-F140</f>
        <v>740447</v>
      </c>
      <c r="I140" s="117"/>
      <c r="J140" s="117"/>
      <c r="L140" s="404"/>
    </row>
    <row r="141" spans="1:12" s="79" customFormat="1" ht="21.75" customHeight="1">
      <c r="A141" s="65"/>
      <c r="B141" s="52"/>
      <c r="C141" s="333"/>
      <c r="D141" s="387" t="s">
        <v>743</v>
      </c>
      <c r="E141" s="111">
        <v>4639543</v>
      </c>
      <c r="F141" s="406">
        <f>SUM(F142:F143)</f>
        <v>13845</v>
      </c>
      <c r="G141" s="406">
        <f>SUM(G142:G143)</f>
        <v>13845</v>
      </c>
      <c r="H141" s="406">
        <f t="shared" si="2"/>
        <v>4639543</v>
      </c>
      <c r="I141" s="107"/>
      <c r="J141" s="107"/>
      <c r="L141" s="78"/>
    </row>
    <row r="142" spans="1:12" s="403" customFormat="1" ht="26.25" customHeight="1">
      <c r="A142" s="145"/>
      <c r="B142" s="125"/>
      <c r="C142" s="233">
        <v>2540</v>
      </c>
      <c r="D142" s="1393" t="s">
        <v>740</v>
      </c>
      <c r="E142" s="310">
        <v>2991496</v>
      </c>
      <c r="F142" s="235"/>
      <c r="G142" s="235">
        <v>13845</v>
      </c>
      <c r="H142" s="235">
        <f t="shared" si="2"/>
        <v>3005341</v>
      </c>
      <c r="I142" s="117"/>
      <c r="J142" s="117"/>
      <c r="L142" s="404"/>
    </row>
    <row r="143" spans="1:12" s="403" customFormat="1" ht="39.75" customHeight="1">
      <c r="A143" s="145"/>
      <c r="B143" s="125"/>
      <c r="C143" s="233">
        <v>2590</v>
      </c>
      <c r="D143" s="1393" t="s">
        <v>462</v>
      </c>
      <c r="E143" s="310">
        <v>1648047</v>
      </c>
      <c r="F143" s="235">
        <v>13845</v>
      </c>
      <c r="G143" s="235"/>
      <c r="H143" s="235">
        <f t="shared" si="2"/>
        <v>1634202</v>
      </c>
      <c r="I143" s="117"/>
      <c r="J143" s="117"/>
      <c r="L143" s="404"/>
    </row>
    <row r="144" spans="1:12" s="79" customFormat="1" ht="21.75" customHeight="1">
      <c r="A144" s="65"/>
      <c r="B144" s="52"/>
      <c r="C144" s="52"/>
      <c r="D144" s="438" t="s">
        <v>130</v>
      </c>
      <c r="E144" s="576">
        <v>1349155</v>
      </c>
      <c r="F144" s="439">
        <f>F146+F148</f>
        <v>150</v>
      </c>
      <c r="G144" s="439">
        <f>G146</f>
        <v>25456</v>
      </c>
      <c r="H144" s="439">
        <f t="shared" si="2"/>
        <v>1374461</v>
      </c>
      <c r="I144" s="107"/>
      <c r="J144" s="107"/>
      <c r="L144" s="78"/>
    </row>
    <row r="145" spans="1:12" s="403" customFormat="1" ht="21.75" customHeight="1">
      <c r="A145" s="145"/>
      <c r="B145" s="125"/>
      <c r="C145" s="125"/>
      <c r="D145" s="473" t="s">
        <v>871</v>
      </c>
      <c r="E145" s="331">
        <v>944905</v>
      </c>
      <c r="F145" s="675"/>
      <c r="G145" s="675">
        <v>25456</v>
      </c>
      <c r="H145" s="675">
        <f t="shared" si="2"/>
        <v>970361</v>
      </c>
      <c r="I145" s="117"/>
      <c r="J145" s="117"/>
      <c r="L145" s="404"/>
    </row>
    <row r="146" spans="1:12" s="79" customFormat="1" ht="21.75" customHeight="1">
      <c r="A146" s="65"/>
      <c r="B146" s="52"/>
      <c r="C146" s="231">
        <v>6050</v>
      </c>
      <c r="D146" s="232" t="s">
        <v>125</v>
      </c>
      <c r="E146" s="310">
        <v>1343155</v>
      </c>
      <c r="F146" s="235"/>
      <c r="G146" s="235">
        <f>G145</f>
        <v>25456</v>
      </c>
      <c r="H146" s="114">
        <f t="shared" si="2"/>
        <v>1368611</v>
      </c>
      <c r="I146" s="107"/>
      <c r="J146" s="107"/>
      <c r="L146" s="78"/>
    </row>
    <row r="147" spans="1:12" s="403" customFormat="1" ht="21.75" customHeight="1">
      <c r="A147" s="145"/>
      <c r="B147" s="125"/>
      <c r="C147" s="125"/>
      <c r="D147" s="473" t="s">
        <v>894</v>
      </c>
      <c r="E147" s="331">
        <v>6000</v>
      </c>
      <c r="F147" s="675">
        <v>150</v>
      </c>
      <c r="G147" s="675"/>
      <c r="H147" s="675">
        <f t="shared" si="2"/>
        <v>5850</v>
      </c>
      <c r="I147" s="117"/>
      <c r="J147" s="117"/>
      <c r="L147" s="404"/>
    </row>
    <row r="148" spans="1:12" s="79" customFormat="1" ht="21.75" customHeight="1">
      <c r="A148" s="65"/>
      <c r="B148" s="55"/>
      <c r="C148" s="231">
        <v>6060</v>
      </c>
      <c r="D148" s="232" t="s">
        <v>895</v>
      </c>
      <c r="E148" s="310">
        <v>6000</v>
      </c>
      <c r="F148" s="235">
        <f>F147</f>
        <v>150</v>
      </c>
      <c r="G148" s="235"/>
      <c r="H148" s="114">
        <f t="shared" si="2"/>
        <v>5850</v>
      </c>
      <c r="I148" s="107"/>
      <c r="J148" s="107"/>
      <c r="L148" s="78"/>
    </row>
    <row r="149" spans="1:12" s="79" customFormat="1" ht="21.75" customHeight="1">
      <c r="A149" s="61"/>
      <c r="B149" s="63">
        <v>80105</v>
      </c>
      <c r="C149" s="63"/>
      <c r="D149" s="63" t="s">
        <v>272</v>
      </c>
      <c r="E149" s="405">
        <v>1708160</v>
      </c>
      <c r="F149" s="379">
        <f>F150+F152+F154</f>
        <v>100</v>
      </c>
      <c r="G149" s="379">
        <f>G150+G152+G154</f>
        <v>51400</v>
      </c>
      <c r="H149" s="379">
        <f t="shared" si="2"/>
        <v>1759460</v>
      </c>
      <c r="I149" s="107"/>
      <c r="J149" s="107"/>
      <c r="L149" s="78"/>
    </row>
    <row r="150" spans="1:12" s="79" customFormat="1" ht="21.75" customHeight="1">
      <c r="A150" s="65"/>
      <c r="B150" s="52"/>
      <c r="C150" s="333"/>
      <c r="D150" s="387" t="s">
        <v>348</v>
      </c>
      <c r="E150" s="111">
        <v>1266900</v>
      </c>
      <c r="F150" s="406"/>
      <c r="G150" s="406">
        <f>G151</f>
        <v>21400</v>
      </c>
      <c r="H150" s="406">
        <f t="shared" si="2"/>
        <v>1288300</v>
      </c>
      <c r="I150" s="107"/>
      <c r="J150" s="107"/>
      <c r="L150" s="78"/>
    </row>
    <row r="151" spans="1:12" s="79" customFormat="1" ht="21.75" customHeight="1">
      <c r="A151" s="65"/>
      <c r="B151" s="52"/>
      <c r="C151" s="67">
        <v>4010</v>
      </c>
      <c r="D151" s="385" t="s">
        <v>603</v>
      </c>
      <c r="E151" s="310">
        <v>1176424</v>
      </c>
      <c r="F151" s="235"/>
      <c r="G151" s="235">
        <f>22400-1000</f>
        <v>21400</v>
      </c>
      <c r="H151" s="310">
        <f t="shared" si="2"/>
        <v>1197824</v>
      </c>
      <c r="I151" s="107"/>
      <c r="J151" s="107"/>
      <c r="L151" s="78"/>
    </row>
    <row r="152" spans="1:12" s="79" customFormat="1" ht="21.75" customHeight="1">
      <c r="A152" s="65"/>
      <c r="B152" s="52"/>
      <c r="C152" s="333"/>
      <c r="D152" s="387" t="s">
        <v>667</v>
      </c>
      <c r="E152" s="111">
        <v>185500</v>
      </c>
      <c r="F152" s="406"/>
      <c r="G152" s="406">
        <f>SUM(G153:G153)</f>
        <v>30000</v>
      </c>
      <c r="H152" s="406">
        <f t="shared" si="2"/>
        <v>215500</v>
      </c>
      <c r="I152" s="107"/>
      <c r="J152" s="107"/>
      <c r="L152" s="78"/>
    </row>
    <row r="153" spans="1:12" s="403" customFormat="1" ht="21.75" customHeight="1">
      <c r="A153" s="145"/>
      <c r="B153" s="125"/>
      <c r="C153" s="233">
        <v>4270</v>
      </c>
      <c r="D153" s="234" t="s">
        <v>870</v>
      </c>
      <c r="E153" s="310">
        <v>30000</v>
      </c>
      <c r="F153" s="235"/>
      <c r="G153" s="235">
        <v>30000</v>
      </c>
      <c r="H153" s="235">
        <f t="shared" si="2"/>
        <v>60000</v>
      </c>
      <c r="I153" s="117"/>
      <c r="J153" s="117"/>
      <c r="L153" s="404"/>
    </row>
    <row r="154" spans="1:12" s="79" customFormat="1" ht="21.75" customHeight="1">
      <c r="A154" s="65"/>
      <c r="B154" s="52"/>
      <c r="C154" s="333"/>
      <c r="D154" s="387" t="s">
        <v>692</v>
      </c>
      <c r="E154" s="111">
        <v>255760</v>
      </c>
      <c r="F154" s="406">
        <f>SUM(F155:F155)</f>
        <v>100</v>
      </c>
      <c r="G154" s="406"/>
      <c r="H154" s="406">
        <f t="shared" si="2"/>
        <v>255660</v>
      </c>
      <c r="I154" s="107"/>
      <c r="J154" s="107"/>
      <c r="L154" s="78"/>
    </row>
    <row r="155" spans="1:12" s="403" customFormat="1" ht="21.75" customHeight="1">
      <c r="A155" s="145"/>
      <c r="B155" s="233"/>
      <c r="C155" s="233">
        <v>4120</v>
      </c>
      <c r="D155" s="234" t="s">
        <v>730</v>
      </c>
      <c r="E155" s="310">
        <v>30370</v>
      </c>
      <c r="F155" s="235">
        <v>100</v>
      </c>
      <c r="G155" s="235"/>
      <c r="H155" s="235">
        <f t="shared" si="2"/>
        <v>30270</v>
      </c>
      <c r="I155" s="117"/>
      <c r="J155" s="117"/>
      <c r="L155" s="404"/>
    </row>
    <row r="156" spans="1:12" s="79" customFormat="1" ht="21.75" customHeight="1">
      <c r="A156" s="61"/>
      <c r="B156" s="63">
        <v>80110</v>
      </c>
      <c r="C156" s="63"/>
      <c r="D156" s="63" t="s">
        <v>203</v>
      </c>
      <c r="E156" s="405">
        <v>55740444</v>
      </c>
      <c r="F156" s="379">
        <f>F157+F161+F167+F170</f>
        <v>15450</v>
      </c>
      <c r="G156" s="379">
        <f>G157+G161+G167+G170</f>
        <v>253142</v>
      </c>
      <c r="H156" s="379">
        <f t="shared" si="2"/>
        <v>55978136</v>
      </c>
      <c r="I156" s="107"/>
      <c r="J156" s="107"/>
      <c r="L156" s="78"/>
    </row>
    <row r="157" spans="1:12" s="79" customFormat="1" ht="21.75" customHeight="1">
      <c r="A157" s="65"/>
      <c r="B157" s="52"/>
      <c r="C157" s="333"/>
      <c r="D157" s="387" t="s">
        <v>348</v>
      </c>
      <c r="E157" s="111">
        <v>35546840</v>
      </c>
      <c r="F157" s="406">
        <f>SUM(F158:F159)</f>
        <v>8650</v>
      </c>
      <c r="G157" s="406">
        <f>G158</f>
        <v>119845</v>
      </c>
      <c r="H157" s="406">
        <f t="shared" si="2"/>
        <v>35658035</v>
      </c>
      <c r="I157" s="107"/>
      <c r="J157" s="107"/>
      <c r="L157" s="78"/>
    </row>
    <row r="158" spans="1:12" s="79" customFormat="1" ht="21.75" customHeight="1">
      <c r="A158" s="65"/>
      <c r="B158" s="52"/>
      <c r="C158" s="67">
        <v>4010</v>
      </c>
      <c r="D158" s="385" t="s">
        <v>603</v>
      </c>
      <c r="E158" s="310">
        <v>33025506</v>
      </c>
      <c r="F158" s="235"/>
      <c r="G158" s="235">
        <f>167845-48000</f>
        <v>119845</v>
      </c>
      <c r="H158" s="310">
        <f t="shared" si="2"/>
        <v>33145351</v>
      </c>
      <c r="I158" s="107"/>
      <c r="J158" s="107"/>
      <c r="L158" s="78"/>
    </row>
    <row r="159" spans="1:12" s="79" customFormat="1" ht="21.75" customHeight="1">
      <c r="A159" s="65"/>
      <c r="B159" s="52"/>
      <c r="C159" s="66">
        <v>4170</v>
      </c>
      <c r="D159" s="409" t="s">
        <v>674</v>
      </c>
      <c r="E159" s="512">
        <v>21541</v>
      </c>
      <c r="F159" s="594">
        <v>8650</v>
      </c>
      <c r="G159" s="594"/>
      <c r="H159" s="512">
        <f t="shared" si="2"/>
        <v>12891</v>
      </c>
      <c r="I159" s="107"/>
      <c r="J159" s="107"/>
      <c r="L159" s="78"/>
    </row>
    <row r="160" spans="1:12" s="79" customFormat="1" ht="21.75" customHeight="1">
      <c r="A160" s="1332"/>
      <c r="B160" s="1333"/>
      <c r="C160" s="1342"/>
      <c r="D160" s="1436"/>
      <c r="E160" s="1336"/>
      <c r="F160" s="1337"/>
      <c r="G160" s="1337"/>
      <c r="H160" s="1336"/>
      <c r="I160" s="107"/>
      <c r="J160" s="107"/>
      <c r="L160" s="78"/>
    </row>
    <row r="161" spans="1:12" s="79" customFormat="1" ht="21.75" customHeight="1">
      <c r="A161" s="65"/>
      <c r="B161" s="52"/>
      <c r="C161" s="52"/>
      <c r="D161" s="438" t="s">
        <v>667</v>
      </c>
      <c r="E161" s="576">
        <v>7203099</v>
      </c>
      <c r="F161" s="439">
        <f>SUM(F162:F166)</f>
        <v>1100</v>
      </c>
      <c r="G161" s="439">
        <f>SUM(G162:G166)</f>
        <v>130297</v>
      </c>
      <c r="H161" s="439">
        <f t="shared" si="2"/>
        <v>7332296</v>
      </c>
      <c r="I161" s="107"/>
      <c r="J161" s="107"/>
      <c r="L161" s="78"/>
    </row>
    <row r="162" spans="1:12" s="403" customFormat="1" ht="21.75" customHeight="1">
      <c r="A162" s="145"/>
      <c r="B162" s="125"/>
      <c r="C162" s="233">
        <v>4210</v>
      </c>
      <c r="D162" s="234" t="s">
        <v>663</v>
      </c>
      <c r="E162" s="310">
        <v>566542</v>
      </c>
      <c r="F162" s="235"/>
      <c r="G162" s="235">
        <v>2000</v>
      </c>
      <c r="H162" s="235">
        <f t="shared" si="2"/>
        <v>568542</v>
      </c>
      <c r="I162" s="117"/>
      <c r="J162" s="117"/>
      <c r="L162" s="404"/>
    </row>
    <row r="163" spans="1:12" s="407" customFormat="1" ht="21.75" customHeight="1">
      <c r="A163" s="144"/>
      <c r="B163" s="66"/>
      <c r="C163" s="67">
        <v>4260</v>
      </c>
      <c r="D163" s="385" t="s">
        <v>731</v>
      </c>
      <c r="E163" s="414">
        <v>2584190</v>
      </c>
      <c r="F163" s="415"/>
      <c r="G163" s="415">
        <f>65500-10203</f>
        <v>55297</v>
      </c>
      <c r="H163" s="415">
        <f t="shared" si="2"/>
        <v>2639487</v>
      </c>
      <c r="I163" s="119"/>
      <c r="J163" s="119"/>
      <c r="L163" s="408"/>
    </row>
    <row r="164" spans="1:12" s="407" customFormat="1" ht="21.75" customHeight="1">
      <c r="A164" s="144"/>
      <c r="B164" s="66"/>
      <c r="C164" s="67">
        <v>4270</v>
      </c>
      <c r="D164" s="385" t="s">
        <v>307</v>
      </c>
      <c r="E164" s="399">
        <v>1150332</v>
      </c>
      <c r="F164" s="410"/>
      <c r="G164" s="410">
        <v>71000</v>
      </c>
      <c r="H164" s="410">
        <f t="shared" si="2"/>
        <v>1221332</v>
      </c>
      <c r="I164" s="119"/>
      <c r="J164" s="119"/>
      <c r="L164" s="408"/>
    </row>
    <row r="165" spans="1:12" s="407" customFormat="1" ht="21.75" customHeight="1">
      <c r="A165" s="144"/>
      <c r="B165" s="66"/>
      <c r="C165" s="108">
        <v>4300</v>
      </c>
      <c r="D165" s="68" t="s">
        <v>664</v>
      </c>
      <c r="E165" s="414">
        <v>423913</v>
      </c>
      <c r="F165" s="415"/>
      <c r="G165" s="415">
        <v>2000</v>
      </c>
      <c r="H165" s="415">
        <f t="shared" si="2"/>
        <v>425913</v>
      </c>
      <c r="I165" s="119"/>
      <c r="J165" s="119"/>
      <c r="L165" s="408"/>
    </row>
    <row r="166" spans="1:12" s="407" customFormat="1" ht="21.75" customHeight="1">
      <c r="A166" s="144"/>
      <c r="B166" s="66"/>
      <c r="C166" s="231">
        <v>4440</v>
      </c>
      <c r="D166" s="232" t="s">
        <v>347</v>
      </c>
      <c r="E166" s="310">
        <v>2126567</v>
      </c>
      <c r="F166" s="235">
        <v>1100</v>
      </c>
      <c r="G166" s="235"/>
      <c r="H166" s="235">
        <f t="shared" si="2"/>
        <v>2125467</v>
      </c>
      <c r="I166" s="119"/>
      <c r="J166" s="119"/>
      <c r="L166" s="408"/>
    </row>
    <row r="167" spans="1:12" s="79" customFormat="1" ht="21.75" customHeight="1">
      <c r="A167" s="65"/>
      <c r="B167" s="52"/>
      <c r="C167" s="52"/>
      <c r="D167" s="438" t="s">
        <v>692</v>
      </c>
      <c r="E167" s="576">
        <v>6973950</v>
      </c>
      <c r="F167" s="439">
        <f>SUM(F168:F169)</f>
        <v>700</v>
      </c>
      <c r="G167" s="439">
        <f>SUM(G168:G169)</f>
        <v>3000</v>
      </c>
      <c r="H167" s="439">
        <f t="shared" si="2"/>
        <v>6976250</v>
      </c>
      <c r="I167" s="107"/>
      <c r="J167" s="107"/>
      <c r="L167" s="78"/>
    </row>
    <row r="168" spans="1:12" s="403" customFormat="1" ht="21.75" customHeight="1">
      <c r="A168" s="145"/>
      <c r="B168" s="125"/>
      <c r="C168" s="233">
        <v>4110</v>
      </c>
      <c r="D168" s="234" t="s">
        <v>729</v>
      </c>
      <c r="E168" s="310">
        <v>6113700</v>
      </c>
      <c r="F168" s="235"/>
      <c r="G168" s="235">
        <f>6000-3000</f>
        <v>3000</v>
      </c>
      <c r="H168" s="235">
        <f t="shared" si="2"/>
        <v>6116700</v>
      </c>
      <c r="I168" s="117"/>
      <c r="J168" s="117"/>
      <c r="L168" s="404"/>
    </row>
    <row r="169" spans="1:12" s="403" customFormat="1" ht="21.75" customHeight="1">
      <c r="A169" s="145"/>
      <c r="B169" s="125"/>
      <c r="C169" s="233">
        <v>4120</v>
      </c>
      <c r="D169" s="234" t="s">
        <v>730</v>
      </c>
      <c r="E169" s="310">
        <v>860250</v>
      </c>
      <c r="F169" s="235">
        <f>1300-600</f>
        <v>700</v>
      </c>
      <c r="G169" s="235"/>
      <c r="H169" s="235">
        <f t="shared" si="2"/>
        <v>859550</v>
      </c>
      <c r="I169" s="117"/>
      <c r="J169" s="117"/>
      <c r="L169" s="404"/>
    </row>
    <row r="170" spans="1:12" s="79" customFormat="1" ht="21.75" customHeight="1">
      <c r="A170" s="65"/>
      <c r="B170" s="52"/>
      <c r="C170" s="52"/>
      <c r="D170" s="438" t="s">
        <v>130</v>
      </c>
      <c r="E170" s="576">
        <v>2790561</v>
      </c>
      <c r="F170" s="439">
        <f>F172</f>
        <v>5000</v>
      </c>
      <c r="G170" s="439"/>
      <c r="H170" s="439">
        <f t="shared" si="2"/>
        <v>2785561</v>
      </c>
      <c r="I170" s="107"/>
      <c r="J170" s="107"/>
      <c r="L170" s="78"/>
    </row>
    <row r="171" spans="1:12" s="403" customFormat="1" ht="21.75" customHeight="1">
      <c r="A171" s="145"/>
      <c r="B171" s="125"/>
      <c r="C171" s="125"/>
      <c r="D171" s="473" t="s">
        <v>20</v>
      </c>
      <c r="E171" s="331">
        <v>2700000</v>
      </c>
      <c r="F171" s="675">
        <v>5000</v>
      </c>
      <c r="G171" s="675"/>
      <c r="H171" s="675">
        <f t="shared" si="2"/>
        <v>2695000</v>
      </c>
      <c r="I171" s="117"/>
      <c r="J171" s="117"/>
      <c r="L171" s="404"/>
    </row>
    <row r="172" spans="1:12" s="403" customFormat="1" ht="21.75" customHeight="1">
      <c r="A172" s="145"/>
      <c r="B172" s="233"/>
      <c r="C172" s="231">
        <v>6050</v>
      </c>
      <c r="D172" s="232" t="s">
        <v>125</v>
      </c>
      <c r="E172" s="310">
        <v>2790561</v>
      </c>
      <c r="F172" s="235">
        <f>F171</f>
        <v>5000</v>
      </c>
      <c r="G172" s="235"/>
      <c r="H172" s="235">
        <f t="shared" si="2"/>
        <v>2785561</v>
      </c>
      <c r="I172" s="117"/>
      <c r="J172" s="117"/>
      <c r="L172" s="404"/>
    </row>
    <row r="173" spans="1:12" s="79" customFormat="1" ht="21.75" customHeight="1">
      <c r="A173" s="61"/>
      <c r="B173" s="63">
        <v>80111</v>
      </c>
      <c r="C173" s="63"/>
      <c r="D173" s="63" t="s">
        <v>283</v>
      </c>
      <c r="E173" s="405">
        <v>4622500</v>
      </c>
      <c r="F173" s="379">
        <f>F174+F177+F179</f>
        <v>3900</v>
      </c>
      <c r="G173" s="379">
        <f>G174+G177+G179</f>
        <v>15000</v>
      </c>
      <c r="H173" s="379">
        <f t="shared" si="2"/>
        <v>4633600</v>
      </c>
      <c r="I173" s="107"/>
      <c r="J173" s="107"/>
      <c r="L173" s="78"/>
    </row>
    <row r="174" spans="1:12" s="79" customFormat="1" ht="21.75" customHeight="1">
      <c r="A174" s="65"/>
      <c r="B174" s="52"/>
      <c r="C174" s="333"/>
      <c r="D174" s="387" t="s">
        <v>348</v>
      </c>
      <c r="E174" s="111">
        <v>3575200</v>
      </c>
      <c r="F174" s="406">
        <f>SUM(F175:F176)</f>
        <v>100</v>
      </c>
      <c r="G174" s="406">
        <f>G175</f>
        <v>15000</v>
      </c>
      <c r="H174" s="406">
        <f t="shared" si="2"/>
        <v>3590100</v>
      </c>
      <c r="I174" s="107"/>
      <c r="J174" s="107"/>
      <c r="L174" s="78"/>
    </row>
    <row r="175" spans="1:12" s="79" customFormat="1" ht="21.75" customHeight="1">
      <c r="A175" s="65"/>
      <c r="B175" s="52"/>
      <c r="C175" s="67">
        <v>4010</v>
      </c>
      <c r="D175" s="385" t="s">
        <v>603</v>
      </c>
      <c r="E175" s="310">
        <v>3321288</v>
      </c>
      <c r="F175" s="235"/>
      <c r="G175" s="235">
        <f>16000-1000</f>
        <v>15000</v>
      </c>
      <c r="H175" s="310">
        <f t="shared" si="2"/>
        <v>3336288</v>
      </c>
      <c r="I175" s="107"/>
      <c r="J175" s="107"/>
      <c r="L175" s="78"/>
    </row>
    <row r="176" spans="1:12" s="79" customFormat="1" ht="21.75" customHeight="1">
      <c r="A176" s="65"/>
      <c r="B176" s="52"/>
      <c r="C176" s="66">
        <v>4170</v>
      </c>
      <c r="D176" s="409" t="s">
        <v>674</v>
      </c>
      <c r="E176" s="512">
        <v>1000</v>
      </c>
      <c r="F176" s="594">
        <v>100</v>
      </c>
      <c r="G176" s="594"/>
      <c r="H176" s="512">
        <f t="shared" si="2"/>
        <v>900</v>
      </c>
      <c r="I176" s="107"/>
      <c r="J176" s="107"/>
      <c r="L176" s="78"/>
    </row>
    <row r="177" spans="1:12" s="79" customFormat="1" ht="21.75" customHeight="1">
      <c r="A177" s="65"/>
      <c r="B177" s="52"/>
      <c r="C177" s="333"/>
      <c r="D177" s="387" t="s">
        <v>667</v>
      </c>
      <c r="E177" s="111">
        <v>351400</v>
      </c>
      <c r="F177" s="406">
        <f>F178</f>
        <v>2000</v>
      </c>
      <c r="G177" s="406"/>
      <c r="H177" s="406">
        <f t="shared" si="2"/>
        <v>349400</v>
      </c>
      <c r="I177" s="107"/>
      <c r="J177" s="107"/>
      <c r="L177" s="78"/>
    </row>
    <row r="178" spans="1:12" s="403" customFormat="1" ht="21.75" customHeight="1">
      <c r="A178" s="145"/>
      <c r="B178" s="125"/>
      <c r="C178" s="233">
        <v>4260</v>
      </c>
      <c r="D178" s="234" t="s">
        <v>731</v>
      </c>
      <c r="E178" s="310">
        <v>100110</v>
      </c>
      <c r="F178" s="235">
        <v>2000</v>
      </c>
      <c r="G178" s="235"/>
      <c r="H178" s="235">
        <f t="shared" si="2"/>
        <v>98110</v>
      </c>
      <c r="I178" s="117"/>
      <c r="J178" s="117"/>
      <c r="L178" s="404"/>
    </row>
    <row r="179" spans="1:12" s="79" customFormat="1" ht="21.75" customHeight="1">
      <c r="A179" s="65"/>
      <c r="B179" s="52"/>
      <c r="C179" s="333"/>
      <c r="D179" s="387" t="s">
        <v>692</v>
      </c>
      <c r="E179" s="111">
        <v>695900</v>
      </c>
      <c r="F179" s="406">
        <f>SUM(F180:F181)</f>
        <v>1800</v>
      </c>
      <c r="G179" s="406"/>
      <c r="H179" s="406">
        <f t="shared" si="2"/>
        <v>694100</v>
      </c>
      <c r="I179" s="107"/>
      <c r="J179" s="107"/>
      <c r="L179" s="78"/>
    </row>
    <row r="180" spans="1:12" s="403" customFormat="1" ht="21.75" customHeight="1">
      <c r="A180" s="145"/>
      <c r="B180" s="125"/>
      <c r="C180" s="233">
        <v>4110</v>
      </c>
      <c r="D180" s="234" t="s">
        <v>729</v>
      </c>
      <c r="E180" s="310">
        <v>608850</v>
      </c>
      <c r="F180" s="235">
        <v>1500</v>
      </c>
      <c r="G180" s="235"/>
      <c r="H180" s="235">
        <f t="shared" si="2"/>
        <v>607350</v>
      </c>
      <c r="I180" s="117"/>
      <c r="J180" s="117"/>
      <c r="L180" s="404"/>
    </row>
    <row r="181" spans="1:12" s="403" customFormat="1" ht="21.75" customHeight="1">
      <c r="A181" s="145"/>
      <c r="B181" s="233"/>
      <c r="C181" s="233">
        <v>4120</v>
      </c>
      <c r="D181" s="234" t="s">
        <v>730</v>
      </c>
      <c r="E181" s="310">
        <v>87050</v>
      </c>
      <c r="F181" s="235">
        <v>300</v>
      </c>
      <c r="G181" s="235"/>
      <c r="H181" s="235">
        <f t="shared" si="2"/>
        <v>86750</v>
      </c>
      <c r="I181" s="117"/>
      <c r="J181" s="117"/>
      <c r="L181" s="404"/>
    </row>
    <row r="182" spans="1:12" s="79" customFormat="1" ht="21.75" customHeight="1">
      <c r="A182" s="61"/>
      <c r="B182" s="63">
        <v>80113</v>
      </c>
      <c r="C182" s="63"/>
      <c r="D182" s="63" t="s">
        <v>284</v>
      </c>
      <c r="E182" s="405">
        <v>578084</v>
      </c>
      <c r="F182" s="379">
        <f>F183</f>
        <v>35237</v>
      </c>
      <c r="G182" s="379"/>
      <c r="H182" s="379">
        <f t="shared" si="2"/>
        <v>542847</v>
      </c>
      <c r="I182" s="107"/>
      <c r="J182" s="107"/>
      <c r="L182" s="78"/>
    </row>
    <row r="183" spans="1:12" s="79" customFormat="1" ht="21.75" customHeight="1">
      <c r="A183" s="65"/>
      <c r="B183" s="333"/>
      <c r="C183" s="333"/>
      <c r="D183" s="387" t="s">
        <v>502</v>
      </c>
      <c r="E183" s="111">
        <v>578084</v>
      </c>
      <c r="F183" s="406">
        <f>F184</f>
        <v>35237</v>
      </c>
      <c r="G183" s="406"/>
      <c r="H183" s="406">
        <f t="shared" si="2"/>
        <v>542847</v>
      </c>
      <c r="I183" s="107"/>
      <c r="J183" s="107"/>
      <c r="L183" s="78"/>
    </row>
    <row r="184" spans="1:12" s="407" customFormat="1" ht="21.75" customHeight="1">
      <c r="A184" s="144"/>
      <c r="B184" s="66"/>
      <c r="C184" s="67">
        <v>4300</v>
      </c>
      <c r="D184" s="385" t="s">
        <v>664</v>
      </c>
      <c r="E184" s="114">
        <v>578084</v>
      </c>
      <c r="F184" s="395">
        <f>35580-343</f>
        <v>35237</v>
      </c>
      <c r="G184" s="395"/>
      <c r="H184" s="395">
        <f t="shared" si="2"/>
        <v>542847</v>
      </c>
      <c r="I184" s="119"/>
      <c r="J184" s="119"/>
      <c r="L184" s="408"/>
    </row>
    <row r="185" spans="1:12" s="79" customFormat="1" ht="21.75" customHeight="1">
      <c r="A185" s="61"/>
      <c r="B185" s="62">
        <v>80120</v>
      </c>
      <c r="C185" s="62"/>
      <c r="D185" s="62" t="s">
        <v>204</v>
      </c>
      <c r="E185" s="106">
        <v>51169843</v>
      </c>
      <c r="F185" s="64">
        <f>F186+F189+F194</f>
        <v>62704</v>
      </c>
      <c r="G185" s="64">
        <f>G186+G189+G194</f>
        <v>54570</v>
      </c>
      <c r="H185" s="64">
        <f t="shared" si="2"/>
        <v>51161709</v>
      </c>
      <c r="I185" s="107"/>
      <c r="J185" s="107"/>
      <c r="L185" s="78"/>
    </row>
    <row r="186" spans="1:12" s="79" customFormat="1" ht="21.75" customHeight="1">
      <c r="A186" s="65"/>
      <c r="B186" s="52"/>
      <c r="C186" s="333"/>
      <c r="D186" s="387" t="s">
        <v>348</v>
      </c>
      <c r="E186" s="111">
        <v>32617120</v>
      </c>
      <c r="F186" s="406">
        <f>SUM(F187:F188)</f>
        <v>53464</v>
      </c>
      <c r="G186" s="406"/>
      <c r="H186" s="406">
        <f t="shared" si="2"/>
        <v>32563656</v>
      </c>
      <c r="I186" s="107"/>
      <c r="J186" s="107"/>
      <c r="L186" s="78"/>
    </row>
    <row r="187" spans="1:12" s="79" customFormat="1" ht="21.75" customHeight="1">
      <c r="A187" s="595"/>
      <c r="B187" s="55"/>
      <c r="C187" s="67">
        <v>4010</v>
      </c>
      <c r="D187" s="385" t="s">
        <v>603</v>
      </c>
      <c r="E187" s="310">
        <v>30250490</v>
      </c>
      <c r="F187" s="235">
        <f>103168-53704</f>
        <v>49464</v>
      </c>
      <c r="G187" s="235"/>
      <c r="H187" s="310">
        <f t="shared" si="2"/>
        <v>30201026</v>
      </c>
      <c r="I187" s="107"/>
      <c r="J187" s="107"/>
      <c r="L187" s="78"/>
    </row>
    <row r="188" spans="1:12" s="79" customFormat="1" ht="21.75" customHeight="1">
      <c r="A188" s="65"/>
      <c r="B188" s="52"/>
      <c r="C188" s="66">
        <v>4170</v>
      </c>
      <c r="D188" s="409" t="s">
        <v>674</v>
      </c>
      <c r="E188" s="512">
        <v>13789</v>
      </c>
      <c r="F188" s="594">
        <v>4000</v>
      </c>
      <c r="G188" s="594"/>
      <c r="H188" s="512">
        <f t="shared" si="2"/>
        <v>9789</v>
      </c>
      <c r="I188" s="107"/>
      <c r="J188" s="107"/>
      <c r="L188" s="78"/>
    </row>
    <row r="189" spans="1:12" s="79" customFormat="1" ht="21.75" customHeight="1">
      <c r="A189" s="65"/>
      <c r="B189" s="52"/>
      <c r="C189" s="333"/>
      <c r="D189" s="387" t="s">
        <v>667</v>
      </c>
      <c r="E189" s="111">
        <v>5978361</v>
      </c>
      <c r="F189" s="406">
        <f>SUM(F190:F193)</f>
        <v>2238</v>
      </c>
      <c r="G189" s="406">
        <f>SUM(G190:G193)</f>
        <v>54570</v>
      </c>
      <c r="H189" s="406">
        <f t="shared" si="2"/>
        <v>6030693</v>
      </c>
      <c r="I189" s="107"/>
      <c r="J189" s="107"/>
      <c r="L189" s="78"/>
    </row>
    <row r="190" spans="1:12" s="403" customFormat="1" ht="21.75" customHeight="1">
      <c r="A190" s="145"/>
      <c r="B190" s="125"/>
      <c r="C190" s="233">
        <v>4140</v>
      </c>
      <c r="D190" s="234" t="s">
        <v>597</v>
      </c>
      <c r="E190" s="310">
        <v>8180</v>
      </c>
      <c r="F190" s="235"/>
      <c r="G190" s="235">
        <v>1530</v>
      </c>
      <c r="H190" s="235">
        <f t="shared" si="2"/>
        <v>9710</v>
      </c>
      <c r="I190" s="117"/>
      <c r="J190" s="117"/>
      <c r="L190" s="404"/>
    </row>
    <row r="191" spans="1:12" s="120" customFormat="1" ht="21.75" customHeight="1">
      <c r="A191" s="144"/>
      <c r="B191" s="66"/>
      <c r="C191" s="231">
        <v>4260</v>
      </c>
      <c r="D191" s="232" t="s">
        <v>731</v>
      </c>
      <c r="E191" s="114">
        <v>2044060</v>
      </c>
      <c r="F191" s="114"/>
      <c r="G191" s="114">
        <f>32000-9000</f>
        <v>23000</v>
      </c>
      <c r="H191" s="114">
        <f t="shared" si="2"/>
        <v>2067060</v>
      </c>
      <c r="I191" s="119"/>
      <c r="J191" s="119"/>
      <c r="L191" s="119"/>
    </row>
    <row r="192" spans="1:12" s="407" customFormat="1" ht="21.75" customHeight="1">
      <c r="A192" s="144"/>
      <c r="B192" s="66"/>
      <c r="C192" s="67">
        <v>4270</v>
      </c>
      <c r="D192" s="385" t="s">
        <v>307</v>
      </c>
      <c r="E192" s="414">
        <v>971119</v>
      </c>
      <c r="F192" s="415"/>
      <c r="G192" s="415">
        <f>26740+3300</f>
        <v>30040</v>
      </c>
      <c r="H192" s="415">
        <f t="shared" si="2"/>
        <v>1001159</v>
      </c>
      <c r="I192" s="119"/>
      <c r="J192" s="119"/>
      <c r="L192" s="408"/>
    </row>
    <row r="193" spans="1:12" s="407" customFormat="1" ht="21.75" customHeight="1">
      <c r="A193" s="144"/>
      <c r="B193" s="66"/>
      <c r="C193" s="231">
        <v>4440</v>
      </c>
      <c r="D193" s="232" t="s">
        <v>347</v>
      </c>
      <c r="E193" s="310">
        <v>1898325</v>
      </c>
      <c r="F193" s="235">
        <v>2238</v>
      </c>
      <c r="G193" s="235"/>
      <c r="H193" s="235">
        <f t="shared" si="2"/>
        <v>1896087</v>
      </c>
      <c r="I193" s="119"/>
      <c r="J193" s="119"/>
      <c r="L193" s="408"/>
    </row>
    <row r="194" spans="1:12" s="79" customFormat="1" ht="21.75" customHeight="1">
      <c r="A194" s="65"/>
      <c r="B194" s="52"/>
      <c r="C194" s="333"/>
      <c r="D194" s="387" t="s">
        <v>692</v>
      </c>
      <c r="E194" s="111">
        <v>6393542</v>
      </c>
      <c r="F194" s="406">
        <f>SUM(F195:F196)</f>
        <v>7002</v>
      </c>
      <c r="G194" s="406"/>
      <c r="H194" s="406">
        <f t="shared" si="2"/>
        <v>6386540</v>
      </c>
      <c r="I194" s="107"/>
      <c r="J194" s="107"/>
      <c r="L194" s="78"/>
    </row>
    <row r="195" spans="1:12" s="403" customFormat="1" ht="21.75" customHeight="1">
      <c r="A195" s="145"/>
      <c r="B195" s="125"/>
      <c r="C195" s="233">
        <v>4110</v>
      </c>
      <c r="D195" s="234" t="s">
        <v>729</v>
      </c>
      <c r="E195" s="310">
        <v>5609432</v>
      </c>
      <c r="F195" s="235">
        <v>6500</v>
      </c>
      <c r="G195" s="235"/>
      <c r="H195" s="235">
        <f t="shared" si="2"/>
        <v>5602932</v>
      </c>
      <c r="I195" s="117"/>
      <c r="J195" s="117"/>
      <c r="L195" s="404"/>
    </row>
    <row r="196" spans="1:12" s="403" customFormat="1" ht="21.75" customHeight="1">
      <c r="A196" s="145"/>
      <c r="B196" s="125"/>
      <c r="C196" s="233">
        <v>4120</v>
      </c>
      <c r="D196" s="234" t="s">
        <v>730</v>
      </c>
      <c r="E196" s="310">
        <v>784110</v>
      </c>
      <c r="F196" s="235">
        <f>1500-998</f>
        <v>502</v>
      </c>
      <c r="G196" s="235"/>
      <c r="H196" s="235">
        <f t="shared" si="2"/>
        <v>783608</v>
      </c>
      <c r="I196" s="117"/>
      <c r="J196" s="117"/>
      <c r="L196" s="404"/>
    </row>
    <row r="197" spans="1:12" s="99" customFormat="1" ht="21.75" customHeight="1">
      <c r="A197" s="61"/>
      <c r="B197" s="62">
        <v>80121</v>
      </c>
      <c r="C197" s="62"/>
      <c r="D197" s="62" t="s">
        <v>285</v>
      </c>
      <c r="E197" s="106">
        <v>878210</v>
      </c>
      <c r="F197" s="106">
        <f>F198+F200</f>
        <v>1700</v>
      </c>
      <c r="G197" s="106">
        <f>G198+G200</f>
        <v>15000</v>
      </c>
      <c r="H197" s="106">
        <f t="shared" si="2"/>
        <v>891510</v>
      </c>
      <c r="I197" s="107"/>
      <c r="J197" s="107"/>
      <c r="L197" s="107"/>
    </row>
    <row r="198" spans="1:12" s="79" customFormat="1" ht="21.75" customHeight="1">
      <c r="A198" s="65"/>
      <c r="B198" s="52"/>
      <c r="C198" s="333"/>
      <c r="D198" s="387" t="s">
        <v>348</v>
      </c>
      <c r="E198" s="111">
        <v>657200</v>
      </c>
      <c r="F198" s="406"/>
      <c r="G198" s="406">
        <f>G199</f>
        <v>15000</v>
      </c>
      <c r="H198" s="111">
        <f t="shared" si="2"/>
        <v>672200</v>
      </c>
      <c r="I198" s="107"/>
      <c r="J198" s="107"/>
      <c r="L198" s="78"/>
    </row>
    <row r="199" spans="1:12" s="79" customFormat="1" ht="21.75" customHeight="1">
      <c r="A199" s="65"/>
      <c r="B199" s="52"/>
      <c r="C199" s="67">
        <v>4010</v>
      </c>
      <c r="D199" s="385" t="s">
        <v>603</v>
      </c>
      <c r="E199" s="310">
        <v>605724</v>
      </c>
      <c r="F199" s="235"/>
      <c r="G199" s="235">
        <v>15000</v>
      </c>
      <c r="H199" s="114">
        <f t="shared" si="2"/>
        <v>620724</v>
      </c>
      <c r="I199" s="107"/>
      <c r="J199" s="107"/>
      <c r="L199" s="78"/>
    </row>
    <row r="200" spans="1:12" s="79" customFormat="1" ht="21.75" customHeight="1">
      <c r="A200" s="65"/>
      <c r="B200" s="52"/>
      <c r="C200" s="333"/>
      <c r="D200" s="387" t="s">
        <v>667</v>
      </c>
      <c r="E200" s="111">
        <v>85500</v>
      </c>
      <c r="F200" s="406">
        <f>F201</f>
        <v>1700</v>
      </c>
      <c r="G200" s="406"/>
      <c r="H200" s="406">
        <f t="shared" si="2"/>
        <v>83800</v>
      </c>
      <c r="I200" s="107"/>
      <c r="J200" s="107"/>
      <c r="L200" s="78"/>
    </row>
    <row r="201" spans="1:12" s="403" customFormat="1" ht="21.75" customHeight="1">
      <c r="A201" s="145"/>
      <c r="B201" s="125"/>
      <c r="C201" s="233">
        <v>4260</v>
      </c>
      <c r="D201" s="234" t="s">
        <v>731</v>
      </c>
      <c r="E201" s="310">
        <v>36000</v>
      </c>
      <c r="F201" s="235">
        <v>1700</v>
      </c>
      <c r="G201" s="235"/>
      <c r="H201" s="235">
        <f t="shared" si="2"/>
        <v>34300</v>
      </c>
      <c r="I201" s="117"/>
      <c r="J201" s="117"/>
      <c r="L201" s="404"/>
    </row>
    <row r="202" spans="1:12" s="99" customFormat="1" ht="21.75" customHeight="1">
      <c r="A202" s="61"/>
      <c r="B202" s="62">
        <v>80123</v>
      </c>
      <c r="C202" s="62"/>
      <c r="D202" s="62" t="s">
        <v>286</v>
      </c>
      <c r="E202" s="106">
        <v>8788031</v>
      </c>
      <c r="F202" s="106">
        <f>F203+F205+F207</f>
        <v>4364</v>
      </c>
      <c r="G202" s="106"/>
      <c r="H202" s="106">
        <f t="shared" si="2"/>
        <v>8783667</v>
      </c>
      <c r="I202" s="107"/>
      <c r="J202" s="107"/>
      <c r="L202" s="107"/>
    </row>
    <row r="203" spans="1:12" s="79" customFormat="1" ht="21.75" customHeight="1">
      <c r="A203" s="65"/>
      <c r="B203" s="52"/>
      <c r="C203" s="333"/>
      <c r="D203" s="387" t="s">
        <v>348</v>
      </c>
      <c r="E203" s="111">
        <v>6278418</v>
      </c>
      <c r="F203" s="406">
        <f>F204</f>
        <v>3914</v>
      </c>
      <c r="G203" s="406"/>
      <c r="H203" s="111">
        <f t="shared" si="2"/>
        <v>6274504</v>
      </c>
      <c r="I203" s="107"/>
      <c r="J203" s="107"/>
      <c r="L203" s="78"/>
    </row>
    <row r="204" spans="1:12" s="79" customFormat="1" ht="21.75" customHeight="1">
      <c r="A204" s="65"/>
      <c r="B204" s="52"/>
      <c r="C204" s="67">
        <v>4010</v>
      </c>
      <c r="D204" s="385" t="s">
        <v>603</v>
      </c>
      <c r="E204" s="310">
        <v>5833564</v>
      </c>
      <c r="F204" s="235">
        <f>5000-1086</f>
        <v>3914</v>
      </c>
      <c r="G204" s="235"/>
      <c r="H204" s="114">
        <f t="shared" si="2"/>
        <v>5829650</v>
      </c>
      <c r="I204" s="107"/>
      <c r="J204" s="107"/>
      <c r="L204" s="78"/>
    </row>
    <row r="205" spans="1:12" s="79" customFormat="1" ht="21.75" customHeight="1">
      <c r="A205" s="65"/>
      <c r="B205" s="52"/>
      <c r="C205" s="333"/>
      <c r="D205" s="387" t="s">
        <v>667</v>
      </c>
      <c r="E205" s="111">
        <v>729722</v>
      </c>
      <c r="F205" s="406">
        <f>SUM(F206:F206)</f>
        <v>250</v>
      </c>
      <c r="G205" s="406"/>
      <c r="H205" s="111">
        <f t="shared" si="2"/>
        <v>729472</v>
      </c>
      <c r="I205" s="107"/>
      <c r="J205" s="107"/>
      <c r="L205" s="78"/>
    </row>
    <row r="206" spans="1:12" s="79" customFormat="1" ht="21.75" customHeight="1">
      <c r="A206" s="65"/>
      <c r="B206" s="52"/>
      <c r="C206" s="66">
        <v>4440</v>
      </c>
      <c r="D206" s="409" t="s">
        <v>347</v>
      </c>
      <c r="E206" s="512">
        <v>370276</v>
      </c>
      <c r="F206" s="594">
        <v>250</v>
      </c>
      <c r="G206" s="594"/>
      <c r="H206" s="114">
        <f t="shared" si="2"/>
        <v>370026</v>
      </c>
      <c r="I206" s="107"/>
      <c r="J206" s="107"/>
      <c r="L206" s="78"/>
    </row>
    <row r="207" spans="1:12" s="79" customFormat="1" ht="21.75" customHeight="1">
      <c r="A207" s="65"/>
      <c r="B207" s="52"/>
      <c r="C207" s="333"/>
      <c r="D207" s="387" t="s">
        <v>692</v>
      </c>
      <c r="E207" s="111">
        <v>1231891</v>
      </c>
      <c r="F207" s="406">
        <f>SUM(F208:F208)</f>
        <v>200</v>
      </c>
      <c r="G207" s="406"/>
      <c r="H207" s="111">
        <f t="shared" si="2"/>
        <v>1231691</v>
      </c>
      <c r="I207" s="107"/>
      <c r="J207" s="107"/>
      <c r="L207" s="78"/>
    </row>
    <row r="208" spans="1:12" s="79" customFormat="1" ht="21.75" customHeight="1">
      <c r="A208" s="65"/>
      <c r="B208" s="52"/>
      <c r="C208" s="66">
        <v>4120</v>
      </c>
      <c r="D208" s="409" t="s">
        <v>730</v>
      </c>
      <c r="E208" s="512">
        <v>157465</v>
      </c>
      <c r="F208" s="594">
        <v>200</v>
      </c>
      <c r="G208" s="594"/>
      <c r="H208" s="114">
        <f aca="true" t="shared" si="3" ref="H208:H266">E208+G208-F208</f>
        <v>157265</v>
      </c>
      <c r="I208" s="107"/>
      <c r="J208" s="107"/>
      <c r="L208" s="78"/>
    </row>
    <row r="209" spans="1:12" s="99" customFormat="1" ht="21.75" customHeight="1">
      <c r="A209" s="61"/>
      <c r="B209" s="62">
        <v>80124</v>
      </c>
      <c r="C209" s="62"/>
      <c r="D209" s="62" t="s">
        <v>287</v>
      </c>
      <c r="E209" s="106">
        <v>556000</v>
      </c>
      <c r="F209" s="106">
        <f>F210</f>
        <v>2500</v>
      </c>
      <c r="G209" s="106"/>
      <c r="H209" s="106">
        <f t="shared" si="3"/>
        <v>553500</v>
      </c>
      <c r="I209" s="107"/>
      <c r="J209" s="107"/>
      <c r="L209" s="107"/>
    </row>
    <row r="210" spans="1:12" s="79" customFormat="1" ht="21.75" customHeight="1">
      <c r="A210" s="65"/>
      <c r="B210" s="52"/>
      <c r="C210" s="333"/>
      <c r="D210" s="387" t="s">
        <v>348</v>
      </c>
      <c r="E210" s="111">
        <v>421700</v>
      </c>
      <c r="F210" s="406">
        <f>F211</f>
        <v>2500</v>
      </c>
      <c r="G210" s="406"/>
      <c r="H210" s="111">
        <f t="shared" si="3"/>
        <v>419200</v>
      </c>
      <c r="I210" s="107"/>
      <c r="J210" s="107"/>
      <c r="L210" s="78"/>
    </row>
    <row r="211" spans="1:12" s="79" customFormat="1" ht="21.75" customHeight="1">
      <c r="A211" s="65"/>
      <c r="B211" s="55"/>
      <c r="C211" s="67">
        <v>4010</v>
      </c>
      <c r="D211" s="385" t="s">
        <v>603</v>
      </c>
      <c r="E211" s="310">
        <v>390451</v>
      </c>
      <c r="F211" s="235">
        <v>2500</v>
      </c>
      <c r="G211" s="235"/>
      <c r="H211" s="114">
        <f t="shared" si="3"/>
        <v>387951</v>
      </c>
      <c r="I211" s="107"/>
      <c r="J211" s="107"/>
      <c r="L211" s="78"/>
    </row>
    <row r="212" spans="1:12" s="79" customFormat="1" ht="21.75" customHeight="1">
      <c r="A212" s="61"/>
      <c r="B212" s="63">
        <v>80130</v>
      </c>
      <c r="C212" s="63"/>
      <c r="D212" s="63" t="s">
        <v>693</v>
      </c>
      <c r="E212" s="405">
        <v>47462159</v>
      </c>
      <c r="F212" s="379">
        <f>F213+F216+F220</f>
        <v>126061</v>
      </c>
      <c r="G212" s="379">
        <f>G213+G216+G220</f>
        <v>31139</v>
      </c>
      <c r="H212" s="379">
        <f t="shared" si="3"/>
        <v>47367237</v>
      </c>
      <c r="I212" s="107"/>
      <c r="J212" s="107"/>
      <c r="L212" s="78"/>
    </row>
    <row r="213" spans="1:12" s="79" customFormat="1" ht="21.75" customHeight="1">
      <c r="A213" s="65"/>
      <c r="B213" s="52"/>
      <c r="C213" s="333"/>
      <c r="D213" s="387" t="s">
        <v>348</v>
      </c>
      <c r="E213" s="111">
        <v>24632600</v>
      </c>
      <c r="F213" s="406">
        <f>SUM(F214:F215)</f>
        <v>83261</v>
      </c>
      <c r="G213" s="406"/>
      <c r="H213" s="111">
        <f t="shared" si="3"/>
        <v>24549339</v>
      </c>
      <c r="I213" s="107"/>
      <c r="J213" s="107"/>
      <c r="L213" s="78"/>
    </row>
    <row r="214" spans="1:12" s="79" customFormat="1" ht="21.75" customHeight="1">
      <c r="A214" s="595"/>
      <c r="B214" s="55"/>
      <c r="C214" s="67">
        <v>4010</v>
      </c>
      <c r="D214" s="385" t="s">
        <v>603</v>
      </c>
      <c r="E214" s="310">
        <v>22848749</v>
      </c>
      <c r="F214" s="235">
        <v>82900</v>
      </c>
      <c r="G214" s="235"/>
      <c r="H214" s="114">
        <f t="shared" si="3"/>
        <v>22765849</v>
      </c>
      <c r="I214" s="107"/>
      <c r="J214" s="107"/>
      <c r="L214" s="78"/>
    </row>
    <row r="215" spans="1:12" s="79" customFormat="1" ht="21.75" customHeight="1">
      <c r="A215" s="65"/>
      <c r="B215" s="52"/>
      <c r="C215" s="66">
        <v>4040</v>
      </c>
      <c r="D215" s="409" t="s">
        <v>5</v>
      </c>
      <c r="E215" s="512">
        <v>1770880</v>
      </c>
      <c r="F215" s="594">
        <v>361</v>
      </c>
      <c r="G215" s="594"/>
      <c r="H215" s="399">
        <f t="shared" si="3"/>
        <v>1770519</v>
      </c>
      <c r="I215" s="107"/>
      <c r="J215" s="107"/>
      <c r="L215" s="78"/>
    </row>
    <row r="216" spans="1:12" s="79" customFormat="1" ht="21.75" customHeight="1">
      <c r="A216" s="65"/>
      <c r="B216" s="52"/>
      <c r="C216" s="333"/>
      <c r="D216" s="387" t="s">
        <v>667</v>
      </c>
      <c r="E216" s="111">
        <v>5330469</v>
      </c>
      <c r="F216" s="406">
        <f>SUM(F217:F219)</f>
        <v>34800</v>
      </c>
      <c r="G216" s="406">
        <f>SUM(G217:G219)</f>
        <v>31139</v>
      </c>
      <c r="H216" s="111">
        <f t="shared" si="3"/>
        <v>5326808</v>
      </c>
      <c r="I216" s="107"/>
      <c r="J216" s="107"/>
      <c r="L216" s="78"/>
    </row>
    <row r="217" spans="1:12" s="79" customFormat="1" ht="21.75" customHeight="1">
      <c r="A217" s="65"/>
      <c r="B217" s="52"/>
      <c r="C217" s="67">
        <v>4260</v>
      </c>
      <c r="D217" s="385" t="s">
        <v>731</v>
      </c>
      <c r="E217" s="310">
        <v>1758920</v>
      </c>
      <c r="F217" s="235">
        <v>32200</v>
      </c>
      <c r="G217" s="235"/>
      <c r="H217" s="114">
        <f t="shared" si="3"/>
        <v>1726720</v>
      </c>
      <c r="I217" s="107"/>
      <c r="J217" s="107"/>
      <c r="L217" s="78"/>
    </row>
    <row r="218" spans="1:12" s="407" customFormat="1" ht="21.75" customHeight="1">
      <c r="A218" s="144"/>
      <c r="B218" s="66"/>
      <c r="C218" s="67">
        <v>4270</v>
      </c>
      <c r="D218" s="385" t="s">
        <v>307</v>
      </c>
      <c r="E218" s="399">
        <v>684741</v>
      </c>
      <c r="F218" s="410"/>
      <c r="G218" s="410">
        <f>34439-3300</f>
        <v>31139</v>
      </c>
      <c r="H218" s="410">
        <f t="shared" si="3"/>
        <v>715880</v>
      </c>
      <c r="I218" s="119"/>
      <c r="J218" s="119"/>
      <c r="L218" s="408"/>
    </row>
    <row r="219" spans="1:12" s="118" customFormat="1" ht="21.75" customHeight="1">
      <c r="A219" s="145"/>
      <c r="B219" s="125"/>
      <c r="C219" s="122">
        <v>4440</v>
      </c>
      <c r="D219" s="591" t="s">
        <v>347</v>
      </c>
      <c r="E219" s="500">
        <v>1473570</v>
      </c>
      <c r="F219" s="500">
        <v>2600</v>
      </c>
      <c r="G219" s="500"/>
      <c r="H219" s="500">
        <f t="shared" si="3"/>
        <v>1470970</v>
      </c>
      <c r="I219" s="117"/>
      <c r="J219" s="117"/>
      <c r="L219" s="117"/>
    </row>
    <row r="220" spans="1:12" s="79" customFormat="1" ht="21.75" customHeight="1">
      <c r="A220" s="65"/>
      <c r="B220" s="52"/>
      <c r="C220" s="52"/>
      <c r="D220" s="438" t="s">
        <v>692</v>
      </c>
      <c r="E220" s="576">
        <v>4684020</v>
      </c>
      <c r="F220" s="439">
        <f>SUM(F221:F222)</f>
        <v>8000</v>
      </c>
      <c r="G220" s="439"/>
      <c r="H220" s="576">
        <f t="shared" si="3"/>
        <v>4676020</v>
      </c>
      <c r="I220" s="107"/>
      <c r="J220" s="107"/>
      <c r="L220" s="78"/>
    </row>
    <row r="221" spans="1:12" s="79" customFormat="1" ht="21.75" customHeight="1">
      <c r="A221" s="65"/>
      <c r="B221" s="52"/>
      <c r="C221" s="67">
        <v>4110</v>
      </c>
      <c r="D221" s="385" t="s">
        <v>729</v>
      </c>
      <c r="E221" s="310">
        <v>4097270</v>
      </c>
      <c r="F221" s="235">
        <f>10000-6000</f>
        <v>4000</v>
      </c>
      <c r="G221" s="235"/>
      <c r="H221" s="114">
        <f t="shared" si="3"/>
        <v>4093270</v>
      </c>
      <c r="I221" s="107"/>
      <c r="J221" s="107"/>
      <c r="L221" s="78"/>
    </row>
    <row r="222" spans="1:12" s="407" customFormat="1" ht="21.75" customHeight="1">
      <c r="A222" s="144"/>
      <c r="B222" s="66"/>
      <c r="C222" s="339">
        <v>4120</v>
      </c>
      <c r="D222" s="340" t="s">
        <v>730</v>
      </c>
      <c r="E222" s="500">
        <v>586750</v>
      </c>
      <c r="F222" s="501">
        <v>4000</v>
      </c>
      <c r="G222" s="501"/>
      <c r="H222" s="500">
        <f t="shared" si="3"/>
        <v>582750</v>
      </c>
      <c r="I222" s="119"/>
      <c r="J222" s="119"/>
      <c r="L222" s="408"/>
    </row>
    <row r="223" spans="1:12" s="79" customFormat="1" ht="21.75" customHeight="1">
      <c r="A223" s="61"/>
      <c r="B223" s="62">
        <v>80132</v>
      </c>
      <c r="C223" s="62"/>
      <c r="D223" s="62" t="s">
        <v>288</v>
      </c>
      <c r="E223" s="106">
        <v>3503000</v>
      </c>
      <c r="F223" s="64"/>
      <c r="G223" s="64">
        <f>G224</f>
        <v>66000</v>
      </c>
      <c r="H223" s="64">
        <f t="shared" si="3"/>
        <v>3569000</v>
      </c>
      <c r="I223" s="107"/>
      <c r="J223" s="107"/>
      <c r="L223" s="78"/>
    </row>
    <row r="224" spans="1:12" s="79" customFormat="1" ht="21.75" customHeight="1">
      <c r="A224" s="65"/>
      <c r="B224" s="52"/>
      <c r="C224" s="333"/>
      <c r="D224" s="387" t="s">
        <v>348</v>
      </c>
      <c r="E224" s="111">
        <v>2651900</v>
      </c>
      <c r="F224" s="406"/>
      <c r="G224" s="406">
        <f>G225</f>
        <v>66000</v>
      </c>
      <c r="H224" s="111">
        <f t="shared" si="3"/>
        <v>2717900</v>
      </c>
      <c r="I224" s="107"/>
      <c r="J224" s="107"/>
      <c r="L224" s="78"/>
    </row>
    <row r="225" spans="1:12" s="79" customFormat="1" ht="21.75" customHeight="1">
      <c r="A225" s="65"/>
      <c r="B225" s="52"/>
      <c r="C225" s="67">
        <v>4010</v>
      </c>
      <c r="D225" s="385" t="s">
        <v>603</v>
      </c>
      <c r="E225" s="310">
        <v>2450039</v>
      </c>
      <c r="F225" s="235"/>
      <c r="G225" s="235">
        <v>66000</v>
      </c>
      <c r="H225" s="114">
        <f t="shared" si="3"/>
        <v>2516039</v>
      </c>
      <c r="I225" s="107"/>
      <c r="J225" s="107"/>
      <c r="L225" s="78"/>
    </row>
    <row r="226" spans="1:12" s="79" customFormat="1" ht="21.75" customHeight="1">
      <c r="A226" s="61"/>
      <c r="B226" s="62">
        <v>80134</v>
      </c>
      <c r="C226" s="62"/>
      <c r="D226" s="62" t="s">
        <v>289</v>
      </c>
      <c r="E226" s="106">
        <v>5184540</v>
      </c>
      <c r="F226" s="64"/>
      <c r="G226" s="64">
        <f>G227</f>
        <v>35000</v>
      </c>
      <c r="H226" s="64">
        <f t="shared" si="3"/>
        <v>5219540</v>
      </c>
      <c r="I226" s="107"/>
      <c r="J226" s="107"/>
      <c r="L226" s="78"/>
    </row>
    <row r="227" spans="1:12" s="79" customFormat="1" ht="21.75" customHeight="1">
      <c r="A227" s="65"/>
      <c r="B227" s="52"/>
      <c r="C227" s="333"/>
      <c r="D227" s="387" t="s">
        <v>348</v>
      </c>
      <c r="E227" s="111">
        <v>3919400</v>
      </c>
      <c r="F227" s="406"/>
      <c r="G227" s="406">
        <f>G228</f>
        <v>35000</v>
      </c>
      <c r="H227" s="111">
        <f t="shared" si="3"/>
        <v>3954400</v>
      </c>
      <c r="I227" s="107"/>
      <c r="J227" s="107"/>
      <c r="L227" s="78"/>
    </row>
    <row r="228" spans="1:12" s="79" customFormat="1" ht="21.75" customHeight="1">
      <c r="A228" s="65"/>
      <c r="B228" s="52"/>
      <c r="C228" s="67">
        <v>4010</v>
      </c>
      <c r="D228" s="385" t="s">
        <v>603</v>
      </c>
      <c r="E228" s="310">
        <v>3657123</v>
      </c>
      <c r="F228" s="235"/>
      <c r="G228" s="235">
        <v>35000</v>
      </c>
      <c r="H228" s="114">
        <f t="shared" si="3"/>
        <v>3692123</v>
      </c>
      <c r="I228" s="107"/>
      <c r="J228" s="107"/>
      <c r="L228" s="78"/>
    </row>
    <row r="229" spans="1:12" s="79" customFormat="1" ht="25.5">
      <c r="A229" s="61"/>
      <c r="B229" s="62">
        <v>80140</v>
      </c>
      <c r="C229" s="62"/>
      <c r="D229" s="236" t="s">
        <v>574</v>
      </c>
      <c r="E229" s="106">
        <v>10776820</v>
      </c>
      <c r="F229" s="64">
        <f>F230+F233</f>
        <v>3300</v>
      </c>
      <c r="G229" s="64">
        <f>G230+G233</f>
        <v>34800</v>
      </c>
      <c r="H229" s="64">
        <f t="shared" si="3"/>
        <v>10808320</v>
      </c>
      <c r="I229" s="107"/>
      <c r="J229" s="107"/>
      <c r="L229" s="78"/>
    </row>
    <row r="230" spans="1:12" s="79" customFormat="1" ht="21.75" customHeight="1">
      <c r="A230" s="65"/>
      <c r="B230" s="52"/>
      <c r="C230" s="333"/>
      <c r="D230" s="387" t="s">
        <v>348</v>
      </c>
      <c r="E230" s="111">
        <v>7989160</v>
      </c>
      <c r="F230" s="406">
        <f>SUM(F231:F232)</f>
        <v>1000</v>
      </c>
      <c r="G230" s="406">
        <f>G231</f>
        <v>34800</v>
      </c>
      <c r="H230" s="111">
        <f t="shared" si="3"/>
        <v>8022960</v>
      </c>
      <c r="I230" s="107"/>
      <c r="J230" s="107"/>
      <c r="L230" s="78"/>
    </row>
    <row r="231" spans="1:12" s="79" customFormat="1" ht="21.75" customHeight="1">
      <c r="A231" s="65"/>
      <c r="B231" s="52"/>
      <c r="C231" s="67">
        <v>4010</v>
      </c>
      <c r="D231" s="385" t="s">
        <v>603</v>
      </c>
      <c r="E231" s="310">
        <v>7344851</v>
      </c>
      <c r="F231" s="235"/>
      <c r="G231" s="235">
        <v>34800</v>
      </c>
      <c r="H231" s="114">
        <f t="shared" si="3"/>
        <v>7379651</v>
      </c>
      <c r="I231" s="107"/>
      <c r="J231" s="107"/>
      <c r="L231" s="78"/>
    </row>
    <row r="232" spans="1:12" s="79" customFormat="1" ht="21.75" customHeight="1">
      <c r="A232" s="65"/>
      <c r="B232" s="52"/>
      <c r="C232" s="339">
        <v>4170</v>
      </c>
      <c r="D232" s="340" t="s">
        <v>674</v>
      </c>
      <c r="E232" s="500">
        <v>25000</v>
      </c>
      <c r="F232" s="501">
        <v>1000</v>
      </c>
      <c r="G232" s="501"/>
      <c r="H232" s="500">
        <f t="shared" si="3"/>
        <v>24000</v>
      </c>
      <c r="I232" s="107"/>
      <c r="J232" s="107"/>
      <c r="L232" s="78"/>
    </row>
    <row r="233" spans="1:12" s="79" customFormat="1" ht="21.75" customHeight="1">
      <c r="A233" s="65"/>
      <c r="B233" s="52"/>
      <c r="C233" s="52"/>
      <c r="D233" s="438" t="s">
        <v>692</v>
      </c>
      <c r="E233" s="576">
        <v>1565840</v>
      </c>
      <c r="F233" s="439">
        <f>SUM(F234:F235)</f>
        <v>2300</v>
      </c>
      <c r="G233" s="439"/>
      <c r="H233" s="439">
        <f t="shared" si="3"/>
        <v>1563540</v>
      </c>
      <c r="I233" s="107"/>
      <c r="J233" s="107"/>
      <c r="L233" s="78"/>
    </row>
    <row r="234" spans="1:12" s="407" customFormat="1" ht="21.75" customHeight="1">
      <c r="A234" s="144"/>
      <c r="B234" s="66"/>
      <c r="C234" s="67">
        <v>4110</v>
      </c>
      <c r="D234" s="385" t="s">
        <v>729</v>
      </c>
      <c r="E234" s="114">
        <v>1370550</v>
      </c>
      <c r="F234" s="395">
        <f>10000-8200</f>
        <v>1800</v>
      </c>
      <c r="G234" s="395"/>
      <c r="H234" s="395">
        <f t="shared" si="3"/>
        <v>1368750</v>
      </c>
      <c r="I234" s="119"/>
      <c r="J234" s="119"/>
      <c r="L234" s="408"/>
    </row>
    <row r="235" spans="1:12" s="407" customFormat="1" ht="21.75" customHeight="1">
      <c r="A235" s="144"/>
      <c r="B235" s="67"/>
      <c r="C235" s="67">
        <v>4120</v>
      </c>
      <c r="D235" s="385" t="s">
        <v>730</v>
      </c>
      <c r="E235" s="114">
        <v>195290</v>
      </c>
      <c r="F235" s="395">
        <v>500</v>
      </c>
      <c r="G235" s="395"/>
      <c r="H235" s="395">
        <f t="shared" si="3"/>
        <v>194790</v>
      </c>
      <c r="I235" s="119"/>
      <c r="J235" s="119"/>
      <c r="L235" s="408"/>
    </row>
    <row r="236" spans="1:12" s="79" customFormat="1" ht="21.75" customHeight="1">
      <c r="A236" s="61"/>
      <c r="B236" s="63">
        <v>80146</v>
      </c>
      <c r="C236" s="63"/>
      <c r="D236" s="63" t="s">
        <v>206</v>
      </c>
      <c r="E236" s="405">
        <v>1630000</v>
      </c>
      <c r="F236" s="379">
        <f>F237</f>
        <v>11591</v>
      </c>
      <c r="G236" s="379">
        <f>G237</f>
        <v>11591</v>
      </c>
      <c r="H236" s="379">
        <f t="shared" si="3"/>
        <v>1630000</v>
      </c>
      <c r="I236" s="107"/>
      <c r="J236" s="107"/>
      <c r="L236" s="78"/>
    </row>
    <row r="237" spans="1:12" s="79" customFormat="1" ht="21.75" customHeight="1">
      <c r="A237" s="65"/>
      <c r="B237" s="333"/>
      <c r="C237" s="333"/>
      <c r="D237" s="387" t="s">
        <v>269</v>
      </c>
      <c r="E237" s="111">
        <v>1630000</v>
      </c>
      <c r="F237" s="406">
        <f>SUM(F238:F241)</f>
        <v>11591</v>
      </c>
      <c r="G237" s="406">
        <f>SUM(G238:G241)</f>
        <v>11591</v>
      </c>
      <c r="H237" s="406">
        <f t="shared" si="3"/>
        <v>1630000</v>
      </c>
      <c r="I237" s="107"/>
      <c r="J237" s="107"/>
      <c r="L237" s="78"/>
    </row>
    <row r="238" spans="1:12" s="403" customFormat="1" ht="21.75" customHeight="1">
      <c r="A238" s="145"/>
      <c r="B238" s="125"/>
      <c r="C238" s="233">
        <v>4110</v>
      </c>
      <c r="D238" s="234" t="s">
        <v>729</v>
      </c>
      <c r="E238" s="310">
        <v>41466</v>
      </c>
      <c r="F238" s="235"/>
      <c r="G238" s="235">
        <v>70</v>
      </c>
      <c r="H238" s="235">
        <f t="shared" si="3"/>
        <v>41536</v>
      </c>
      <c r="I238" s="117"/>
      <c r="J238" s="117"/>
      <c r="L238" s="404"/>
    </row>
    <row r="239" spans="1:12" s="403" customFormat="1" ht="21.75" customHeight="1">
      <c r="A239" s="145"/>
      <c r="B239" s="125"/>
      <c r="C239" s="233">
        <v>4120</v>
      </c>
      <c r="D239" s="234" t="s">
        <v>730</v>
      </c>
      <c r="E239" s="310">
        <v>5653</v>
      </c>
      <c r="F239" s="235"/>
      <c r="G239" s="235">
        <v>10</v>
      </c>
      <c r="H239" s="235">
        <f t="shared" si="3"/>
        <v>5663</v>
      </c>
      <c r="I239" s="117"/>
      <c r="J239" s="117"/>
      <c r="L239" s="404"/>
    </row>
    <row r="240" spans="1:12" s="403" customFormat="1" ht="21.75" customHeight="1">
      <c r="A240" s="145"/>
      <c r="B240" s="125"/>
      <c r="C240" s="233">
        <v>4170</v>
      </c>
      <c r="D240" s="234" t="s">
        <v>674</v>
      </c>
      <c r="E240" s="310">
        <v>101053</v>
      </c>
      <c r="F240" s="235">
        <v>11591</v>
      </c>
      <c r="G240" s="235"/>
      <c r="H240" s="235">
        <f t="shared" si="3"/>
        <v>89462</v>
      </c>
      <c r="I240" s="117"/>
      <c r="J240" s="117"/>
      <c r="L240" s="404"/>
    </row>
    <row r="241" spans="1:12" s="403" customFormat="1" ht="21.75" customHeight="1">
      <c r="A241" s="870"/>
      <c r="B241" s="233"/>
      <c r="C241" s="122">
        <v>4300</v>
      </c>
      <c r="D241" s="591" t="s">
        <v>664</v>
      </c>
      <c r="E241" s="500">
        <v>928019</v>
      </c>
      <c r="F241" s="501"/>
      <c r="G241" s="501">
        <v>11511</v>
      </c>
      <c r="H241" s="501">
        <f t="shared" si="3"/>
        <v>939530</v>
      </c>
      <c r="I241" s="117"/>
      <c r="J241" s="117"/>
      <c r="L241" s="404"/>
    </row>
    <row r="242" spans="1:12" s="79" customFormat="1" ht="21.75" customHeight="1">
      <c r="A242" s="61"/>
      <c r="B242" s="63">
        <v>80195</v>
      </c>
      <c r="C242" s="63"/>
      <c r="D242" s="63" t="s">
        <v>646</v>
      </c>
      <c r="E242" s="405">
        <v>2717461</v>
      </c>
      <c r="F242" s="379"/>
      <c r="G242" s="379">
        <f>G243+G245</f>
        <v>34411</v>
      </c>
      <c r="H242" s="379">
        <f>E242+G242-F242</f>
        <v>2751872</v>
      </c>
      <c r="I242" s="107"/>
      <c r="J242" s="107"/>
      <c r="L242" s="78"/>
    </row>
    <row r="243" spans="1:12" s="79" customFormat="1" ht="21.75" customHeight="1">
      <c r="A243" s="65"/>
      <c r="B243" s="333"/>
      <c r="C243" s="333"/>
      <c r="D243" s="621" t="s">
        <v>429</v>
      </c>
      <c r="E243" s="112"/>
      <c r="F243" s="411"/>
      <c r="G243" s="411">
        <f>G244</f>
        <v>28200</v>
      </c>
      <c r="H243" s="411">
        <f>E243+G243-F243</f>
        <v>28200</v>
      </c>
      <c r="I243" s="107"/>
      <c r="J243" s="107"/>
      <c r="L243" s="78"/>
    </row>
    <row r="244" spans="1:12" s="403" customFormat="1" ht="21.75" customHeight="1">
      <c r="A244" s="145"/>
      <c r="B244" s="125"/>
      <c r="C244" s="233">
        <v>4170</v>
      </c>
      <c r="D244" s="508" t="s">
        <v>674</v>
      </c>
      <c r="E244" s="116"/>
      <c r="F244" s="443"/>
      <c r="G244" s="443">
        <f>13600+3000+11600</f>
        <v>28200</v>
      </c>
      <c r="H244" s="443">
        <f>E244+G244-F244</f>
        <v>28200</v>
      </c>
      <c r="I244" s="117"/>
      <c r="J244" s="117"/>
      <c r="L244" s="404"/>
    </row>
    <row r="245" spans="1:12" s="79" customFormat="1" ht="24.75" customHeight="1">
      <c r="A245" s="65"/>
      <c r="B245" s="52"/>
      <c r="C245" s="333"/>
      <c r="D245" s="386" t="s">
        <v>428</v>
      </c>
      <c r="E245" s="576">
        <v>19947</v>
      </c>
      <c r="F245" s="439"/>
      <c r="G245" s="439">
        <f>G246</f>
        <v>6211</v>
      </c>
      <c r="H245" s="439">
        <f>E245+G245-F245</f>
        <v>26158</v>
      </c>
      <c r="I245" s="107"/>
      <c r="J245" s="107"/>
      <c r="L245" s="78"/>
    </row>
    <row r="246" spans="1:12" s="407" customFormat="1" ht="21.75" customHeight="1">
      <c r="A246" s="1359"/>
      <c r="B246" s="67"/>
      <c r="C246" s="233">
        <v>4300</v>
      </c>
      <c r="D246" s="234" t="s">
        <v>664</v>
      </c>
      <c r="E246" s="114">
        <v>19947</v>
      </c>
      <c r="F246" s="395"/>
      <c r="G246" s="395">
        <v>6211</v>
      </c>
      <c r="H246" s="395">
        <f>E246+G246-F246</f>
        <v>26158</v>
      </c>
      <c r="I246" s="119"/>
      <c r="J246" s="119"/>
      <c r="L246" s="408"/>
    </row>
    <row r="247" spans="1:12" ht="21.75" customHeight="1">
      <c r="A247" s="58">
        <v>851</v>
      </c>
      <c r="B247" s="58"/>
      <c r="C247" s="58"/>
      <c r="D247" s="58" t="s">
        <v>650</v>
      </c>
      <c r="E247" s="59">
        <v>6195000</v>
      </c>
      <c r="F247" s="60">
        <f>F248+F260+F272</f>
        <v>45616</v>
      </c>
      <c r="G247" s="60">
        <f>G248+G260+G272</f>
        <v>45616</v>
      </c>
      <c r="H247" s="60">
        <f t="shared" si="3"/>
        <v>6195000</v>
      </c>
      <c r="I247" s="47"/>
      <c r="J247" s="47"/>
      <c r="L247" s="47"/>
    </row>
    <row r="248" spans="1:12" s="99" customFormat="1" ht="21.75" customHeight="1">
      <c r="A248" s="383"/>
      <c r="B248" s="62">
        <v>85153</v>
      </c>
      <c r="C248" s="62"/>
      <c r="D248" s="62" t="s">
        <v>832</v>
      </c>
      <c r="E248" s="106">
        <v>250000</v>
      </c>
      <c r="F248" s="106">
        <f>F249</f>
        <v>15400</v>
      </c>
      <c r="G248" s="106">
        <f>G249</f>
        <v>15400</v>
      </c>
      <c r="H248" s="106">
        <f t="shared" si="3"/>
        <v>250000</v>
      </c>
      <c r="I248" s="107"/>
      <c r="J248" s="107"/>
      <c r="L248" s="107"/>
    </row>
    <row r="249" spans="1:12" s="401" customFormat="1" ht="26.25" customHeight="1">
      <c r="A249" s="146"/>
      <c r="B249" s="151"/>
      <c r="C249" s="147"/>
      <c r="D249" s="942" t="s">
        <v>861</v>
      </c>
      <c r="E249" s="943">
        <v>250000</v>
      </c>
      <c r="F249" s="944">
        <f>F250+F252+F256+F258</f>
        <v>15400</v>
      </c>
      <c r="G249" s="944">
        <f>G250+G252+G256+G258</f>
        <v>15400</v>
      </c>
      <c r="H249" s="944">
        <f t="shared" si="3"/>
        <v>250000</v>
      </c>
      <c r="I249" s="148"/>
      <c r="J249" s="148"/>
      <c r="L249" s="402"/>
    </row>
    <row r="250" spans="1:12" s="99" customFormat="1" ht="27" customHeight="1">
      <c r="A250" s="146"/>
      <c r="B250" s="151"/>
      <c r="C250" s="83"/>
      <c r="D250" s="80" t="s">
        <v>855</v>
      </c>
      <c r="E250" s="576">
        <v>26720</v>
      </c>
      <c r="F250" s="576">
        <f>F251</f>
        <v>4800</v>
      </c>
      <c r="G250" s="576"/>
      <c r="H250" s="576">
        <f t="shared" si="3"/>
        <v>21920</v>
      </c>
      <c r="I250" s="107"/>
      <c r="J250" s="107"/>
      <c r="L250" s="107"/>
    </row>
    <row r="251" spans="1:12" s="403" customFormat="1" ht="21" customHeight="1">
      <c r="A251" s="145"/>
      <c r="B251" s="125"/>
      <c r="C251" s="233">
        <v>4280</v>
      </c>
      <c r="D251" s="234" t="s">
        <v>732</v>
      </c>
      <c r="E251" s="310">
        <v>10720</v>
      </c>
      <c r="F251" s="235">
        <v>4800</v>
      </c>
      <c r="G251" s="235"/>
      <c r="H251" s="235">
        <f t="shared" si="3"/>
        <v>5920</v>
      </c>
      <c r="I251" s="117"/>
      <c r="J251" s="117"/>
      <c r="L251" s="404"/>
    </row>
    <row r="252" spans="1:12" s="99" customFormat="1" ht="27" customHeight="1">
      <c r="A252" s="146"/>
      <c r="B252" s="151"/>
      <c r="C252" s="83"/>
      <c r="D252" s="80" t="s">
        <v>856</v>
      </c>
      <c r="E252" s="576">
        <v>185280</v>
      </c>
      <c r="F252" s="576">
        <f>SUM(F253:F255)</f>
        <v>10600</v>
      </c>
      <c r="G252" s="576">
        <f>SUM(G253:G255)</f>
        <v>10600</v>
      </c>
      <c r="H252" s="576">
        <f t="shared" si="3"/>
        <v>185280</v>
      </c>
      <c r="I252" s="107"/>
      <c r="J252" s="107"/>
      <c r="L252" s="107"/>
    </row>
    <row r="253" spans="1:12" s="403" customFormat="1" ht="21" customHeight="1">
      <c r="A253" s="145"/>
      <c r="B253" s="125"/>
      <c r="C253" s="233">
        <v>4170</v>
      </c>
      <c r="D253" s="234" t="s">
        <v>674</v>
      </c>
      <c r="E253" s="310">
        <v>66460</v>
      </c>
      <c r="F253" s="235"/>
      <c r="G253" s="235">
        <v>2100</v>
      </c>
      <c r="H253" s="235">
        <f t="shared" si="3"/>
        <v>68560</v>
      </c>
      <c r="I253" s="117"/>
      <c r="J253" s="117"/>
      <c r="L253" s="404"/>
    </row>
    <row r="254" spans="1:12" s="403" customFormat="1" ht="21" customHeight="1">
      <c r="A254" s="145"/>
      <c r="B254" s="125"/>
      <c r="C254" s="122">
        <v>4210</v>
      </c>
      <c r="D254" s="591" t="s">
        <v>663</v>
      </c>
      <c r="E254" s="310">
        <v>8125</v>
      </c>
      <c r="F254" s="235"/>
      <c r="G254" s="235">
        <f>3500+5000</f>
        <v>8500</v>
      </c>
      <c r="H254" s="235">
        <f t="shared" si="3"/>
        <v>16625</v>
      </c>
      <c r="I254" s="117"/>
      <c r="J254" s="117"/>
      <c r="L254" s="404"/>
    </row>
    <row r="255" spans="1:12" s="403" customFormat="1" ht="21" customHeight="1">
      <c r="A255" s="145"/>
      <c r="B255" s="125"/>
      <c r="C255" s="122">
        <v>4300</v>
      </c>
      <c r="D255" s="591" t="s">
        <v>664</v>
      </c>
      <c r="E255" s="310">
        <v>26700</v>
      </c>
      <c r="F255" s="235">
        <f>12600-2000</f>
        <v>10600</v>
      </c>
      <c r="G255" s="235"/>
      <c r="H255" s="235">
        <f t="shared" si="3"/>
        <v>16100</v>
      </c>
      <c r="I255" s="117"/>
      <c r="J255" s="117"/>
      <c r="L255" s="404"/>
    </row>
    <row r="256" spans="1:12" s="99" customFormat="1" ht="51" customHeight="1">
      <c r="A256" s="146"/>
      <c r="B256" s="151"/>
      <c r="C256" s="945"/>
      <c r="D256" s="860" t="s">
        <v>857</v>
      </c>
      <c r="E256" s="576">
        <v>12000</v>
      </c>
      <c r="F256" s="576"/>
      <c r="G256" s="576">
        <f>G257</f>
        <v>1800</v>
      </c>
      <c r="H256" s="576">
        <f t="shared" si="3"/>
        <v>13800</v>
      </c>
      <c r="I256" s="107"/>
      <c r="J256" s="107"/>
      <c r="L256" s="107"/>
    </row>
    <row r="257" spans="1:12" s="403" customFormat="1" ht="21" customHeight="1">
      <c r="A257" s="145"/>
      <c r="B257" s="125"/>
      <c r="C257" s="233">
        <v>4300</v>
      </c>
      <c r="D257" s="234" t="s">
        <v>664</v>
      </c>
      <c r="E257" s="310">
        <v>4410</v>
      </c>
      <c r="F257" s="235"/>
      <c r="G257" s="235">
        <v>1800</v>
      </c>
      <c r="H257" s="235">
        <f t="shared" si="3"/>
        <v>6210</v>
      </c>
      <c r="I257" s="117"/>
      <c r="J257" s="117"/>
      <c r="L257" s="404"/>
    </row>
    <row r="258" spans="1:12" s="99" customFormat="1" ht="22.5" customHeight="1">
      <c r="A258" s="146"/>
      <c r="B258" s="151"/>
      <c r="C258" s="945"/>
      <c r="D258" s="860" t="s">
        <v>858</v>
      </c>
      <c r="E258" s="576">
        <v>26000</v>
      </c>
      <c r="F258" s="576"/>
      <c r="G258" s="576">
        <f>G259</f>
        <v>3000</v>
      </c>
      <c r="H258" s="576">
        <f t="shared" si="3"/>
        <v>29000</v>
      </c>
      <c r="I258" s="107"/>
      <c r="J258" s="107"/>
      <c r="L258" s="107"/>
    </row>
    <row r="259" spans="1:12" s="403" customFormat="1" ht="21" customHeight="1">
      <c r="A259" s="145"/>
      <c r="B259" s="125"/>
      <c r="C259" s="233">
        <v>4210</v>
      </c>
      <c r="D259" s="234" t="s">
        <v>663</v>
      </c>
      <c r="E259" s="310">
        <v>4000</v>
      </c>
      <c r="F259" s="235"/>
      <c r="G259" s="235">
        <v>3000</v>
      </c>
      <c r="H259" s="235">
        <f t="shared" si="3"/>
        <v>7000</v>
      </c>
      <c r="I259" s="117"/>
      <c r="J259" s="117"/>
      <c r="L259" s="404"/>
    </row>
    <row r="260" spans="1:12" s="99" customFormat="1" ht="19.5" customHeight="1">
      <c r="A260" s="66"/>
      <c r="B260" s="62">
        <v>85154</v>
      </c>
      <c r="C260" s="62"/>
      <c r="D260" s="62" t="s">
        <v>673</v>
      </c>
      <c r="E260" s="106">
        <v>4305000</v>
      </c>
      <c r="F260" s="106">
        <f>F261</f>
        <v>30074</v>
      </c>
      <c r="G260" s="106">
        <f>G261</f>
        <v>30074</v>
      </c>
      <c r="H260" s="106">
        <f t="shared" si="3"/>
        <v>4305000</v>
      </c>
      <c r="I260" s="107"/>
      <c r="J260" s="107"/>
      <c r="L260" s="107"/>
    </row>
    <row r="261" spans="1:12" s="401" customFormat="1" ht="26.25" customHeight="1">
      <c r="A261" s="146"/>
      <c r="B261" s="151"/>
      <c r="C261" s="147"/>
      <c r="D261" s="942" t="s">
        <v>860</v>
      </c>
      <c r="E261" s="943">
        <v>4305000</v>
      </c>
      <c r="F261" s="944">
        <f>F262+F268</f>
        <v>30074</v>
      </c>
      <c r="G261" s="944">
        <f>G262+G268</f>
        <v>30074</v>
      </c>
      <c r="H261" s="944">
        <f t="shared" si="3"/>
        <v>4305000</v>
      </c>
      <c r="I261" s="148"/>
      <c r="J261" s="148"/>
      <c r="L261" s="402"/>
    </row>
    <row r="262" spans="1:12" s="99" customFormat="1" ht="79.5" customHeight="1">
      <c r="A262" s="146"/>
      <c r="B262" s="151"/>
      <c r="C262" s="83"/>
      <c r="D262" s="80" t="s">
        <v>781</v>
      </c>
      <c r="E262" s="576">
        <v>1910000</v>
      </c>
      <c r="F262" s="576">
        <f>SUM(F263:F267)</f>
        <v>20074</v>
      </c>
      <c r="G262" s="576">
        <f>SUM(G263:G267)</f>
        <v>20074</v>
      </c>
      <c r="H262" s="576">
        <f t="shared" si="3"/>
        <v>1910000</v>
      </c>
      <c r="I262" s="107"/>
      <c r="J262" s="107"/>
      <c r="L262" s="107"/>
    </row>
    <row r="263" spans="1:12" s="118" customFormat="1" ht="19.5" customHeight="1">
      <c r="A263" s="145"/>
      <c r="B263" s="125"/>
      <c r="C263" s="231">
        <v>4110</v>
      </c>
      <c r="D263" s="232" t="s">
        <v>729</v>
      </c>
      <c r="E263" s="116">
        <v>53212</v>
      </c>
      <c r="F263" s="116">
        <v>64</v>
      </c>
      <c r="G263" s="116"/>
      <c r="H263" s="116">
        <f t="shared" si="3"/>
        <v>53148</v>
      </c>
      <c r="I263" s="117"/>
      <c r="J263" s="117"/>
      <c r="L263" s="117"/>
    </row>
    <row r="264" spans="1:12" s="118" customFormat="1" ht="19.5" customHeight="1">
      <c r="A264" s="870"/>
      <c r="B264" s="233"/>
      <c r="C264" s="231">
        <v>4120</v>
      </c>
      <c r="D264" s="232" t="s">
        <v>730</v>
      </c>
      <c r="E264" s="116">
        <v>7506</v>
      </c>
      <c r="F264" s="116">
        <v>10</v>
      </c>
      <c r="G264" s="116"/>
      <c r="H264" s="116">
        <f t="shared" si="3"/>
        <v>7496</v>
      </c>
      <c r="I264" s="117"/>
      <c r="J264" s="117"/>
      <c r="L264" s="117"/>
    </row>
    <row r="265" spans="1:12" s="403" customFormat="1" ht="21" customHeight="1">
      <c r="A265" s="145"/>
      <c r="B265" s="125"/>
      <c r="C265" s="233">
        <v>4170</v>
      </c>
      <c r="D265" s="234" t="s">
        <v>674</v>
      </c>
      <c r="E265" s="310">
        <v>394139</v>
      </c>
      <c r="F265" s="235"/>
      <c r="G265" s="235">
        <v>74</v>
      </c>
      <c r="H265" s="235">
        <f t="shared" si="3"/>
        <v>394213</v>
      </c>
      <c r="I265" s="117"/>
      <c r="J265" s="117"/>
      <c r="L265" s="404"/>
    </row>
    <row r="266" spans="1:12" s="403" customFormat="1" ht="21" customHeight="1">
      <c r="A266" s="145"/>
      <c r="B266" s="125"/>
      <c r="C266" s="233">
        <v>4210</v>
      </c>
      <c r="D266" s="234" t="s">
        <v>663</v>
      </c>
      <c r="E266" s="310">
        <v>146336</v>
      </c>
      <c r="F266" s="235"/>
      <c r="G266" s="235">
        <v>20000</v>
      </c>
      <c r="H266" s="235">
        <f t="shared" si="3"/>
        <v>166336</v>
      </c>
      <c r="I266" s="117"/>
      <c r="J266" s="117"/>
      <c r="L266" s="404"/>
    </row>
    <row r="267" spans="1:12" s="403" customFormat="1" ht="21" customHeight="1">
      <c r="A267" s="145"/>
      <c r="B267" s="125"/>
      <c r="C267" s="122">
        <v>4300</v>
      </c>
      <c r="D267" s="591" t="s">
        <v>664</v>
      </c>
      <c r="E267" s="310">
        <v>598172</v>
      </c>
      <c r="F267" s="235">
        <v>20000</v>
      </c>
      <c r="G267" s="235"/>
      <c r="H267" s="235">
        <f aca="true" t="shared" si="4" ref="H267:H350">E267+G267-F267</f>
        <v>578172</v>
      </c>
      <c r="I267" s="117"/>
      <c r="J267" s="117"/>
      <c r="L267" s="404"/>
    </row>
    <row r="268" spans="1:12" s="99" customFormat="1" ht="24" customHeight="1">
      <c r="A268" s="146"/>
      <c r="B268" s="151"/>
      <c r="C268" s="83"/>
      <c r="D268" s="80" t="s">
        <v>858</v>
      </c>
      <c r="E268" s="576">
        <v>286000</v>
      </c>
      <c r="F268" s="576">
        <f>SUM(F269:F271)</f>
        <v>10000</v>
      </c>
      <c r="G268" s="576">
        <f>SUM(G269:G271)</f>
        <v>10000</v>
      </c>
      <c r="H268" s="576">
        <f t="shared" si="4"/>
        <v>286000</v>
      </c>
      <c r="I268" s="107"/>
      <c r="J268" s="107"/>
      <c r="L268" s="107"/>
    </row>
    <row r="269" spans="1:12" s="403" customFormat="1" ht="21" customHeight="1">
      <c r="A269" s="145"/>
      <c r="B269" s="125"/>
      <c r="C269" s="233">
        <v>4170</v>
      </c>
      <c r="D269" s="234" t="s">
        <v>674</v>
      </c>
      <c r="E269" s="310">
        <v>12000</v>
      </c>
      <c r="F269" s="235">
        <v>3000</v>
      </c>
      <c r="G269" s="235"/>
      <c r="H269" s="235">
        <f t="shared" si="4"/>
        <v>9000</v>
      </c>
      <c r="I269" s="117"/>
      <c r="J269" s="117"/>
      <c r="L269" s="404"/>
    </row>
    <row r="270" spans="1:12" s="403" customFormat="1" ht="21" customHeight="1">
      <c r="A270" s="145"/>
      <c r="B270" s="125"/>
      <c r="C270" s="122">
        <v>4210</v>
      </c>
      <c r="D270" s="591" t="s">
        <v>663</v>
      </c>
      <c r="E270" s="310">
        <v>82500</v>
      </c>
      <c r="F270" s="235"/>
      <c r="G270" s="235">
        <v>10000</v>
      </c>
      <c r="H270" s="235">
        <f t="shared" si="4"/>
        <v>92500</v>
      </c>
      <c r="I270" s="117"/>
      <c r="J270" s="117"/>
      <c r="L270" s="404"/>
    </row>
    <row r="271" spans="1:12" s="403" customFormat="1" ht="21" customHeight="1">
      <c r="A271" s="145"/>
      <c r="B271" s="125"/>
      <c r="C271" s="122">
        <v>4300</v>
      </c>
      <c r="D271" s="591" t="s">
        <v>664</v>
      </c>
      <c r="E271" s="310">
        <v>89000</v>
      </c>
      <c r="F271" s="235">
        <v>7000</v>
      </c>
      <c r="G271" s="235"/>
      <c r="H271" s="235">
        <f t="shared" si="4"/>
        <v>82000</v>
      </c>
      <c r="I271" s="117"/>
      <c r="J271" s="117"/>
      <c r="L271" s="404"/>
    </row>
    <row r="272" spans="1:12" s="99" customFormat="1" ht="19.5" customHeight="1">
      <c r="A272" s="66"/>
      <c r="B272" s="62">
        <v>85195</v>
      </c>
      <c r="C272" s="62"/>
      <c r="D272" s="62" t="s">
        <v>646</v>
      </c>
      <c r="E272" s="106">
        <v>420000</v>
      </c>
      <c r="F272" s="106">
        <f>F273</f>
        <v>142</v>
      </c>
      <c r="G272" s="106">
        <f>G273</f>
        <v>142</v>
      </c>
      <c r="H272" s="106">
        <f t="shared" si="4"/>
        <v>420000</v>
      </c>
      <c r="I272" s="107"/>
      <c r="J272" s="107"/>
      <c r="L272" s="107"/>
    </row>
    <row r="273" spans="1:12" s="401" customFormat="1" ht="26.25" customHeight="1">
      <c r="A273" s="146"/>
      <c r="B273" s="151"/>
      <c r="C273" s="147"/>
      <c r="D273" s="942" t="s">
        <v>4</v>
      </c>
      <c r="E273" s="943">
        <v>400000</v>
      </c>
      <c r="F273" s="944">
        <f>F274</f>
        <v>142</v>
      </c>
      <c r="G273" s="944">
        <f>G274</f>
        <v>142</v>
      </c>
      <c r="H273" s="944">
        <f t="shared" si="4"/>
        <v>400000</v>
      </c>
      <c r="I273" s="148"/>
      <c r="J273" s="148"/>
      <c r="L273" s="402"/>
    </row>
    <row r="274" spans="1:12" s="99" customFormat="1" ht="29.25" customHeight="1">
      <c r="A274" s="146"/>
      <c r="B274" s="151"/>
      <c r="C274" s="83"/>
      <c r="D274" s="80" t="s">
        <v>3</v>
      </c>
      <c r="E274" s="576">
        <v>70160</v>
      </c>
      <c r="F274" s="576">
        <f>SUM(F275:F277)</f>
        <v>142</v>
      </c>
      <c r="G274" s="576">
        <f>SUM(G275:G276)</f>
        <v>142</v>
      </c>
      <c r="H274" s="576">
        <f t="shared" si="4"/>
        <v>70160</v>
      </c>
      <c r="I274" s="107"/>
      <c r="J274" s="107"/>
      <c r="L274" s="107"/>
    </row>
    <row r="275" spans="1:12" s="118" customFormat="1" ht="19.5" customHeight="1">
      <c r="A275" s="145"/>
      <c r="B275" s="125"/>
      <c r="C275" s="231">
        <v>4110</v>
      </c>
      <c r="D275" s="232" t="s">
        <v>729</v>
      </c>
      <c r="E275" s="116">
        <v>531</v>
      </c>
      <c r="F275" s="116"/>
      <c r="G275" s="116">
        <v>124</v>
      </c>
      <c r="H275" s="116">
        <f t="shared" si="4"/>
        <v>655</v>
      </c>
      <c r="I275" s="117"/>
      <c r="J275" s="117"/>
      <c r="L275" s="117"/>
    </row>
    <row r="276" spans="1:12" s="118" customFormat="1" ht="19.5" customHeight="1">
      <c r="A276" s="145"/>
      <c r="B276" s="125"/>
      <c r="C276" s="231">
        <v>4120</v>
      </c>
      <c r="D276" s="232" t="s">
        <v>730</v>
      </c>
      <c r="E276" s="116">
        <v>73</v>
      </c>
      <c r="F276" s="116"/>
      <c r="G276" s="116">
        <v>18</v>
      </c>
      <c r="H276" s="116">
        <f t="shared" si="4"/>
        <v>91</v>
      </c>
      <c r="I276" s="117"/>
      <c r="J276" s="117"/>
      <c r="L276" s="117"/>
    </row>
    <row r="277" spans="1:12" s="118" customFormat="1" ht="19.5" customHeight="1">
      <c r="A277" s="145"/>
      <c r="B277" s="125"/>
      <c r="C277" s="233">
        <v>4170</v>
      </c>
      <c r="D277" s="234" t="s">
        <v>674</v>
      </c>
      <c r="E277" s="310">
        <v>4196</v>
      </c>
      <c r="F277" s="310">
        <v>142</v>
      </c>
      <c r="G277" s="310"/>
      <c r="H277" s="310">
        <f t="shared" si="4"/>
        <v>4054</v>
      </c>
      <c r="I277" s="117"/>
      <c r="J277" s="117"/>
      <c r="L277" s="117"/>
    </row>
    <row r="278" spans="1:12" ht="19.5" customHeight="1">
      <c r="A278" s="74">
        <v>852</v>
      </c>
      <c r="B278" s="74"/>
      <c r="C278" s="74"/>
      <c r="D278" s="74" t="s">
        <v>648</v>
      </c>
      <c r="E278" s="59">
        <v>99723725</v>
      </c>
      <c r="F278" s="60">
        <f>F312+F279+F332+F295+F309+F320+F306+F329</f>
        <v>237844</v>
      </c>
      <c r="G278" s="60">
        <f>G312+G279+G332+G295+G309+G320+G306+G329</f>
        <v>379366</v>
      </c>
      <c r="H278" s="60">
        <f t="shared" si="4"/>
        <v>99865247</v>
      </c>
      <c r="I278" s="47"/>
      <c r="J278" s="47"/>
      <c r="L278" s="47"/>
    </row>
    <row r="279" spans="1:12" s="99" customFormat="1" ht="19.5" customHeight="1">
      <c r="A279" s="383"/>
      <c r="B279" s="62">
        <v>85201</v>
      </c>
      <c r="C279" s="62"/>
      <c r="D279" s="62" t="s">
        <v>817</v>
      </c>
      <c r="E279" s="106">
        <v>12357468</v>
      </c>
      <c r="F279" s="106">
        <f>F283+F290+F280</f>
        <v>1845</v>
      </c>
      <c r="G279" s="106">
        <f>G283+G290+G280+G287</f>
        <v>113527</v>
      </c>
      <c r="H279" s="106">
        <f t="shared" si="4"/>
        <v>12469150</v>
      </c>
      <c r="I279" s="107"/>
      <c r="J279" s="107"/>
      <c r="L279" s="107"/>
    </row>
    <row r="280" spans="1:12" s="99" customFormat="1" ht="19.5" customHeight="1">
      <c r="A280" s="146"/>
      <c r="B280" s="151"/>
      <c r="C280" s="83"/>
      <c r="D280" s="80" t="s">
        <v>127</v>
      </c>
      <c r="E280" s="112">
        <v>3604915</v>
      </c>
      <c r="F280" s="112"/>
      <c r="G280" s="112">
        <f>SUM(G281:G282)</f>
        <v>5387</v>
      </c>
      <c r="H280" s="112">
        <f t="shared" si="4"/>
        <v>3610302</v>
      </c>
      <c r="I280" s="107"/>
      <c r="J280" s="107"/>
      <c r="L280" s="107"/>
    </row>
    <row r="281" spans="1:12" s="118" customFormat="1" ht="21.75" customHeight="1">
      <c r="A281" s="145"/>
      <c r="B281" s="125"/>
      <c r="C281" s="231">
        <v>4010</v>
      </c>
      <c r="D281" s="232" t="s">
        <v>603</v>
      </c>
      <c r="E281" s="116">
        <v>3345793</v>
      </c>
      <c r="F281" s="116"/>
      <c r="G281" s="116">
        <v>3650</v>
      </c>
      <c r="H281" s="116">
        <f>E281+G281-F281</f>
        <v>3349443</v>
      </c>
      <c r="I281" s="117"/>
      <c r="J281" s="117"/>
      <c r="L281" s="117"/>
    </row>
    <row r="282" spans="1:12" s="118" customFormat="1" ht="19.5" customHeight="1">
      <c r="A282" s="145"/>
      <c r="B282" s="125"/>
      <c r="C282" s="231">
        <v>4170</v>
      </c>
      <c r="D282" s="232" t="s">
        <v>674</v>
      </c>
      <c r="E282" s="116">
        <v>25500</v>
      </c>
      <c r="F282" s="116"/>
      <c r="G282" s="116">
        <v>1737</v>
      </c>
      <c r="H282" s="116">
        <f t="shared" si="4"/>
        <v>27237</v>
      </c>
      <c r="I282" s="117"/>
      <c r="J282" s="117"/>
      <c r="L282" s="117"/>
    </row>
    <row r="283" spans="1:12" s="99" customFormat="1" ht="19.5" customHeight="1">
      <c r="A283" s="146"/>
      <c r="B283" s="151"/>
      <c r="C283" s="83"/>
      <c r="D283" s="80" t="s">
        <v>667</v>
      </c>
      <c r="E283" s="112">
        <v>1682930</v>
      </c>
      <c r="F283" s="112">
        <f>SUM(F284:F286)</f>
        <v>1845</v>
      </c>
      <c r="G283" s="112"/>
      <c r="H283" s="112">
        <f t="shared" si="4"/>
        <v>1681085</v>
      </c>
      <c r="I283" s="107"/>
      <c r="J283" s="107"/>
      <c r="L283" s="107"/>
    </row>
    <row r="284" spans="1:12" s="118" customFormat="1" ht="19.5" customHeight="1">
      <c r="A284" s="145"/>
      <c r="B284" s="125"/>
      <c r="C284" s="231">
        <v>3110</v>
      </c>
      <c r="D284" s="232" t="s">
        <v>320</v>
      </c>
      <c r="E284" s="116">
        <v>391390</v>
      </c>
      <c r="F284" s="116">
        <v>108</v>
      </c>
      <c r="G284" s="116"/>
      <c r="H284" s="116">
        <f t="shared" si="4"/>
        <v>391282</v>
      </c>
      <c r="I284" s="117"/>
      <c r="J284" s="117"/>
      <c r="L284" s="117"/>
    </row>
    <row r="285" spans="1:12" s="118" customFormat="1" ht="19.5" customHeight="1">
      <c r="A285" s="145"/>
      <c r="B285" s="125"/>
      <c r="C285" s="66">
        <v>4210</v>
      </c>
      <c r="D285" s="383" t="s">
        <v>663</v>
      </c>
      <c r="E285" s="116">
        <v>219250</v>
      </c>
      <c r="F285" s="116">
        <v>1008</v>
      </c>
      <c r="G285" s="116"/>
      <c r="H285" s="116">
        <f t="shared" si="4"/>
        <v>218242</v>
      </c>
      <c r="I285" s="117"/>
      <c r="J285" s="117"/>
      <c r="L285" s="117"/>
    </row>
    <row r="286" spans="1:12" s="118" customFormat="1" ht="19.5" customHeight="1">
      <c r="A286" s="145"/>
      <c r="B286" s="125"/>
      <c r="C286" s="339">
        <v>4430</v>
      </c>
      <c r="D286" s="339" t="s">
        <v>733</v>
      </c>
      <c r="E286" s="500">
        <v>12598</v>
      </c>
      <c r="F286" s="500">
        <v>729</v>
      </c>
      <c r="G286" s="500"/>
      <c r="H286" s="500">
        <f t="shared" si="4"/>
        <v>11869</v>
      </c>
      <c r="I286" s="117"/>
      <c r="J286" s="117"/>
      <c r="L286" s="117"/>
    </row>
    <row r="287" spans="1:12" s="79" customFormat="1" ht="21.75" customHeight="1">
      <c r="A287" s="65"/>
      <c r="B287" s="52"/>
      <c r="C287" s="52"/>
      <c r="D287" s="438" t="s">
        <v>692</v>
      </c>
      <c r="E287" s="576">
        <v>694400</v>
      </c>
      <c r="F287" s="439"/>
      <c r="G287" s="439">
        <f>SUM(G288:G289)</f>
        <v>460</v>
      </c>
      <c r="H287" s="439">
        <f>E287+G287-F287</f>
        <v>694860</v>
      </c>
      <c r="I287" s="107"/>
      <c r="J287" s="107"/>
      <c r="L287" s="78"/>
    </row>
    <row r="288" spans="1:12" s="407" customFormat="1" ht="21.75" customHeight="1">
      <c r="A288" s="144"/>
      <c r="B288" s="66"/>
      <c r="C288" s="67">
        <v>4110</v>
      </c>
      <c r="D288" s="385" t="s">
        <v>729</v>
      </c>
      <c r="E288" s="114">
        <v>609280</v>
      </c>
      <c r="F288" s="116"/>
      <c r="G288" s="395">
        <v>430</v>
      </c>
      <c r="H288" s="395">
        <f>E288+G288-F288</f>
        <v>609710</v>
      </c>
      <c r="I288" s="119"/>
      <c r="J288" s="119"/>
      <c r="L288" s="408"/>
    </row>
    <row r="289" spans="1:12" s="407" customFormat="1" ht="21.75" customHeight="1">
      <c r="A289" s="144"/>
      <c r="B289" s="66"/>
      <c r="C289" s="67">
        <v>4120</v>
      </c>
      <c r="D289" s="385" t="s">
        <v>730</v>
      </c>
      <c r="E289" s="114">
        <v>85120</v>
      </c>
      <c r="F289" s="116"/>
      <c r="G289" s="395">
        <v>30</v>
      </c>
      <c r="H289" s="395">
        <f>E289+G289-F289</f>
        <v>85150</v>
      </c>
      <c r="I289" s="119"/>
      <c r="J289" s="119"/>
      <c r="L289" s="408"/>
    </row>
    <row r="290" spans="1:12" s="79" customFormat="1" ht="19.5" customHeight="1">
      <c r="A290" s="65"/>
      <c r="B290" s="52"/>
      <c r="C290" s="52"/>
      <c r="D290" s="438" t="s">
        <v>130</v>
      </c>
      <c r="E290" s="576">
        <v>2245223</v>
      </c>
      <c r="F290" s="439"/>
      <c r="G290" s="439">
        <f>G292+G294</f>
        <v>107680</v>
      </c>
      <c r="H290" s="439">
        <f t="shared" si="4"/>
        <v>2352903</v>
      </c>
      <c r="I290" s="107"/>
      <c r="J290" s="107"/>
      <c r="L290" s="78"/>
    </row>
    <row r="291" spans="1:12" s="407" customFormat="1" ht="19.5" customHeight="1">
      <c r="A291" s="144"/>
      <c r="B291" s="66"/>
      <c r="C291" s="66"/>
      <c r="D291" s="1050" t="s">
        <v>897</v>
      </c>
      <c r="E291" s="1051">
        <v>1356323</v>
      </c>
      <c r="F291" s="1052"/>
      <c r="G291" s="1052">
        <f>47680+38100-8000</f>
        <v>77780</v>
      </c>
      <c r="H291" s="1052">
        <f t="shared" si="4"/>
        <v>1434103</v>
      </c>
      <c r="I291" s="119"/>
      <c r="J291" s="119"/>
      <c r="L291" s="408"/>
    </row>
    <row r="292" spans="1:12" s="407" customFormat="1" ht="19.5" customHeight="1">
      <c r="A292" s="1359"/>
      <c r="B292" s="67"/>
      <c r="C292" s="67">
        <v>6050</v>
      </c>
      <c r="D292" s="1059" t="s">
        <v>125</v>
      </c>
      <c r="E292" s="1060">
        <v>2156323</v>
      </c>
      <c r="F292" s="1061"/>
      <c r="G292" s="1061">
        <f>G291</f>
        <v>77780</v>
      </c>
      <c r="H292" s="1061">
        <f t="shared" si="4"/>
        <v>2234103</v>
      </c>
      <c r="I292" s="119"/>
      <c r="J292" s="119"/>
      <c r="L292" s="408"/>
    </row>
    <row r="293" spans="1:12" s="407" customFormat="1" ht="19.5" customHeight="1">
      <c r="A293" s="144"/>
      <c r="B293" s="66"/>
      <c r="C293" s="66"/>
      <c r="D293" s="1056" t="s">
        <v>894</v>
      </c>
      <c r="E293" s="1057">
        <v>88900</v>
      </c>
      <c r="F293" s="1058"/>
      <c r="G293" s="1058">
        <f>8000+21900</f>
        <v>29900</v>
      </c>
      <c r="H293" s="1058">
        <f t="shared" si="4"/>
        <v>118800</v>
      </c>
      <c r="I293" s="119"/>
      <c r="J293" s="119"/>
      <c r="L293" s="408"/>
    </row>
    <row r="294" spans="1:12" s="407" customFormat="1" ht="19.5" customHeight="1">
      <c r="A294" s="144"/>
      <c r="B294" s="66"/>
      <c r="C294" s="66">
        <v>6060</v>
      </c>
      <c r="D294" s="1053" t="s">
        <v>895</v>
      </c>
      <c r="E294" s="1054">
        <v>88900</v>
      </c>
      <c r="F294" s="1055"/>
      <c r="G294" s="1055">
        <f>G293</f>
        <v>29900</v>
      </c>
      <c r="H294" s="1055">
        <f t="shared" si="4"/>
        <v>118800</v>
      </c>
      <c r="I294" s="119"/>
      <c r="J294" s="119"/>
      <c r="L294" s="408"/>
    </row>
    <row r="295" spans="1:12" s="99" customFormat="1" ht="19.5" customHeight="1">
      <c r="A295" s="66"/>
      <c r="B295" s="62">
        <v>85202</v>
      </c>
      <c r="C295" s="62"/>
      <c r="D295" s="62" t="s">
        <v>220</v>
      </c>
      <c r="E295" s="106">
        <v>19389359</v>
      </c>
      <c r="F295" s="106">
        <f>F296+F299</f>
        <v>86214</v>
      </c>
      <c r="G295" s="106">
        <f>G296+G299</f>
        <v>217300</v>
      </c>
      <c r="H295" s="106">
        <f t="shared" si="4"/>
        <v>19520445</v>
      </c>
      <c r="I295" s="107"/>
      <c r="J295" s="107"/>
      <c r="L295" s="107"/>
    </row>
    <row r="296" spans="1:12" s="99" customFormat="1" ht="19.5" customHeight="1">
      <c r="A296" s="146"/>
      <c r="B296" s="151"/>
      <c r="C296" s="83"/>
      <c r="D296" s="80" t="s">
        <v>667</v>
      </c>
      <c r="E296" s="111">
        <v>3705434</v>
      </c>
      <c r="F296" s="111"/>
      <c r="G296" s="111">
        <f>SUM(G297:G298)</f>
        <v>119900</v>
      </c>
      <c r="H296" s="111">
        <f t="shared" si="4"/>
        <v>3825334</v>
      </c>
      <c r="I296" s="107"/>
      <c r="J296" s="107"/>
      <c r="L296" s="107"/>
    </row>
    <row r="297" spans="1:12" s="118" customFormat="1" ht="19.5" customHeight="1">
      <c r="A297" s="145"/>
      <c r="B297" s="125"/>
      <c r="C297" s="231">
        <v>4210</v>
      </c>
      <c r="D297" s="232" t="s">
        <v>663</v>
      </c>
      <c r="E297" s="310">
        <v>553420</v>
      </c>
      <c r="F297" s="310"/>
      <c r="G297" s="310">
        <f>55000+55000</f>
        <v>110000</v>
      </c>
      <c r="H297" s="116">
        <f t="shared" si="4"/>
        <v>663420</v>
      </c>
      <c r="I297" s="117"/>
      <c r="J297" s="117"/>
      <c r="L297" s="117"/>
    </row>
    <row r="298" spans="1:12" s="118" customFormat="1" ht="19.5" customHeight="1">
      <c r="A298" s="145"/>
      <c r="B298" s="125"/>
      <c r="C298" s="231">
        <v>4430</v>
      </c>
      <c r="D298" s="232" t="s">
        <v>733</v>
      </c>
      <c r="E298" s="310">
        <v>29039</v>
      </c>
      <c r="F298" s="310"/>
      <c r="G298" s="310">
        <v>9900</v>
      </c>
      <c r="H298" s="310">
        <f t="shared" si="4"/>
        <v>38939</v>
      </c>
      <c r="I298" s="117"/>
      <c r="J298" s="117"/>
      <c r="L298" s="117"/>
    </row>
    <row r="299" spans="1:12" s="79" customFormat="1" ht="18.75" customHeight="1">
      <c r="A299" s="65"/>
      <c r="B299" s="52"/>
      <c r="C299" s="52"/>
      <c r="D299" s="438" t="s">
        <v>130</v>
      </c>
      <c r="E299" s="576">
        <v>4021003</v>
      </c>
      <c r="F299" s="439">
        <f>F303+F305</f>
        <v>86214</v>
      </c>
      <c r="G299" s="439">
        <f>G303+G305</f>
        <v>97400</v>
      </c>
      <c r="H299" s="439">
        <f t="shared" si="4"/>
        <v>4032189</v>
      </c>
      <c r="I299" s="107"/>
      <c r="J299" s="107"/>
      <c r="L299" s="78"/>
    </row>
    <row r="300" spans="1:12" s="403" customFormat="1" ht="29.25" customHeight="1">
      <c r="A300" s="145"/>
      <c r="B300" s="125"/>
      <c r="C300" s="125"/>
      <c r="D300" s="473" t="s">
        <v>878</v>
      </c>
      <c r="E300" s="331">
        <v>143500</v>
      </c>
      <c r="F300" s="675">
        <f>86214</f>
        <v>86214</v>
      </c>
      <c r="G300" s="675"/>
      <c r="H300" s="675">
        <f t="shared" si="4"/>
        <v>57286</v>
      </c>
      <c r="I300" s="117"/>
      <c r="J300" s="117"/>
      <c r="L300" s="404"/>
    </row>
    <row r="301" spans="1:12" s="403" customFormat="1" ht="29.25" customHeight="1">
      <c r="A301" s="145"/>
      <c r="B301" s="125"/>
      <c r="C301" s="125"/>
      <c r="D301" s="1277" t="s">
        <v>13</v>
      </c>
      <c r="E301" s="623">
        <v>424058</v>
      </c>
      <c r="F301" s="624"/>
      <c r="G301" s="624">
        <f>24000+24000</f>
        <v>48000</v>
      </c>
      <c r="H301" s="624">
        <f t="shared" si="4"/>
        <v>472058</v>
      </c>
      <c r="I301" s="117"/>
      <c r="J301" s="117"/>
      <c r="L301" s="404"/>
    </row>
    <row r="302" spans="1:12" s="403" customFormat="1" ht="16.5" customHeight="1">
      <c r="A302" s="145"/>
      <c r="B302" s="125"/>
      <c r="C302" s="125"/>
      <c r="D302" s="400" t="s">
        <v>879</v>
      </c>
      <c r="E302" s="332">
        <v>2250845</v>
      </c>
      <c r="F302" s="466"/>
      <c r="G302" s="466">
        <f>7400</f>
        <v>7400</v>
      </c>
      <c r="H302" s="466">
        <f t="shared" si="4"/>
        <v>2258245</v>
      </c>
      <c r="I302" s="117"/>
      <c r="J302" s="117"/>
      <c r="L302" s="404"/>
    </row>
    <row r="303" spans="1:12" s="79" customFormat="1" ht="18.75" customHeight="1">
      <c r="A303" s="65"/>
      <c r="B303" s="52"/>
      <c r="C303" s="231">
        <v>6050</v>
      </c>
      <c r="D303" s="232" t="s">
        <v>125</v>
      </c>
      <c r="E303" s="310">
        <v>3448703</v>
      </c>
      <c r="F303" s="235">
        <f>SUM(F300:F302)</f>
        <v>86214</v>
      </c>
      <c r="G303" s="235">
        <f>SUM(G300:G302)</f>
        <v>55400</v>
      </c>
      <c r="H303" s="114">
        <f t="shared" si="4"/>
        <v>3417889</v>
      </c>
      <c r="I303" s="107"/>
      <c r="J303" s="107"/>
      <c r="L303" s="78"/>
    </row>
    <row r="304" spans="1:12" s="403" customFormat="1" ht="16.5" customHeight="1">
      <c r="A304" s="145"/>
      <c r="B304" s="125"/>
      <c r="C304" s="125"/>
      <c r="D304" s="400" t="s">
        <v>894</v>
      </c>
      <c r="E304" s="332">
        <v>572300</v>
      </c>
      <c r="F304" s="466"/>
      <c r="G304" s="466">
        <v>42000</v>
      </c>
      <c r="H304" s="466">
        <f t="shared" si="4"/>
        <v>614300</v>
      </c>
      <c r="I304" s="117"/>
      <c r="J304" s="117"/>
      <c r="L304" s="404"/>
    </row>
    <row r="305" spans="1:12" s="79" customFormat="1" ht="18.75" customHeight="1">
      <c r="A305" s="65"/>
      <c r="B305" s="55"/>
      <c r="C305" s="231">
        <v>6060</v>
      </c>
      <c r="D305" s="232" t="s">
        <v>895</v>
      </c>
      <c r="E305" s="310">
        <v>572300</v>
      </c>
      <c r="F305" s="235"/>
      <c r="G305" s="235">
        <f>G304</f>
        <v>42000</v>
      </c>
      <c r="H305" s="114">
        <f t="shared" si="4"/>
        <v>614300</v>
      </c>
      <c r="I305" s="107"/>
      <c r="J305" s="107"/>
      <c r="L305" s="78"/>
    </row>
    <row r="306" spans="1:12" s="99" customFormat="1" ht="19.5" customHeight="1">
      <c r="A306" s="66"/>
      <c r="B306" s="62">
        <v>85204</v>
      </c>
      <c r="C306" s="62"/>
      <c r="D306" s="62" t="s">
        <v>76</v>
      </c>
      <c r="E306" s="106">
        <v>5935500</v>
      </c>
      <c r="F306" s="106"/>
      <c r="G306" s="106">
        <f>G307</f>
        <v>5000</v>
      </c>
      <c r="H306" s="106">
        <f t="shared" si="4"/>
        <v>5940500</v>
      </c>
      <c r="I306" s="107"/>
      <c r="J306" s="107"/>
      <c r="L306" s="107"/>
    </row>
    <row r="307" spans="1:12" s="99" customFormat="1" ht="27.75" customHeight="1">
      <c r="A307" s="146"/>
      <c r="B307" s="151"/>
      <c r="C307" s="83"/>
      <c r="D307" s="80" t="s">
        <v>430</v>
      </c>
      <c r="E307" s="111">
        <v>406500</v>
      </c>
      <c r="F307" s="111"/>
      <c r="G307" s="111">
        <f>G308</f>
        <v>5000</v>
      </c>
      <c r="H307" s="111">
        <f t="shared" si="4"/>
        <v>411500</v>
      </c>
      <c r="I307" s="107"/>
      <c r="J307" s="107"/>
      <c r="L307" s="107"/>
    </row>
    <row r="308" spans="1:12" s="118" customFormat="1" ht="37.5" customHeight="1">
      <c r="A308" s="145"/>
      <c r="B308" s="125"/>
      <c r="C308" s="231">
        <v>2320</v>
      </c>
      <c r="D308" s="232" t="s">
        <v>431</v>
      </c>
      <c r="E308" s="310">
        <v>406500</v>
      </c>
      <c r="F308" s="310"/>
      <c r="G308" s="310">
        <v>5000</v>
      </c>
      <c r="H308" s="116">
        <f t="shared" si="4"/>
        <v>411500</v>
      </c>
      <c r="I308" s="117"/>
      <c r="J308" s="117"/>
      <c r="L308" s="117"/>
    </row>
    <row r="309" spans="1:12" s="99" customFormat="1" ht="27.75" customHeight="1">
      <c r="A309" s="66"/>
      <c r="B309" s="62">
        <v>85214</v>
      </c>
      <c r="C309" s="62"/>
      <c r="D309" s="236" t="s">
        <v>66</v>
      </c>
      <c r="E309" s="106">
        <v>9814344</v>
      </c>
      <c r="F309" s="106">
        <f>F310</f>
        <v>114344</v>
      </c>
      <c r="G309" s="106"/>
      <c r="H309" s="106">
        <f t="shared" si="4"/>
        <v>9700000</v>
      </c>
      <c r="I309" s="107"/>
      <c r="J309" s="107"/>
      <c r="L309" s="107"/>
    </row>
    <row r="310" spans="1:12" s="99" customFormat="1" ht="19.5" customHeight="1">
      <c r="A310" s="146"/>
      <c r="B310" s="151"/>
      <c r="C310" s="83"/>
      <c r="D310" s="80" t="s">
        <v>69</v>
      </c>
      <c r="E310" s="112">
        <v>9814344</v>
      </c>
      <c r="F310" s="112">
        <f>F311</f>
        <v>114344</v>
      </c>
      <c r="G310" s="112"/>
      <c r="H310" s="112">
        <f t="shared" si="4"/>
        <v>9700000</v>
      </c>
      <c r="I310" s="107"/>
      <c r="J310" s="107"/>
      <c r="L310" s="107"/>
    </row>
    <row r="311" spans="1:12" s="118" customFormat="1" ht="19.5" customHeight="1">
      <c r="A311" s="145"/>
      <c r="B311" s="125"/>
      <c r="C311" s="231">
        <v>3110</v>
      </c>
      <c r="D311" s="232" t="s">
        <v>320</v>
      </c>
      <c r="E311" s="116">
        <v>9814344</v>
      </c>
      <c r="F311" s="116">
        <f>98500+15844</f>
        <v>114344</v>
      </c>
      <c r="G311" s="116"/>
      <c r="H311" s="116">
        <f t="shared" si="4"/>
        <v>9700000</v>
      </c>
      <c r="I311" s="117"/>
      <c r="J311" s="117"/>
      <c r="L311" s="117"/>
    </row>
    <row r="312" spans="1:12" s="99" customFormat="1" ht="19.5" customHeight="1">
      <c r="A312" s="66"/>
      <c r="B312" s="62">
        <v>85219</v>
      </c>
      <c r="C312" s="62"/>
      <c r="D312" s="62" t="s">
        <v>813</v>
      </c>
      <c r="E312" s="106">
        <v>13479565</v>
      </c>
      <c r="F312" s="106">
        <f>F317+F313+F315</f>
        <v>1831</v>
      </c>
      <c r="G312" s="106">
        <f>G317+G313+G315</f>
        <v>15350</v>
      </c>
      <c r="H312" s="106">
        <f t="shared" si="4"/>
        <v>13493084</v>
      </c>
      <c r="I312" s="107"/>
      <c r="J312" s="107"/>
      <c r="L312" s="107"/>
    </row>
    <row r="313" spans="1:12" s="99" customFormat="1" ht="19.5" customHeight="1">
      <c r="A313" s="146"/>
      <c r="B313" s="151"/>
      <c r="C313" s="83"/>
      <c r="D313" s="80" t="s">
        <v>127</v>
      </c>
      <c r="E313" s="112">
        <v>9351910</v>
      </c>
      <c r="F313" s="112"/>
      <c r="G313" s="112">
        <f>G314</f>
        <v>10000</v>
      </c>
      <c r="H313" s="112">
        <f t="shared" si="4"/>
        <v>9361910</v>
      </c>
      <c r="I313" s="107"/>
      <c r="J313" s="107"/>
      <c r="L313" s="107"/>
    </row>
    <row r="314" spans="1:12" s="118" customFormat="1" ht="19.5" customHeight="1">
      <c r="A314" s="145"/>
      <c r="B314" s="125"/>
      <c r="C314" s="231">
        <v>4010</v>
      </c>
      <c r="D314" s="232" t="s">
        <v>603</v>
      </c>
      <c r="E314" s="116">
        <v>8664634</v>
      </c>
      <c r="F314" s="116"/>
      <c r="G314" s="116">
        <v>10000</v>
      </c>
      <c r="H314" s="116">
        <f t="shared" si="4"/>
        <v>8674634</v>
      </c>
      <c r="I314" s="117"/>
      <c r="J314" s="117"/>
      <c r="L314" s="117"/>
    </row>
    <row r="315" spans="1:12" s="99" customFormat="1" ht="19.5" customHeight="1">
      <c r="A315" s="146"/>
      <c r="B315" s="151"/>
      <c r="C315" s="83"/>
      <c r="D315" s="80" t="s">
        <v>667</v>
      </c>
      <c r="E315" s="112">
        <v>1617244</v>
      </c>
      <c r="F315" s="112">
        <f>F316</f>
        <v>1831</v>
      </c>
      <c r="G315" s="112"/>
      <c r="H315" s="112">
        <f t="shared" si="4"/>
        <v>1615413</v>
      </c>
      <c r="I315" s="107"/>
      <c r="J315" s="107"/>
      <c r="L315" s="107"/>
    </row>
    <row r="316" spans="1:12" s="118" customFormat="1" ht="19.5" customHeight="1">
      <c r="A316" s="145"/>
      <c r="B316" s="125"/>
      <c r="C316" s="231">
        <v>4300</v>
      </c>
      <c r="D316" s="232" t="s">
        <v>664</v>
      </c>
      <c r="E316" s="116">
        <v>800000</v>
      </c>
      <c r="F316" s="116">
        <v>1831</v>
      </c>
      <c r="G316" s="116"/>
      <c r="H316" s="116">
        <f t="shared" si="4"/>
        <v>798169</v>
      </c>
      <c r="I316" s="117"/>
      <c r="J316" s="117"/>
      <c r="L316" s="117"/>
    </row>
    <row r="317" spans="1:12" s="99" customFormat="1" ht="33.75" customHeight="1">
      <c r="A317" s="146"/>
      <c r="B317" s="151"/>
      <c r="C317" s="83"/>
      <c r="D317" s="80" t="s">
        <v>814</v>
      </c>
      <c r="E317" s="112">
        <v>57307</v>
      </c>
      <c r="F317" s="112"/>
      <c r="G317" s="112">
        <f>SUM(G318:G319)</f>
        <v>5350</v>
      </c>
      <c r="H317" s="112">
        <f t="shared" si="4"/>
        <v>62657</v>
      </c>
      <c r="I317" s="107"/>
      <c r="J317" s="107"/>
      <c r="L317" s="107"/>
    </row>
    <row r="318" spans="1:12" s="118" customFormat="1" ht="19.5" customHeight="1">
      <c r="A318" s="145"/>
      <c r="B318" s="125"/>
      <c r="C318" s="231">
        <v>4217</v>
      </c>
      <c r="D318" s="232" t="s">
        <v>663</v>
      </c>
      <c r="E318" s="116">
        <v>5900</v>
      </c>
      <c r="F318" s="116"/>
      <c r="G318" s="116">
        <v>3450</v>
      </c>
      <c r="H318" s="116">
        <f t="shared" si="4"/>
        <v>9350</v>
      </c>
      <c r="I318" s="117"/>
      <c r="J318" s="117"/>
      <c r="L318" s="117"/>
    </row>
    <row r="319" spans="1:12" s="118" customFormat="1" ht="19.5" customHeight="1">
      <c r="A319" s="870"/>
      <c r="B319" s="233"/>
      <c r="C319" s="231">
        <v>4427</v>
      </c>
      <c r="D319" s="232" t="s">
        <v>701</v>
      </c>
      <c r="E319" s="116">
        <v>32231</v>
      </c>
      <c r="F319" s="116"/>
      <c r="G319" s="116">
        <v>1900</v>
      </c>
      <c r="H319" s="116">
        <f t="shared" si="4"/>
        <v>34131</v>
      </c>
      <c r="I319" s="117"/>
      <c r="J319" s="117"/>
      <c r="L319" s="117"/>
    </row>
    <row r="320" spans="1:12" s="99" customFormat="1" ht="27" customHeight="1">
      <c r="A320" s="66"/>
      <c r="B320" s="63">
        <v>85220</v>
      </c>
      <c r="C320" s="63"/>
      <c r="D320" s="1343" t="s">
        <v>586</v>
      </c>
      <c r="E320" s="405">
        <v>562224</v>
      </c>
      <c r="F320" s="405">
        <f>F321+F324</f>
        <v>24500</v>
      </c>
      <c r="G320" s="405">
        <f>G321+G324</f>
        <v>26250</v>
      </c>
      <c r="H320" s="405">
        <f t="shared" si="4"/>
        <v>563974</v>
      </c>
      <c r="I320" s="107"/>
      <c r="J320" s="107"/>
      <c r="L320" s="107"/>
    </row>
    <row r="321" spans="1:12" s="99" customFormat="1" ht="21.75" customHeight="1">
      <c r="A321" s="146"/>
      <c r="B321" s="151"/>
      <c r="C321" s="383"/>
      <c r="D321" s="1201" t="s">
        <v>65</v>
      </c>
      <c r="E321" s="1203">
        <v>200000</v>
      </c>
      <c r="F321" s="1203"/>
      <c r="G321" s="1203">
        <f>G322</f>
        <v>1750</v>
      </c>
      <c r="H321" s="1203">
        <f t="shared" si="4"/>
        <v>201750</v>
      </c>
      <c r="I321" s="107"/>
      <c r="J321" s="107"/>
      <c r="L321" s="107"/>
    </row>
    <row r="322" spans="1:12" s="118" customFormat="1" ht="21.75" customHeight="1">
      <c r="A322" s="145"/>
      <c r="B322" s="125"/>
      <c r="C322" s="66"/>
      <c r="D322" s="1202" t="s">
        <v>127</v>
      </c>
      <c r="E322" s="1204">
        <v>124000</v>
      </c>
      <c r="F322" s="1204"/>
      <c r="G322" s="1204">
        <f>G323</f>
        <v>1750</v>
      </c>
      <c r="H322" s="1204">
        <f t="shared" si="4"/>
        <v>125750</v>
      </c>
      <c r="I322" s="117"/>
      <c r="J322" s="117"/>
      <c r="L322" s="117"/>
    </row>
    <row r="323" spans="1:12" s="118" customFormat="1" ht="21.75" customHeight="1">
      <c r="A323" s="145"/>
      <c r="B323" s="125"/>
      <c r="C323" s="66">
        <v>4010</v>
      </c>
      <c r="D323" s="66" t="s">
        <v>603</v>
      </c>
      <c r="E323" s="1205">
        <v>117008</v>
      </c>
      <c r="F323" s="1205"/>
      <c r="G323" s="1205">
        <v>1750</v>
      </c>
      <c r="H323" s="1205">
        <f t="shared" si="4"/>
        <v>118758</v>
      </c>
      <c r="I323" s="117"/>
      <c r="J323" s="117"/>
      <c r="L323" s="117"/>
    </row>
    <row r="324" spans="1:12" s="118" customFormat="1" ht="21.75" customHeight="1">
      <c r="A324" s="145"/>
      <c r="B324" s="125"/>
      <c r="C324" s="1224"/>
      <c r="D324" s="653" t="s">
        <v>839</v>
      </c>
      <c r="E324" s="1065">
        <v>257724</v>
      </c>
      <c r="F324" s="1065">
        <f>F325+F327</f>
        <v>24500</v>
      </c>
      <c r="G324" s="1065">
        <f>G325+G327</f>
        <v>24500</v>
      </c>
      <c r="H324" s="1065">
        <f t="shared" si="4"/>
        <v>257724</v>
      </c>
      <c r="I324" s="117"/>
      <c r="J324" s="117"/>
      <c r="L324" s="117"/>
    </row>
    <row r="325" spans="1:12" s="118" customFormat="1" ht="21.75" customHeight="1">
      <c r="A325" s="145"/>
      <c r="B325" s="125"/>
      <c r="C325" s="886"/>
      <c r="D325" s="1225" t="s">
        <v>348</v>
      </c>
      <c r="E325" s="1228">
        <v>68360</v>
      </c>
      <c r="F325" s="1228">
        <f>F326</f>
        <v>24500</v>
      </c>
      <c r="G325" s="1228"/>
      <c r="H325" s="1228">
        <f t="shared" si="4"/>
        <v>43860</v>
      </c>
      <c r="I325" s="117"/>
      <c r="J325" s="117"/>
      <c r="L325" s="117"/>
    </row>
    <row r="326" spans="1:12" s="118" customFormat="1" ht="21.75" customHeight="1">
      <c r="A326" s="145"/>
      <c r="B326" s="125"/>
      <c r="C326" s="231">
        <v>4170</v>
      </c>
      <c r="D326" s="1226" t="s">
        <v>674</v>
      </c>
      <c r="E326" s="659">
        <v>43160</v>
      </c>
      <c r="F326" s="659">
        <v>24500</v>
      </c>
      <c r="G326" s="659"/>
      <c r="H326" s="659">
        <f t="shared" si="4"/>
        <v>18660</v>
      </c>
      <c r="I326" s="117"/>
      <c r="J326" s="117"/>
      <c r="L326" s="117"/>
    </row>
    <row r="327" spans="1:12" s="118" customFormat="1" ht="21.75" customHeight="1">
      <c r="A327" s="145"/>
      <c r="B327" s="125"/>
      <c r="C327" s="115"/>
      <c r="D327" s="1227" t="s">
        <v>667</v>
      </c>
      <c r="E327" s="1077">
        <v>176324</v>
      </c>
      <c r="F327" s="1077"/>
      <c r="G327" s="1077">
        <f>G328</f>
        <v>24500</v>
      </c>
      <c r="H327" s="1077">
        <f t="shared" si="4"/>
        <v>200824</v>
      </c>
      <c r="I327" s="117"/>
      <c r="J327" s="117"/>
      <c r="L327" s="117"/>
    </row>
    <row r="328" spans="1:12" s="118" customFormat="1" ht="21.75" customHeight="1">
      <c r="A328" s="145"/>
      <c r="B328" s="125"/>
      <c r="C328" s="231">
        <v>4210</v>
      </c>
      <c r="D328" s="1226" t="s">
        <v>663</v>
      </c>
      <c r="E328" s="659">
        <v>65005</v>
      </c>
      <c r="F328" s="659"/>
      <c r="G328" s="659">
        <v>24500</v>
      </c>
      <c r="H328" s="659">
        <f t="shared" si="4"/>
        <v>89505</v>
      </c>
      <c r="I328" s="117"/>
      <c r="J328" s="117"/>
      <c r="L328" s="117"/>
    </row>
    <row r="329" spans="1:12" s="99" customFormat="1" ht="19.5" customHeight="1">
      <c r="A329" s="66"/>
      <c r="B329" s="62">
        <v>85228</v>
      </c>
      <c r="C329" s="62"/>
      <c r="D329" s="62" t="s">
        <v>432</v>
      </c>
      <c r="E329" s="106">
        <v>9075336</v>
      </c>
      <c r="F329" s="106">
        <f>F330</f>
        <v>9110</v>
      </c>
      <c r="G329" s="106"/>
      <c r="H329" s="106">
        <f t="shared" si="4"/>
        <v>9066226</v>
      </c>
      <c r="I329" s="107"/>
      <c r="J329" s="107"/>
      <c r="L329" s="107"/>
    </row>
    <row r="330" spans="1:12" s="99" customFormat="1" ht="19.5" customHeight="1">
      <c r="A330" s="146"/>
      <c r="B330" s="151"/>
      <c r="C330" s="83"/>
      <c r="D330" s="80" t="s">
        <v>433</v>
      </c>
      <c r="E330" s="112">
        <v>9075336</v>
      </c>
      <c r="F330" s="112">
        <f>F331</f>
        <v>9110</v>
      </c>
      <c r="G330" s="112"/>
      <c r="H330" s="112">
        <f t="shared" si="4"/>
        <v>9066226</v>
      </c>
      <c r="I330" s="107"/>
      <c r="J330" s="107"/>
      <c r="L330" s="107"/>
    </row>
    <row r="331" spans="1:12" s="118" customFormat="1" ht="19.5" customHeight="1">
      <c r="A331" s="145"/>
      <c r="B331" s="125"/>
      <c r="C331" s="231">
        <v>4300</v>
      </c>
      <c r="D331" s="232" t="s">
        <v>664</v>
      </c>
      <c r="E331" s="116">
        <v>9075336</v>
      </c>
      <c r="F331" s="116">
        <v>9110</v>
      </c>
      <c r="G331" s="116"/>
      <c r="H331" s="116">
        <f t="shared" si="4"/>
        <v>9066226</v>
      </c>
      <c r="I331" s="117"/>
      <c r="J331" s="117"/>
      <c r="L331" s="117"/>
    </row>
    <row r="332" spans="1:12" s="99" customFormat="1" ht="21.75" customHeight="1">
      <c r="A332" s="66"/>
      <c r="B332" s="62">
        <v>85295</v>
      </c>
      <c r="C332" s="62"/>
      <c r="D332" s="62" t="s">
        <v>646</v>
      </c>
      <c r="E332" s="106">
        <v>4535675</v>
      </c>
      <c r="F332" s="106"/>
      <c r="G332" s="106">
        <f>G333</f>
        <v>1939</v>
      </c>
      <c r="H332" s="106">
        <f t="shared" si="4"/>
        <v>4537614</v>
      </c>
      <c r="I332" s="107"/>
      <c r="J332" s="107"/>
      <c r="L332" s="107"/>
    </row>
    <row r="333" spans="1:12" s="99" customFormat="1" ht="24.75" customHeight="1">
      <c r="A333" s="146"/>
      <c r="B333" s="151"/>
      <c r="C333" s="83"/>
      <c r="D333" s="80" t="s">
        <v>818</v>
      </c>
      <c r="E333" s="112">
        <v>14675</v>
      </c>
      <c r="F333" s="112"/>
      <c r="G333" s="112">
        <f>G334</f>
        <v>1939</v>
      </c>
      <c r="H333" s="112">
        <f t="shared" si="4"/>
        <v>16614</v>
      </c>
      <c r="I333" s="107"/>
      <c r="J333" s="107"/>
      <c r="L333" s="107"/>
    </row>
    <row r="334" spans="1:12" s="118" customFormat="1" ht="19.5" customHeight="1">
      <c r="A334" s="145"/>
      <c r="B334" s="125"/>
      <c r="C334" s="231">
        <v>3110</v>
      </c>
      <c r="D334" s="232" t="s">
        <v>320</v>
      </c>
      <c r="E334" s="116">
        <v>14675</v>
      </c>
      <c r="F334" s="116"/>
      <c r="G334" s="116">
        <f>108+1831</f>
        <v>1939</v>
      </c>
      <c r="H334" s="116">
        <f t="shared" si="4"/>
        <v>16614</v>
      </c>
      <c r="I334" s="117"/>
      <c r="J334" s="117"/>
      <c r="L334" s="117"/>
    </row>
    <row r="335" spans="1:12" ht="21.75" customHeight="1">
      <c r="A335" s="74">
        <v>853</v>
      </c>
      <c r="B335" s="74"/>
      <c r="C335" s="74"/>
      <c r="D335" s="74" t="s">
        <v>691</v>
      </c>
      <c r="E335" s="59">
        <v>9945267</v>
      </c>
      <c r="F335" s="60">
        <f>F336+F341</f>
        <v>26500</v>
      </c>
      <c r="G335" s="60">
        <f>G336</f>
        <v>26500</v>
      </c>
      <c r="H335" s="60">
        <f aca="true" t="shared" si="5" ref="H335:H343">E335+G335-F335</f>
        <v>9945267</v>
      </c>
      <c r="I335" s="47"/>
      <c r="J335" s="47"/>
      <c r="L335" s="47"/>
    </row>
    <row r="336" spans="1:12" s="99" customFormat="1" ht="21.75" customHeight="1">
      <c r="A336" s="66"/>
      <c r="B336" s="62">
        <v>85321</v>
      </c>
      <c r="C336" s="62"/>
      <c r="D336" s="62" t="s">
        <v>434</v>
      </c>
      <c r="E336" s="106">
        <v>100000</v>
      </c>
      <c r="F336" s="106">
        <f>F337+F339</f>
        <v>6500</v>
      </c>
      <c r="G336" s="106">
        <f>G337+G339</f>
        <v>26500</v>
      </c>
      <c r="H336" s="106">
        <f t="shared" si="5"/>
        <v>120000</v>
      </c>
      <c r="I336" s="107"/>
      <c r="J336" s="107"/>
      <c r="L336" s="107"/>
    </row>
    <row r="337" spans="1:12" s="99" customFormat="1" ht="21.75" customHeight="1">
      <c r="A337" s="146"/>
      <c r="B337" s="151"/>
      <c r="C337" s="83"/>
      <c r="D337" s="80" t="s">
        <v>127</v>
      </c>
      <c r="E337" s="112">
        <v>37915</v>
      </c>
      <c r="F337" s="112"/>
      <c r="G337" s="112">
        <f>G338</f>
        <v>26500</v>
      </c>
      <c r="H337" s="112">
        <f t="shared" si="5"/>
        <v>64415</v>
      </c>
      <c r="I337" s="107"/>
      <c r="J337" s="107"/>
      <c r="L337" s="107"/>
    </row>
    <row r="338" spans="1:12" s="118" customFormat="1" ht="21.75" customHeight="1">
      <c r="A338" s="145"/>
      <c r="B338" s="125"/>
      <c r="C338" s="231">
        <v>4010</v>
      </c>
      <c r="D338" s="232" t="s">
        <v>603</v>
      </c>
      <c r="E338" s="116">
        <v>37915</v>
      </c>
      <c r="F338" s="116"/>
      <c r="G338" s="116">
        <v>26500</v>
      </c>
      <c r="H338" s="116">
        <f t="shared" si="5"/>
        <v>64415</v>
      </c>
      <c r="I338" s="117"/>
      <c r="J338" s="117"/>
      <c r="L338" s="117"/>
    </row>
    <row r="339" spans="1:12" s="79" customFormat="1" ht="21.75" customHeight="1">
      <c r="A339" s="65"/>
      <c r="B339" s="52"/>
      <c r="C339" s="52"/>
      <c r="D339" s="438" t="s">
        <v>667</v>
      </c>
      <c r="E339" s="576">
        <v>62085</v>
      </c>
      <c r="F339" s="439">
        <f>F340</f>
        <v>6500</v>
      </c>
      <c r="G339" s="439"/>
      <c r="H339" s="439">
        <f t="shared" si="5"/>
        <v>55585</v>
      </c>
      <c r="I339" s="107"/>
      <c r="J339" s="107"/>
      <c r="L339" s="78"/>
    </row>
    <row r="340" spans="1:12" s="118" customFormat="1" ht="21.75" customHeight="1">
      <c r="A340" s="145"/>
      <c r="B340" s="125"/>
      <c r="C340" s="231">
        <v>4300</v>
      </c>
      <c r="D340" s="232" t="s">
        <v>664</v>
      </c>
      <c r="E340" s="116">
        <v>47985</v>
      </c>
      <c r="F340" s="116">
        <v>6500</v>
      </c>
      <c r="G340" s="116"/>
      <c r="H340" s="116">
        <f t="shared" si="5"/>
        <v>41485</v>
      </c>
      <c r="I340" s="117"/>
      <c r="J340" s="117"/>
      <c r="L340" s="117"/>
    </row>
    <row r="341" spans="1:12" s="99" customFormat="1" ht="21.75" customHeight="1">
      <c r="A341" s="66"/>
      <c r="B341" s="62">
        <v>85334</v>
      </c>
      <c r="C341" s="62"/>
      <c r="D341" s="62" t="s">
        <v>908</v>
      </c>
      <c r="E341" s="106">
        <v>20000</v>
      </c>
      <c r="F341" s="106">
        <f>F342</f>
        <v>20000</v>
      </c>
      <c r="G341" s="106"/>
      <c r="H341" s="106">
        <f t="shared" si="5"/>
        <v>0</v>
      </c>
      <c r="I341" s="107"/>
      <c r="J341" s="107"/>
      <c r="L341" s="107"/>
    </row>
    <row r="342" spans="1:12" s="99" customFormat="1" ht="21.75" customHeight="1">
      <c r="A342" s="146"/>
      <c r="B342" s="151"/>
      <c r="C342" s="83"/>
      <c r="D342" s="80" t="s">
        <v>435</v>
      </c>
      <c r="E342" s="112">
        <v>20000</v>
      </c>
      <c r="F342" s="112">
        <f>F343</f>
        <v>20000</v>
      </c>
      <c r="G342" s="112"/>
      <c r="H342" s="112">
        <f t="shared" si="5"/>
        <v>0</v>
      </c>
      <c r="I342" s="107"/>
      <c r="J342" s="107"/>
      <c r="L342" s="107"/>
    </row>
    <row r="343" spans="1:12" s="118" customFormat="1" ht="21.75" customHeight="1">
      <c r="A343" s="145"/>
      <c r="B343" s="125"/>
      <c r="C343" s="231">
        <v>4300</v>
      </c>
      <c r="D343" s="232" t="s">
        <v>664</v>
      </c>
      <c r="E343" s="116">
        <v>20000</v>
      </c>
      <c r="F343" s="116">
        <v>20000</v>
      </c>
      <c r="G343" s="116"/>
      <c r="H343" s="116">
        <f t="shared" si="5"/>
        <v>0</v>
      </c>
      <c r="I343" s="117"/>
      <c r="J343" s="117"/>
      <c r="L343" s="117"/>
    </row>
    <row r="344" spans="1:12" ht="21.75" customHeight="1">
      <c r="A344" s="74">
        <v>854</v>
      </c>
      <c r="B344" s="74"/>
      <c r="C344" s="74"/>
      <c r="D344" s="74" t="s">
        <v>649</v>
      </c>
      <c r="E344" s="59">
        <v>43785133</v>
      </c>
      <c r="F344" s="60">
        <f>F345+F353+F367+F377+F382+F400+F404+F361+F393</f>
        <v>108389</v>
      </c>
      <c r="G344" s="60">
        <f>G345+G353+G367+G377+G382+G400+G404+G361+G393</f>
        <v>151589</v>
      </c>
      <c r="H344" s="60">
        <f t="shared" si="4"/>
        <v>43828333</v>
      </c>
      <c r="I344" s="47"/>
      <c r="J344" s="47"/>
      <c r="L344" s="47"/>
    </row>
    <row r="345" spans="1:12" s="99" customFormat="1" ht="21.75" customHeight="1">
      <c r="A345" s="66"/>
      <c r="B345" s="62">
        <v>85401</v>
      </c>
      <c r="C345" s="62"/>
      <c r="D345" s="62" t="s">
        <v>291</v>
      </c>
      <c r="E345" s="106">
        <v>6985118</v>
      </c>
      <c r="F345" s="106">
        <f>F346+F348+F350</f>
        <v>17369</v>
      </c>
      <c r="G345" s="106">
        <f>G346+G350</f>
        <v>7030</v>
      </c>
      <c r="H345" s="106">
        <f t="shared" si="4"/>
        <v>6974779</v>
      </c>
      <c r="I345" s="107"/>
      <c r="J345" s="107"/>
      <c r="L345" s="107"/>
    </row>
    <row r="346" spans="1:12" s="99" customFormat="1" ht="21.75" customHeight="1">
      <c r="A346" s="1341"/>
      <c r="B346" s="713"/>
      <c r="C346" s="1495"/>
      <c r="D346" s="1400" t="s">
        <v>127</v>
      </c>
      <c r="E346" s="714">
        <v>5478460</v>
      </c>
      <c r="F346" s="714">
        <f>F347</f>
        <v>14696</v>
      </c>
      <c r="G346" s="714"/>
      <c r="H346" s="714">
        <f t="shared" si="4"/>
        <v>5463764</v>
      </c>
      <c r="I346" s="107"/>
      <c r="J346" s="107"/>
      <c r="L346" s="107"/>
    </row>
    <row r="347" spans="1:12" s="118" customFormat="1" ht="21.75" customHeight="1">
      <c r="A347" s="145"/>
      <c r="B347" s="125"/>
      <c r="C347" s="231">
        <v>4010</v>
      </c>
      <c r="D347" s="232" t="s">
        <v>603</v>
      </c>
      <c r="E347" s="310">
        <v>5116785</v>
      </c>
      <c r="F347" s="310">
        <f>28336-13640</f>
        <v>14696</v>
      </c>
      <c r="G347" s="310"/>
      <c r="H347" s="310">
        <f t="shared" si="4"/>
        <v>5102089</v>
      </c>
      <c r="I347" s="117"/>
      <c r="J347" s="117"/>
      <c r="L347" s="117"/>
    </row>
    <row r="348" spans="1:12" s="79" customFormat="1" ht="21.75" customHeight="1">
      <c r="A348" s="65"/>
      <c r="B348" s="52"/>
      <c r="C348" s="52"/>
      <c r="D348" s="438" t="s">
        <v>667</v>
      </c>
      <c r="E348" s="576">
        <v>453830</v>
      </c>
      <c r="F348" s="439">
        <f>F349</f>
        <v>2073</v>
      </c>
      <c r="G348" s="439"/>
      <c r="H348" s="439">
        <f t="shared" si="4"/>
        <v>451757</v>
      </c>
      <c r="I348" s="107"/>
      <c r="J348" s="107"/>
      <c r="L348" s="78"/>
    </row>
    <row r="349" spans="1:12" s="118" customFormat="1" ht="21.75" customHeight="1">
      <c r="A349" s="145"/>
      <c r="B349" s="125"/>
      <c r="C349" s="231">
        <v>4440</v>
      </c>
      <c r="D349" s="232" t="s">
        <v>347</v>
      </c>
      <c r="E349" s="116">
        <v>393845</v>
      </c>
      <c r="F349" s="116">
        <v>2073</v>
      </c>
      <c r="G349" s="116"/>
      <c r="H349" s="116">
        <f t="shared" si="4"/>
        <v>391772</v>
      </c>
      <c r="I349" s="117"/>
      <c r="J349" s="117"/>
      <c r="L349" s="117"/>
    </row>
    <row r="350" spans="1:12" s="79" customFormat="1" ht="21.75" customHeight="1">
      <c r="A350" s="65"/>
      <c r="B350" s="52"/>
      <c r="C350" s="52"/>
      <c r="D350" s="438" t="s">
        <v>692</v>
      </c>
      <c r="E350" s="576">
        <v>1052828</v>
      </c>
      <c r="F350" s="439">
        <f>SUM(F351:F352)</f>
        <v>600</v>
      </c>
      <c r="G350" s="439">
        <f>SUM(G351:G352)</f>
        <v>7030</v>
      </c>
      <c r="H350" s="439">
        <f t="shared" si="4"/>
        <v>1059258</v>
      </c>
      <c r="I350" s="107"/>
      <c r="J350" s="107"/>
      <c r="L350" s="78"/>
    </row>
    <row r="351" spans="1:12" s="407" customFormat="1" ht="21.75" customHeight="1">
      <c r="A351" s="144"/>
      <c r="B351" s="66"/>
      <c r="C351" s="67">
        <v>4110</v>
      </c>
      <c r="D351" s="385" t="s">
        <v>729</v>
      </c>
      <c r="E351" s="114">
        <v>920846</v>
      </c>
      <c r="F351" s="116"/>
      <c r="G351" s="395">
        <f>8080-1050</f>
        <v>7030</v>
      </c>
      <c r="H351" s="395">
        <f aca="true" t="shared" si="6" ref="H351:H415">E351+G351-F351</f>
        <v>927876</v>
      </c>
      <c r="I351" s="119"/>
      <c r="J351" s="119"/>
      <c r="L351" s="408"/>
    </row>
    <row r="352" spans="1:12" s="407" customFormat="1" ht="21.75" customHeight="1">
      <c r="A352" s="144"/>
      <c r="B352" s="67"/>
      <c r="C352" s="67">
        <v>4120</v>
      </c>
      <c r="D352" s="385" t="s">
        <v>730</v>
      </c>
      <c r="E352" s="114">
        <v>131982</v>
      </c>
      <c r="F352" s="116">
        <f>1150-550</f>
        <v>600</v>
      </c>
      <c r="G352" s="395"/>
      <c r="H352" s="395">
        <f t="shared" si="6"/>
        <v>131382</v>
      </c>
      <c r="I352" s="119"/>
      <c r="J352" s="119"/>
      <c r="L352" s="408"/>
    </row>
    <row r="353" spans="1:12" s="99" customFormat="1" ht="21.75" customHeight="1">
      <c r="A353" s="66"/>
      <c r="B353" s="62">
        <v>85403</v>
      </c>
      <c r="C353" s="62"/>
      <c r="D353" s="62" t="s">
        <v>0</v>
      </c>
      <c r="E353" s="106">
        <v>10839606</v>
      </c>
      <c r="F353" s="106">
        <f>F354+F359+F357</f>
        <v>19100</v>
      </c>
      <c r="G353" s="106">
        <f>G354+G359+G357</f>
        <v>57960</v>
      </c>
      <c r="H353" s="106">
        <f t="shared" si="6"/>
        <v>10878466</v>
      </c>
      <c r="I353" s="107"/>
      <c r="J353" s="107"/>
      <c r="L353" s="107"/>
    </row>
    <row r="354" spans="1:12" s="99" customFormat="1" ht="21.75" customHeight="1">
      <c r="A354" s="146"/>
      <c r="B354" s="151"/>
      <c r="C354" s="83"/>
      <c r="D354" s="80" t="s">
        <v>127</v>
      </c>
      <c r="E354" s="112">
        <v>5515400</v>
      </c>
      <c r="F354" s="112">
        <f>SUM(F355:F356)</f>
        <v>100</v>
      </c>
      <c r="G354" s="112">
        <f>G355</f>
        <v>52160</v>
      </c>
      <c r="H354" s="112">
        <f t="shared" si="6"/>
        <v>5567460</v>
      </c>
      <c r="I354" s="107"/>
      <c r="J354" s="107"/>
      <c r="L354" s="107"/>
    </row>
    <row r="355" spans="1:12" s="118" customFormat="1" ht="21.75" customHeight="1">
      <c r="A355" s="145"/>
      <c r="B355" s="125"/>
      <c r="C355" s="231">
        <v>4010</v>
      </c>
      <c r="D355" s="232" t="s">
        <v>603</v>
      </c>
      <c r="E355" s="116">
        <v>5119614</v>
      </c>
      <c r="F355" s="116"/>
      <c r="G355" s="116">
        <v>52160</v>
      </c>
      <c r="H355" s="116">
        <f t="shared" si="6"/>
        <v>5171774</v>
      </c>
      <c r="I355" s="117"/>
      <c r="J355" s="117"/>
      <c r="L355" s="117"/>
    </row>
    <row r="356" spans="1:12" s="118" customFormat="1" ht="21.75" customHeight="1">
      <c r="A356" s="145"/>
      <c r="B356" s="125"/>
      <c r="C356" s="231">
        <v>4170</v>
      </c>
      <c r="D356" s="1226" t="s">
        <v>674</v>
      </c>
      <c r="E356" s="659">
        <v>7400</v>
      </c>
      <c r="F356" s="659">
        <v>100</v>
      </c>
      <c r="G356" s="659"/>
      <c r="H356" s="659">
        <f t="shared" si="6"/>
        <v>7300</v>
      </c>
      <c r="I356" s="117"/>
      <c r="J356" s="117"/>
      <c r="L356" s="117"/>
    </row>
    <row r="357" spans="1:12" s="79" customFormat="1" ht="21.75" customHeight="1">
      <c r="A357" s="65"/>
      <c r="B357" s="52"/>
      <c r="C357" s="52"/>
      <c r="D357" s="438" t="s">
        <v>667</v>
      </c>
      <c r="E357" s="576">
        <v>1315264</v>
      </c>
      <c r="F357" s="439">
        <f>F358</f>
        <v>19000</v>
      </c>
      <c r="G357" s="439"/>
      <c r="H357" s="439">
        <f t="shared" si="6"/>
        <v>1296264</v>
      </c>
      <c r="I357" s="107"/>
      <c r="J357" s="107"/>
      <c r="L357" s="78"/>
    </row>
    <row r="358" spans="1:12" s="118" customFormat="1" ht="21.75" customHeight="1">
      <c r="A358" s="145"/>
      <c r="B358" s="125"/>
      <c r="C358" s="231">
        <v>4260</v>
      </c>
      <c r="D358" s="232" t="s">
        <v>731</v>
      </c>
      <c r="E358" s="116">
        <v>500000</v>
      </c>
      <c r="F358" s="116">
        <v>19000</v>
      </c>
      <c r="G358" s="116"/>
      <c r="H358" s="116">
        <f t="shared" si="6"/>
        <v>481000</v>
      </c>
      <c r="I358" s="117"/>
      <c r="J358" s="117"/>
      <c r="L358" s="117"/>
    </row>
    <row r="359" spans="1:12" s="79" customFormat="1" ht="21.75" customHeight="1">
      <c r="A359" s="65"/>
      <c r="B359" s="52"/>
      <c r="C359" s="52"/>
      <c r="D359" s="438" t="s">
        <v>692</v>
      </c>
      <c r="E359" s="576">
        <v>1069700</v>
      </c>
      <c r="F359" s="439"/>
      <c r="G359" s="439">
        <f>SUM(G360:G360)</f>
        <v>5800</v>
      </c>
      <c r="H359" s="439">
        <f t="shared" si="6"/>
        <v>1075500</v>
      </c>
      <c r="I359" s="107"/>
      <c r="J359" s="107"/>
      <c r="L359" s="78"/>
    </row>
    <row r="360" spans="1:12" s="118" customFormat="1" ht="21.75" customHeight="1">
      <c r="A360" s="145"/>
      <c r="B360" s="125"/>
      <c r="C360" s="231">
        <v>4110</v>
      </c>
      <c r="D360" s="232" t="s">
        <v>729</v>
      </c>
      <c r="E360" s="116">
        <v>939040</v>
      </c>
      <c r="F360" s="116"/>
      <c r="G360" s="116">
        <v>5800</v>
      </c>
      <c r="H360" s="116">
        <f t="shared" si="6"/>
        <v>944840</v>
      </c>
      <c r="I360" s="117"/>
      <c r="J360" s="117"/>
      <c r="L360" s="117"/>
    </row>
    <row r="361" spans="1:12" s="99" customFormat="1" ht="24" customHeight="1">
      <c r="A361" s="66"/>
      <c r="B361" s="62">
        <v>85406</v>
      </c>
      <c r="C361" s="62"/>
      <c r="D361" s="236" t="s">
        <v>6</v>
      </c>
      <c r="E361" s="106">
        <v>5608700</v>
      </c>
      <c r="F361" s="106">
        <f>F362+F364</f>
        <v>21000</v>
      </c>
      <c r="G361" s="106"/>
      <c r="H361" s="106">
        <f t="shared" si="6"/>
        <v>5587700</v>
      </c>
      <c r="I361" s="107"/>
      <c r="J361" s="107"/>
      <c r="L361" s="107"/>
    </row>
    <row r="362" spans="1:12" s="99" customFormat="1" ht="21.75" customHeight="1">
      <c r="A362" s="146"/>
      <c r="B362" s="151"/>
      <c r="C362" s="83"/>
      <c r="D362" s="80" t="s">
        <v>127</v>
      </c>
      <c r="E362" s="112">
        <v>4213300</v>
      </c>
      <c r="F362" s="112">
        <f>F363</f>
        <v>18000</v>
      </c>
      <c r="G362" s="112"/>
      <c r="H362" s="112">
        <f t="shared" si="6"/>
        <v>4195300</v>
      </c>
      <c r="I362" s="107"/>
      <c r="J362" s="107"/>
      <c r="L362" s="107"/>
    </row>
    <row r="363" spans="1:12" s="118" customFormat="1" ht="21.75" customHeight="1">
      <c r="A363" s="145"/>
      <c r="B363" s="125"/>
      <c r="C363" s="231">
        <v>4010</v>
      </c>
      <c r="D363" s="232" t="s">
        <v>603</v>
      </c>
      <c r="E363" s="116">
        <v>3926123</v>
      </c>
      <c r="F363" s="116">
        <v>18000</v>
      </c>
      <c r="G363" s="116"/>
      <c r="H363" s="116">
        <f t="shared" si="6"/>
        <v>3908123</v>
      </c>
      <c r="I363" s="117"/>
      <c r="J363" s="117"/>
      <c r="L363" s="117"/>
    </row>
    <row r="364" spans="1:12" s="79" customFormat="1" ht="21.75" customHeight="1">
      <c r="A364" s="65"/>
      <c r="B364" s="52"/>
      <c r="C364" s="52"/>
      <c r="D364" s="438" t="s">
        <v>692</v>
      </c>
      <c r="E364" s="576">
        <v>817700</v>
      </c>
      <c r="F364" s="439">
        <f>SUM(F365:F366)</f>
        <v>3000</v>
      </c>
      <c r="G364" s="439"/>
      <c r="H364" s="439">
        <f t="shared" si="6"/>
        <v>814700</v>
      </c>
      <c r="I364" s="107"/>
      <c r="J364" s="107"/>
      <c r="L364" s="78"/>
    </row>
    <row r="365" spans="1:12" s="118" customFormat="1" ht="21.75" customHeight="1">
      <c r="A365" s="145"/>
      <c r="B365" s="125"/>
      <c r="C365" s="231">
        <v>4110</v>
      </c>
      <c r="D365" s="232" t="s">
        <v>729</v>
      </c>
      <c r="E365" s="116">
        <v>717900</v>
      </c>
      <c r="F365" s="116">
        <v>2500</v>
      </c>
      <c r="G365" s="116"/>
      <c r="H365" s="116">
        <f t="shared" si="6"/>
        <v>715400</v>
      </c>
      <c r="I365" s="117"/>
      <c r="J365" s="117"/>
      <c r="L365" s="117"/>
    </row>
    <row r="366" spans="1:12" s="118" customFormat="1" ht="21.75" customHeight="1">
      <c r="A366" s="145"/>
      <c r="B366" s="125"/>
      <c r="C366" s="231">
        <v>4120</v>
      </c>
      <c r="D366" s="232" t="s">
        <v>730</v>
      </c>
      <c r="E366" s="116">
        <v>99800</v>
      </c>
      <c r="F366" s="116">
        <v>500</v>
      </c>
      <c r="G366" s="116"/>
      <c r="H366" s="116">
        <f t="shared" si="6"/>
        <v>99300</v>
      </c>
      <c r="I366" s="117"/>
      <c r="J366" s="117"/>
      <c r="L366" s="117"/>
    </row>
    <row r="367" spans="1:12" s="99" customFormat="1" ht="21.75" customHeight="1">
      <c r="A367" s="66"/>
      <c r="B367" s="62">
        <v>85407</v>
      </c>
      <c r="C367" s="62"/>
      <c r="D367" s="62" t="s">
        <v>205</v>
      </c>
      <c r="E367" s="106">
        <v>2447254</v>
      </c>
      <c r="F367" s="106">
        <f>F368+F371+F374</f>
        <v>4230</v>
      </c>
      <c r="G367" s="106">
        <f>G368+G371+G374</f>
        <v>1500</v>
      </c>
      <c r="H367" s="106">
        <f t="shared" si="6"/>
        <v>2444524</v>
      </c>
      <c r="I367" s="107"/>
      <c r="J367" s="107"/>
      <c r="L367" s="107"/>
    </row>
    <row r="368" spans="1:12" s="99" customFormat="1" ht="21.75" customHeight="1">
      <c r="A368" s="146"/>
      <c r="B368" s="151"/>
      <c r="C368" s="83"/>
      <c r="D368" s="80" t="s">
        <v>127</v>
      </c>
      <c r="E368" s="112">
        <v>1712044</v>
      </c>
      <c r="F368" s="112">
        <f>SUM(F369:F370)</f>
        <v>1670</v>
      </c>
      <c r="G368" s="112"/>
      <c r="H368" s="112">
        <f t="shared" si="6"/>
        <v>1710374</v>
      </c>
      <c r="I368" s="107"/>
      <c r="J368" s="107"/>
      <c r="L368" s="107"/>
    </row>
    <row r="369" spans="1:12" s="118" customFormat="1" ht="21.75" customHeight="1">
      <c r="A369" s="145"/>
      <c r="B369" s="125"/>
      <c r="C369" s="231">
        <v>4010</v>
      </c>
      <c r="D369" s="232" t="s">
        <v>603</v>
      </c>
      <c r="E369" s="116">
        <v>1589500</v>
      </c>
      <c r="F369" s="116">
        <v>670</v>
      </c>
      <c r="G369" s="116"/>
      <c r="H369" s="116">
        <f t="shared" si="6"/>
        <v>1588830</v>
      </c>
      <c r="I369" s="117"/>
      <c r="J369" s="117"/>
      <c r="L369" s="117"/>
    </row>
    <row r="370" spans="1:12" s="118" customFormat="1" ht="21.75" customHeight="1">
      <c r="A370" s="145"/>
      <c r="B370" s="125"/>
      <c r="C370" s="231">
        <v>4170</v>
      </c>
      <c r="D370" s="232" t="s">
        <v>674</v>
      </c>
      <c r="E370" s="116">
        <v>2000</v>
      </c>
      <c r="F370" s="116">
        <v>1000</v>
      </c>
      <c r="G370" s="116"/>
      <c r="H370" s="116">
        <f t="shared" si="6"/>
        <v>1000</v>
      </c>
      <c r="I370" s="117"/>
      <c r="J370" s="117"/>
      <c r="L370" s="117"/>
    </row>
    <row r="371" spans="1:12" s="99" customFormat="1" ht="21.75" customHeight="1">
      <c r="A371" s="146"/>
      <c r="B371" s="151"/>
      <c r="C371" s="83"/>
      <c r="D371" s="80" t="s">
        <v>667</v>
      </c>
      <c r="E371" s="112">
        <v>400910</v>
      </c>
      <c r="F371" s="112"/>
      <c r="G371" s="112">
        <f>G372</f>
        <v>1500</v>
      </c>
      <c r="H371" s="112">
        <f t="shared" si="6"/>
        <v>402410</v>
      </c>
      <c r="I371" s="107"/>
      <c r="J371" s="107"/>
      <c r="L371" s="107"/>
    </row>
    <row r="372" spans="1:12" s="118" customFormat="1" ht="21.75" customHeight="1">
      <c r="A372" s="870"/>
      <c r="B372" s="233"/>
      <c r="C372" s="231">
        <v>4260</v>
      </c>
      <c r="D372" s="232" t="s">
        <v>731</v>
      </c>
      <c r="E372" s="116">
        <v>102500</v>
      </c>
      <c r="F372" s="116"/>
      <c r="G372" s="116">
        <v>1500</v>
      </c>
      <c r="H372" s="116">
        <f t="shared" si="6"/>
        <v>104000</v>
      </c>
      <c r="I372" s="117"/>
      <c r="J372" s="117"/>
      <c r="L372" s="117"/>
    </row>
    <row r="373" spans="1:12" s="118" customFormat="1" ht="21.75" customHeight="1">
      <c r="A373" s="1338"/>
      <c r="B373" s="1339"/>
      <c r="C373" s="1334"/>
      <c r="D373" s="1335"/>
      <c r="E373" s="1336"/>
      <c r="F373" s="1336"/>
      <c r="G373" s="1336"/>
      <c r="H373" s="1336"/>
      <c r="I373" s="117"/>
      <c r="J373" s="117"/>
      <c r="L373" s="117"/>
    </row>
    <row r="374" spans="1:12" s="79" customFormat="1" ht="21.75" customHeight="1">
      <c r="A374" s="65"/>
      <c r="B374" s="52"/>
      <c r="C374" s="52"/>
      <c r="D374" s="438" t="s">
        <v>692</v>
      </c>
      <c r="E374" s="576">
        <v>324300</v>
      </c>
      <c r="F374" s="439">
        <f>SUM(F375:F376)</f>
        <v>2560</v>
      </c>
      <c r="G374" s="439"/>
      <c r="H374" s="439">
        <f t="shared" si="6"/>
        <v>321740</v>
      </c>
      <c r="I374" s="107"/>
      <c r="J374" s="107"/>
      <c r="L374" s="78"/>
    </row>
    <row r="375" spans="1:12" s="118" customFormat="1" ht="21.75" customHeight="1">
      <c r="A375" s="145"/>
      <c r="B375" s="125"/>
      <c r="C375" s="231">
        <v>4110</v>
      </c>
      <c r="D375" s="232" t="s">
        <v>729</v>
      </c>
      <c r="E375" s="116">
        <v>284400</v>
      </c>
      <c r="F375" s="116">
        <v>2330</v>
      </c>
      <c r="G375" s="116"/>
      <c r="H375" s="116">
        <f t="shared" si="6"/>
        <v>282070</v>
      </c>
      <c r="I375" s="117"/>
      <c r="J375" s="117"/>
      <c r="L375" s="117"/>
    </row>
    <row r="376" spans="1:12" s="118" customFormat="1" ht="21.75" customHeight="1">
      <c r="A376" s="145"/>
      <c r="B376" s="125"/>
      <c r="C376" s="231">
        <v>4120</v>
      </c>
      <c r="D376" s="232" t="s">
        <v>730</v>
      </c>
      <c r="E376" s="116">
        <v>39900</v>
      </c>
      <c r="F376" s="116">
        <v>230</v>
      </c>
      <c r="G376" s="116"/>
      <c r="H376" s="116">
        <f t="shared" si="6"/>
        <v>39670</v>
      </c>
      <c r="I376" s="117"/>
      <c r="J376" s="117"/>
      <c r="L376" s="117"/>
    </row>
    <row r="377" spans="1:12" s="99" customFormat="1" ht="21.75" customHeight="1">
      <c r="A377" s="66"/>
      <c r="B377" s="62">
        <v>85410</v>
      </c>
      <c r="C377" s="62"/>
      <c r="D377" s="62" t="s">
        <v>230</v>
      </c>
      <c r="E377" s="106">
        <v>7449646</v>
      </c>
      <c r="F377" s="106"/>
      <c r="G377" s="106">
        <f>G378+G380</f>
        <v>10918</v>
      </c>
      <c r="H377" s="106">
        <f t="shared" si="6"/>
        <v>7460564</v>
      </c>
      <c r="I377" s="107"/>
      <c r="J377" s="107"/>
      <c r="L377" s="107"/>
    </row>
    <row r="378" spans="1:12" s="99" customFormat="1" ht="21.75" customHeight="1">
      <c r="A378" s="146"/>
      <c r="B378" s="151"/>
      <c r="C378" s="83"/>
      <c r="D378" s="80" t="s">
        <v>127</v>
      </c>
      <c r="E378" s="112">
        <v>4293506</v>
      </c>
      <c r="F378" s="112"/>
      <c r="G378" s="112">
        <f>G379</f>
        <v>10880</v>
      </c>
      <c r="H378" s="112">
        <f t="shared" si="6"/>
        <v>4304386</v>
      </c>
      <c r="I378" s="107"/>
      <c r="J378" s="107"/>
      <c r="L378" s="107"/>
    </row>
    <row r="379" spans="1:12" s="118" customFormat="1" ht="21.75" customHeight="1">
      <c r="A379" s="145"/>
      <c r="B379" s="125"/>
      <c r="C379" s="231">
        <v>4010</v>
      </c>
      <c r="D379" s="232" t="s">
        <v>603</v>
      </c>
      <c r="E379" s="116">
        <v>3988555</v>
      </c>
      <c r="F379" s="116"/>
      <c r="G379" s="116">
        <v>10880</v>
      </c>
      <c r="H379" s="116">
        <f t="shared" si="6"/>
        <v>3999435</v>
      </c>
      <c r="I379" s="117"/>
      <c r="J379" s="117"/>
      <c r="L379" s="117"/>
    </row>
    <row r="380" spans="1:12" s="79" customFormat="1" ht="21.75" customHeight="1">
      <c r="A380" s="65"/>
      <c r="B380" s="52"/>
      <c r="C380" s="52"/>
      <c r="D380" s="438" t="s">
        <v>692</v>
      </c>
      <c r="E380" s="576">
        <v>819770</v>
      </c>
      <c r="F380" s="439"/>
      <c r="G380" s="439">
        <f>SUM(G381:G381)</f>
        <v>38</v>
      </c>
      <c r="H380" s="439">
        <f t="shared" si="6"/>
        <v>819808</v>
      </c>
      <c r="I380" s="107"/>
      <c r="J380" s="107"/>
      <c r="L380" s="78"/>
    </row>
    <row r="381" spans="1:12" s="118" customFormat="1" ht="21.75" customHeight="1">
      <c r="A381" s="145"/>
      <c r="B381" s="125"/>
      <c r="C381" s="231">
        <v>4120</v>
      </c>
      <c r="D381" s="232" t="s">
        <v>730</v>
      </c>
      <c r="E381" s="116">
        <v>101460</v>
      </c>
      <c r="F381" s="116"/>
      <c r="G381" s="116">
        <v>38</v>
      </c>
      <c r="H381" s="116">
        <f t="shared" si="6"/>
        <v>101498</v>
      </c>
      <c r="I381" s="117"/>
      <c r="J381" s="117"/>
      <c r="L381" s="117"/>
    </row>
    <row r="382" spans="1:12" s="99" customFormat="1" ht="21.75" customHeight="1">
      <c r="A382" s="66"/>
      <c r="B382" s="62">
        <v>85415</v>
      </c>
      <c r="C382" s="62"/>
      <c r="D382" s="62" t="s">
        <v>201</v>
      </c>
      <c r="E382" s="106">
        <v>2644631</v>
      </c>
      <c r="F382" s="106">
        <f>F390+F383+F386</f>
        <v>27492</v>
      </c>
      <c r="G382" s="106">
        <f>G390+G383+G386</f>
        <v>70692</v>
      </c>
      <c r="H382" s="106">
        <f t="shared" si="6"/>
        <v>2687831</v>
      </c>
      <c r="I382" s="107"/>
      <c r="J382" s="107"/>
      <c r="L382" s="107"/>
    </row>
    <row r="383" spans="1:12" s="99" customFormat="1" ht="27.75" customHeight="1">
      <c r="A383" s="146"/>
      <c r="B383" s="151"/>
      <c r="C383" s="83"/>
      <c r="D383" s="80" t="s">
        <v>131</v>
      </c>
      <c r="E383" s="112">
        <v>2036680</v>
      </c>
      <c r="F383" s="112">
        <f>SUM(F384:F385)</f>
        <v>27423</v>
      </c>
      <c r="G383" s="112">
        <f>SUM(G384:G385)</f>
        <v>27423</v>
      </c>
      <c r="H383" s="112">
        <f t="shared" si="6"/>
        <v>2036680</v>
      </c>
      <c r="I383" s="107"/>
      <c r="J383" s="107"/>
      <c r="L383" s="107"/>
    </row>
    <row r="384" spans="1:12" s="118" customFormat="1" ht="21.75" customHeight="1">
      <c r="A384" s="145"/>
      <c r="B384" s="125"/>
      <c r="C384" s="231">
        <v>3240</v>
      </c>
      <c r="D384" s="232" t="s">
        <v>917</v>
      </c>
      <c r="E384" s="116">
        <v>1962648</v>
      </c>
      <c r="F384" s="116">
        <f>925163-897740</f>
        <v>27423</v>
      </c>
      <c r="G384" s="116"/>
      <c r="H384" s="116">
        <f t="shared" si="6"/>
        <v>1935225</v>
      </c>
      <c r="I384" s="117"/>
      <c r="J384" s="117"/>
      <c r="L384" s="117"/>
    </row>
    <row r="385" spans="1:12" s="118" customFormat="1" ht="21.75" customHeight="1">
      <c r="A385" s="145"/>
      <c r="B385" s="125"/>
      <c r="C385" s="231">
        <v>3260</v>
      </c>
      <c r="D385" s="232" t="s">
        <v>1</v>
      </c>
      <c r="E385" s="116">
        <v>74032</v>
      </c>
      <c r="F385" s="116"/>
      <c r="G385" s="116">
        <f>75423-48000</f>
        <v>27423</v>
      </c>
      <c r="H385" s="116">
        <f t="shared" si="6"/>
        <v>101455</v>
      </c>
      <c r="I385" s="117"/>
      <c r="J385" s="117"/>
      <c r="L385" s="117"/>
    </row>
    <row r="386" spans="1:12" s="99" customFormat="1" ht="21.75" customHeight="1">
      <c r="A386" s="146"/>
      <c r="B386" s="151"/>
      <c r="C386" s="83"/>
      <c r="D386" s="80" t="s">
        <v>562</v>
      </c>
      <c r="E386" s="188">
        <v>140000</v>
      </c>
      <c r="F386" s="188">
        <f>SUM(F387:F389)</f>
        <v>69</v>
      </c>
      <c r="G386" s="188">
        <f>SUM(G387:G389)</f>
        <v>69</v>
      </c>
      <c r="H386" s="188">
        <f t="shared" si="6"/>
        <v>140000</v>
      </c>
      <c r="I386" s="107"/>
      <c r="J386" s="107"/>
      <c r="L386" s="107"/>
    </row>
    <row r="387" spans="1:12" s="118" customFormat="1" ht="21.75" customHeight="1">
      <c r="A387" s="145"/>
      <c r="B387" s="125"/>
      <c r="C387" s="231">
        <v>4110</v>
      </c>
      <c r="D387" s="232" t="s">
        <v>729</v>
      </c>
      <c r="E387" s="116">
        <v>19914</v>
      </c>
      <c r="F387" s="116">
        <f>327-258</f>
        <v>69</v>
      </c>
      <c r="G387" s="116"/>
      <c r="H387" s="116">
        <f t="shared" si="6"/>
        <v>19845</v>
      </c>
      <c r="I387" s="117"/>
      <c r="J387" s="117"/>
      <c r="L387" s="117"/>
    </row>
    <row r="388" spans="1:12" s="118" customFormat="1" ht="21.75" customHeight="1">
      <c r="A388" s="145"/>
      <c r="B388" s="125"/>
      <c r="C388" s="231">
        <v>4120</v>
      </c>
      <c r="D388" s="232" t="s">
        <v>730</v>
      </c>
      <c r="E388" s="116">
        <v>2786</v>
      </c>
      <c r="F388" s="116"/>
      <c r="G388" s="116">
        <v>4</v>
      </c>
      <c r="H388" s="116">
        <f t="shared" si="6"/>
        <v>2790</v>
      </c>
      <c r="I388" s="117"/>
      <c r="J388" s="117"/>
      <c r="L388" s="117"/>
    </row>
    <row r="389" spans="1:12" s="118" customFormat="1" ht="21.75" customHeight="1">
      <c r="A389" s="145"/>
      <c r="B389" s="125"/>
      <c r="C389" s="231">
        <v>4170</v>
      </c>
      <c r="D389" s="232" t="s">
        <v>674</v>
      </c>
      <c r="E389" s="116">
        <v>114300</v>
      </c>
      <c r="F389" s="116"/>
      <c r="G389" s="116">
        <f>1502-1437</f>
        <v>65</v>
      </c>
      <c r="H389" s="116">
        <f t="shared" si="6"/>
        <v>114365</v>
      </c>
      <c r="I389" s="117"/>
      <c r="J389" s="117"/>
      <c r="L389" s="117"/>
    </row>
    <row r="390" spans="1:12" s="99" customFormat="1" ht="27.75" customHeight="1">
      <c r="A390" s="146"/>
      <c r="B390" s="151"/>
      <c r="C390" s="83"/>
      <c r="D390" s="80" t="s">
        <v>916</v>
      </c>
      <c r="E390" s="188">
        <v>68400</v>
      </c>
      <c r="F390" s="188"/>
      <c r="G390" s="188">
        <f>SUM(G391:G392)</f>
        <v>43200</v>
      </c>
      <c r="H390" s="188">
        <f t="shared" si="6"/>
        <v>111600</v>
      </c>
      <c r="I390" s="107"/>
      <c r="J390" s="107"/>
      <c r="L390" s="107"/>
    </row>
    <row r="391" spans="1:12" s="118" customFormat="1" ht="19.5" customHeight="1">
      <c r="A391" s="145"/>
      <c r="B391" s="125"/>
      <c r="C391" s="231">
        <v>3240</v>
      </c>
      <c r="D391" s="232" t="s">
        <v>917</v>
      </c>
      <c r="E391" s="116">
        <v>68400</v>
      </c>
      <c r="F391" s="116"/>
      <c r="G391" s="116">
        <f>31200+12000-2600</f>
        <v>40600</v>
      </c>
      <c r="H391" s="116">
        <f t="shared" si="6"/>
        <v>109000</v>
      </c>
      <c r="I391" s="117"/>
      <c r="J391" s="117"/>
      <c r="L391" s="117"/>
    </row>
    <row r="392" spans="1:12" s="118" customFormat="1" ht="39" customHeight="1">
      <c r="A392" s="145"/>
      <c r="B392" s="125"/>
      <c r="C392" s="231">
        <v>2590</v>
      </c>
      <c r="D392" s="232" t="s">
        <v>462</v>
      </c>
      <c r="E392" s="310"/>
      <c r="F392" s="310"/>
      <c r="G392" s="310">
        <v>2600</v>
      </c>
      <c r="H392" s="310">
        <f>E392+G392-F392</f>
        <v>2600</v>
      </c>
      <c r="I392" s="117"/>
      <c r="J392" s="117"/>
      <c r="L392" s="117"/>
    </row>
    <row r="393" spans="1:12" s="99" customFormat="1" ht="21.75" customHeight="1">
      <c r="A393" s="66"/>
      <c r="B393" s="62">
        <v>85421</v>
      </c>
      <c r="C393" s="62"/>
      <c r="D393" s="62" t="s">
        <v>295</v>
      </c>
      <c r="E393" s="106">
        <v>559500</v>
      </c>
      <c r="F393" s="106">
        <f>F394+F396+F398</f>
        <v>4800</v>
      </c>
      <c r="G393" s="106"/>
      <c r="H393" s="106">
        <f t="shared" si="6"/>
        <v>554700</v>
      </c>
      <c r="I393" s="107"/>
      <c r="J393" s="107"/>
      <c r="L393" s="107"/>
    </row>
    <row r="394" spans="1:12" s="99" customFormat="1" ht="21.75" customHeight="1">
      <c r="A394" s="146"/>
      <c r="B394" s="151"/>
      <c r="C394" s="83"/>
      <c r="D394" s="80" t="s">
        <v>127</v>
      </c>
      <c r="E394" s="112">
        <v>417750</v>
      </c>
      <c r="F394" s="112">
        <f>SUM(F395:F395)</f>
        <v>2000</v>
      </c>
      <c r="G394" s="112"/>
      <c r="H394" s="112">
        <f t="shared" si="6"/>
        <v>415750</v>
      </c>
      <c r="I394" s="107"/>
      <c r="J394" s="107"/>
      <c r="L394" s="107"/>
    </row>
    <row r="395" spans="1:12" s="118" customFormat="1" ht="21.75" customHeight="1">
      <c r="A395" s="145"/>
      <c r="B395" s="125"/>
      <c r="C395" s="231">
        <v>4010</v>
      </c>
      <c r="D395" s="232" t="s">
        <v>603</v>
      </c>
      <c r="E395" s="116">
        <v>387087</v>
      </c>
      <c r="F395" s="116">
        <v>2000</v>
      </c>
      <c r="G395" s="116"/>
      <c r="H395" s="116">
        <f t="shared" si="6"/>
        <v>385087</v>
      </c>
      <c r="I395" s="117"/>
      <c r="J395" s="117"/>
      <c r="L395" s="117"/>
    </row>
    <row r="396" spans="1:12" s="99" customFormat="1" ht="21.75" customHeight="1">
      <c r="A396" s="146"/>
      <c r="B396" s="151"/>
      <c r="C396" s="83"/>
      <c r="D396" s="80" t="s">
        <v>667</v>
      </c>
      <c r="E396" s="112">
        <v>59050</v>
      </c>
      <c r="F396" s="112">
        <f>F397</f>
        <v>800</v>
      </c>
      <c r="G396" s="112"/>
      <c r="H396" s="112">
        <f t="shared" si="6"/>
        <v>58250</v>
      </c>
      <c r="I396" s="107"/>
      <c r="J396" s="107"/>
      <c r="L396" s="107"/>
    </row>
    <row r="397" spans="1:12" s="118" customFormat="1" ht="21.75" customHeight="1">
      <c r="A397" s="145"/>
      <c r="B397" s="125"/>
      <c r="C397" s="231">
        <v>4260</v>
      </c>
      <c r="D397" s="232" t="s">
        <v>731</v>
      </c>
      <c r="E397" s="116">
        <v>9000</v>
      </c>
      <c r="F397" s="116">
        <v>800</v>
      </c>
      <c r="G397" s="116"/>
      <c r="H397" s="116">
        <f t="shared" si="6"/>
        <v>8200</v>
      </c>
      <c r="I397" s="117"/>
      <c r="J397" s="117"/>
      <c r="L397" s="117"/>
    </row>
    <row r="398" spans="1:12" s="79" customFormat="1" ht="21.75" customHeight="1">
      <c r="A398" s="65"/>
      <c r="B398" s="52"/>
      <c r="C398" s="52"/>
      <c r="D398" s="438" t="s">
        <v>692</v>
      </c>
      <c r="E398" s="576">
        <v>82700</v>
      </c>
      <c r="F398" s="439">
        <f>SUM(F399:F399)</f>
        <v>2000</v>
      </c>
      <c r="G398" s="439"/>
      <c r="H398" s="439">
        <f t="shared" si="6"/>
        <v>80700</v>
      </c>
      <c r="I398" s="107"/>
      <c r="J398" s="107"/>
      <c r="L398" s="78"/>
    </row>
    <row r="399" spans="1:12" s="118" customFormat="1" ht="21.75" customHeight="1">
      <c r="A399" s="870"/>
      <c r="B399" s="233"/>
      <c r="C399" s="231">
        <v>4110</v>
      </c>
      <c r="D399" s="232" t="s">
        <v>729</v>
      </c>
      <c r="E399" s="116">
        <v>72700</v>
      </c>
      <c r="F399" s="116">
        <v>2000</v>
      </c>
      <c r="G399" s="116"/>
      <c r="H399" s="116">
        <f t="shared" si="6"/>
        <v>70700</v>
      </c>
      <c r="I399" s="117"/>
      <c r="J399" s="117"/>
      <c r="L399" s="117"/>
    </row>
    <row r="400" spans="1:12" s="99" customFormat="1" ht="21.75" customHeight="1">
      <c r="A400" s="66"/>
      <c r="B400" s="63">
        <v>85446</v>
      </c>
      <c r="C400" s="63"/>
      <c r="D400" s="63" t="s">
        <v>206</v>
      </c>
      <c r="E400" s="405">
        <v>178000</v>
      </c>
      <c r="F400" s="405">
        <f>F401</f>
        <v>1400</v>
      </c>
      <c r="G400" s="405">
        <f>G401</f>
        <v>1400</v>
      </c>
      <c r="H400" s="405">
        <f t="shared" si="6"/>
        <v>178000</v>
      </c>
      <c r="I400" s="107"/>
      <c r="J400" s="107"/>
      <c r="L400" s="107"/>
    </row>
    <row r="401" spans="1:12" s="99" customFormat="1" ht="21.75" customHeight="1">
      <c r="A401" s="146"/>
      <c r="B401" s="151"/>
      <c r="C401" s="83"/>
      <c r="D401" s="80" t="s">
        <v>269</v>
      </c>
      <c r="E401" s="112">
        <v>178000</v>
      </c>
      <c r="F401" s="112">
        <f>SUM(F402:F403)</f>
        <v>1400</v>
      </c>
      <c r="G401" s="112">
        <f>SUM(G402:G403)</f>
        <v>1400</v>
      </c>
      <c r="H401" s="112">
        <f t="shared" si="6"/>
        <v>178000</v>
      </c>
      <c r="I401" s="107"/>
      <c r="J401" s="107"/>
      <c r="L401" s="107"/>
    </row>
    <row r="402" spans="1:12" s="118" customFormat="1" ht="21.75" customHeight="1">
      <c r="A402" s="145"/>
      <c r="B402" s="125"/>
      <c r="C402" s="231">
        <v>4170</v>
      </c>
      <c r="D402" s="232" t="s">
        <v>674</v>
      </c>
      <c r="E402" s="116">
        <v>13113</v>
      </c>
      <c r="F402" s="116"/>
      <c r="G402" s="116">
        <f>2400-1000</f>
        <v>1400</v>
      </c>
      <c r="H402" s="116">
        <f t="shared" si="6"/>
        <v>14513</v>
      </c>
      <c r="I402" s="117"/>
      <c r="J402" s="117"/>
      <c r="L402" s="117"/>
    </row>
    <row r="403" spans="1:12" s="118" customFormat="1" ht="21.75" customHeight="1">
      <c r="A403" s="145"/>
      <c r="B403" s="125"/>
      <c r="C403" s="231">
        <v>4300</v>
      </c>
      <c r="D403" s="232" t="s">
        <v>664</v>
      </c>
      <c r="E403" s="116">
        <v>106745</v>
      </c>
      <c r="F403" s="116">
        <f>3200-1800</f>
        <v>1400</v>
      </c>
      <c r="G403" s="116"/>
      <c r="H403" s="116">
        <f t="shared" si="6"/>
        <v>105345</v>
      </c>
      <c r="I403" s="117"/>
      <c r="J403" s="117"/>
      <c r="L403" s="117"/>
    </row>
    <row r="404" spans="1:12" s="99" customFormat="1" ht="21.75" customHeight="1">
      <c r="A404" s="66"/>
      <c r="B404" s="62">
        <v>85495</v>
      </c>
      <c r="C404" s="62"/>
      <c r="D404" s="62" t="s">
        <v>646</v>
      </c>
      <c r="E404" s="106">
        <v>6600297</v>
      </c>
      <c r="F404" s="106">
        <f>F405</f>
        <v>12998</v>
      </c>
      <c r="G404" s="106">
        <f>G405</f>
        <v>2089</v>
      </c>
      <c r="H404" s="106">
        <f t="shared" si="6"/>
        <v>6589388</v>
      </c>
      <c r="I404" s="107"/>
      <c r="J404" s="107"/>
      <c r="L404" s="107"/>
    </row>
    <row r="405" spans="1:12" s="99" customFormat="1" ht="21.75" customHeight="1">
      <c r="A405" s="146"/>
      <c r="B405" s="151"/>
      <c r="C405" s="83"/>
      <c r="D405" s="1258" t="s">
        <v>2</v>
      </c>
      <c r="E405" s="1259">
        <v>6386639</v>
      </c>
      <c r="F405" s="1259">
        <f>F406+F408+F413+F416</f>
        <v>12998</v>
      </c>
      <c r="G405" s="1259">
        <f>G406+G408+G413</f>
        <v>2089</v>
      </c>
      <c r="H405" s="1259">
        <f t="shared" si="6"/>
        <v>6375730</v>
      </c>
      <c r="I405" s="107"/>
      <c r="J405" s="107"/>
      <c r="L405" s="107"/>
    </row>
    <row r="406" spans="1:12" s="890" customFormat="1" ht="21.75" customHeight="1">
      <c r="A406" s="146"/>
      <c r="B406" s="151"/>
      <c r="C406" s="886"/>
      <c r="D406" s="1630" t="s">
        <v>127</v>
      </c>
      <c r="E406" s="1631">
        <v>4164034</v>
      </c>
      <c r="F406" s="1631">
        <f>F407</f>
        <v>441</v>
      </c>
      <c r="G406" s="1631"/>
      <c r="H406" s="1631">
        <f t="shared" si="6"/>
        <v>4163593</v>
      </c>
      <c r="I406" s="148"/>
      <c r="J406" s="148"/>
      <c r="L406" s="148"/>
    </row>
    <row r="407" spans="1:12" s="118" customFormat="1" ht="21.75" customHeight="1">
      <c r="A407" s="145"/>
      <c r="B407" s="125"/>
      <c r="C407" s="231">
        <v>4010</v>
      </c>
      <c r="D407" s="232" t="s">
        <v>603</v>
      </c>
      <c r="E407" s="310">
        <v>3883631</v>
      </c>
      <c r="F407" s="310">
        <f>8200-7759</f>
        <v>441</v>
      </c>
      <c r="G407" s="310"/>
      <c r="H407" s="310">
        <f t="shared" si="6"/>
        <v>3883190</v>
      </c>
      <c r="I407" s="117"/>
      <c r="J407" s="117"/>
      <c r="L407" s="117"/>
    </row>
    <row r="408" spans="1:12" s="99" customFormat="1" ht="21.75" customHeight="1">
      <c r="A408" s="146"/>
      <c r="B408" s="151"/>
      <c r="C408" s="83"/>
      <c r="D408" s="80" t="s">
        <v>667</v>
      </c>
      <c r="E408" s="112">
        <v>1410838</v>
      </c>
      <c r="F408" s="112">
        <f>SUM(F409:F412)</f>
        <v>10819</v>
      </c>
      <c r="G408" s="112">
        <f>SUM(G409:G411)</f>
        <v>874</v>
      </c>
      <c r="H408" s="112">
        <f t="shared" si="6"/>
        <v>1400893</v>
      </c>
      <c r="I408" s="107"/>
      <c r="J408" s="107"/>
      <c r="L408" s="107"/>
    </row>
    <row r="409" spans="1:12" s="118" customFormat="1" ht="21.75" customHeight="1">
      <c r="A409" s="145"/>
      <c r="B409" s="125"/>
      <c r="C409" s="231">
        <v>4210</v>
      </c>
      <c r="D409" s="232" t="s">
        <v>663</v>
      </c>
      <c r="E409" s="116">
        <v>187887</v>
      </c>
      <c r="F409" s="116"/>
      <c r="G409" s="116">
        <v>90</v>
      </c>
      <c r="H409" s="116">
        <f t="shared" si="6"/>
        <v>187977</v>
      </c>
      <c r="I409" s="117"/>
      <c r="J409" s="117"/>
      <c r="L409" s="117"/>
    </row>
    <row r="410" spans="1:12" s="118" customFormat="1" ht="21.75" customHeight="1">
      <c r="A410" s="145"/>
      <c r="B410" s="125"/>
      <c r="C410" s="231">
        <v>4220</v>
      </c>
      <c r="D410" s="232" t="s">
        <v>782</v>
      </c>
      <c r="E410" s="310">
        <v>468100</v>
      </c>
      <c r="F410" s="310">
        <v>10000</v>
      </c>
      <c r="G410" s="310"/>
      <c r="H410" s="310">
        <f t="shared" si="6"/>
        <v>458100</v>
      </c>
      <c r="I410" s="117"/>
      <c r="J410" s="117"/>
      <c r="L410" s="117"/>
    </row>
    <row r="411" spans="1:12" s="118" customFormat="1" ht="21.75" customHeight="1">
      <c r="A411" s="145"/>
      <c r="B411" s="125"/>
      <c r="C411" s="231">
        <v>4260</v>
      </c>
      <c r="D411" s="232" t="s">
        <v>731</v>
      </c>
      <c r="E411" s="310">
        <v>422320</v>
      </c>
      <c r="F411" s="310"/>
      <c r="G411" s="310">
        <v>784</v>
      </c>
      <c r="H411" s="310">
        <f t="shared" si="6"/>
        <v>423104</v>
      </c>
      <c r="I411" s="117"/>
      <c r="J411" s="117"/>
      <c r="L411" s="117"/>
    </row>
    <row r="412" spans="1:12" s="118" customFormat="1" ht="21.75" customHeight="1">
      <c r="A412" s="145"/>
      <c r="B412" s="125"/>
      <c r="C412" s="600">
        <v>4440</v>
      </c>
      <c r="D412" s="592" t="s">
        <v>347</v>
      </c>
      <c r="E412" s="500">
        <v>174141</v>
      </c>
      <c r="F412" s="500">
        <v>819</v>
      </c>
      <c r="G412" s="500"/>
      <c r="H412" s="500">
        <f t="shared" si="6"/>
        <v>173322</v>
      </c>
      <c r="I412" s="117"/>
      <c r="J412" s="117"/>
      <c r="L412" s="117"/>
    </row>
    <row r="413" spans="1:12" s="79" customFormat="1" ht="21.75" customHeight="1">
      <c r="A413" s="65"/>
      <c r="B413" s="52"/>
      <c r="C413" s="52"/>
      <c r="D413" s="438" t="s">
        <v>692</v>
      </c>
      <c r="E413" s="576">
        <v>796267</v>
      </c>
      <c r="F413" s="439">
        <f>SUM(F414:F415)</f>
        <v>1648</v>
      </c>
      <c r="G413" s="439">
        <f>SUM(G414:G415)</f>
        <v>1215</v>
      </c>
      <c r="H413" s="439">
        <f t="shared" si="6"/>
        <v>795834</v>
      </c>
      <c r="I413" s="107"/>
      <c r="J413" s="107"/>
      <c r="L413" s="78"/>
    </row>
    <row r="414" spans="1:12" s="118" customFormat="1" ht="21.75" customHeight="1">
      <c r="A414" s="145"/>
      <c r="B414" s="125"/>
      <c r="C414" s="231">
        <v>4110</v>
      </c>
      <c r="D414" s="232" t="s">
        <v>729</v>
      </c>
      <c r="E414" s="116">
        <v>697002</v>
      </c>
      <c r="F414" s="116"/>
      <c r="G414" s="116">
        <f>2715-1500</f>
        <v>1215</v>
      </c>
      <c r="H414" s="116">
        <f t="shared" si="6"/>
        <v>698217</v>
      </c>
      <c r="I414" s="117"/>
      <c r="J414" s="117"/>
      <c r="L414" s="117"/>
    </row>
    <row r="415" spans="1:12" s="118" customFormat="1" ht="21.75" customHeight="1">
      <c r="A415" s="145"/>
      <c r="B415" s="125"/>
      <c r="C415" s="231">
        <v>4120</v>
      </c>
      <c r="D415" s="232" t="s">
        <v>730</v>
      </c>
      <c r="E415" s="116">
        <v>99265</v>
      </c>
      <c r="F415" s="116">
        <f>1900-252</f>
        <v>1648</v>
      </c>
      <c r="G415" s="116"/>
      <c r="H415" s="116">
        <f t="shared" si="6"/>
        <v>97617</v>
      </c>
      <c r="I415" s="117"/>
      <c r="J415" s="117"/>
      <c r="L415" s="117"/>
    </row>
    <row r="416" spans="1:12" s="79" customFormat="1" ht="21.75" customHeight="1">
      <c r="A416" s="65"/>
      <c r="B416" s="52"/>
      <c r="C416" s="52"/>
      <c r="D416" s="438" t="s">
        <v>7</v>
      </c>
      <c r="E416" s="576">
        <v>15500</v>
      </c>
      <c r="F416" s="439">
        <f>F417</f>
        <v>90</v>
      </c>
      <c r="G416" s="439"/>
      <c r="H416" s="439">
        <f aca="true" t="shared" si="7" ref="H416:H509">E416+G416-F416</f>
        <v>15410</v>
      </c>
      <c r="I416" s="107"/>
      <c r="J416" s="107"/>
      <c r="L416" s="78"/>
    </row>
    <row r="417" spans="1:12" s="118" customFormat="1" ht="21.75" customHeight="1">
      <c r="A417" s="145"/>
      <c r="B417" s="125"/>
      <c r="C417" s="231">
        <v>6060</v>
      </c>
      <c r="D417" s="232" t="s">
        <v>895</v>
      </c>
      <c r="E417" s="116">
        <v>15500</v>
      </c>
      <c r="F417" s="116">
        <v>90</v>
      </c>
      <c r="G417" s="116"/>
      <c r="H417" s="116">
        <f t="shared" si="7"/>
        <v>15410</v>
      </c>
      <c r="I417" s="117"/>
      <c r="J417" s="117"/>
      <c r="L417" s="117"/>
    </row>
    <row r="418" spans="1:12" ht="21.75" customHeight="1">
      <c r="A418" s="74">
        <v>900</v>
      </c>
      <c r="B418" s="74"/>
      <c r="C418" s="74"/>
      <c r="D418" s="74" t="s">
        <v>801</v>
      </c>
      <c r="E418" s="59">
        <v>64062445</v>
      </c>
      <c r="F418" s="60">
        <f>F430+F419+F446+F438+F441</f>
        <v>1116796</v>
      </c>
      <c r="G418" s="60">
        <f>G430+G419+G446+G438+G441</f>
        <v>1116796</v>
      </c>
      <c r="H418" s="60">
        <f t="shared" si="7"/>
        <v>64062445</v>
      </c>
      <c r="I418" s="47"/>
      <c r="J418" s="47"/>
      <c r="L418" s="47"/>
    </row>
    <row r="419" spans="1:12" s="99" customFormat="1" ht="21.75" customHeight="1">
      <c r="A419" s="383"/>
      <c r="B419" s="62">
        <v>90001</v>
      </c>
      <c r="C419" s="62"/>
      <c r="D419" s="62" t="s">
        <v>263</v>
      </c>
      <c r="E419" s="106">
        <v>9687000</v>
      </c>
      <c r="F419" s="106">
        <f>F420</f>
        <v>818000</v>
      </c>
      <c r="G419" s="106">
        <f>G420</f>
        <v>15000</v>
      </c>
      <c r="H419" s="106">
        <f t="shared" si="7"/>
        <v>8884000</v>
      </c>
      <c r="I419" s="107"/>
      <c r="J419" s="107"/>
      <c r="L419" s="107"/>
    </row>
    <row r="420" spans="1:12" s="79" customFormat="1" ht="21.75" customHeight="1">
      <c r="A420" s="65"/>
      <c r="B420" s="52"/>
      <c r="C420" s="52"/>
      <c r="D420" s="387" t="s">
        <v>130</v>
      </c>
      <c r="E420" s="111">
        <v>7270000</v>
      </c>
      <c r="F420" s="406">
        <f>F429</f>
        <v>818000</v>
      </c>
      <c r="G420" s="406">
        <f>G429</f>
        <v>15000</v>
      </c>
      <c r="H420" s="406">
        <f t="shared" si="7"/>
        <v>6467000</v>
      </c>
      <c r="I420" s="107"/>
      <c r="J420" s="107"/>
      <c r="L420" s="78"/>
    </row>
    <row r="421" spans="1:12" s="118" customFormat="1" ht="25.5" customHeight="1">
      <c r="A421" s="145"/>
      <c r="B421" s="125"/>
      <c r="C421" s="125"/>
      <c r="D421" s="1097" t="s">
        <v>22</v>
      </c>
      <c r="E421" s="623">
        <v>505000</v>
      </c>
      <c r="F421" s="623">
        <v>70000</v>
      </c>
      <c r="G421" s="623"/>
      <c r="H421" s="512">
        <f t="shared" si="7"/>
        <v>435000</v>
      </c>
      <c r="I421" s="117"/>
      <c r="J421" s="117"/>
      <c r="L421" s="117"/>
    </row>
    <row r="422" spans="1:12" s="118" customFormat="1" ht="25.5" customHeight="1">
      <c r="A422" s="145"/>
      <c r="B422" s="125"/>
      <c r="C422" s="125"/>
      <c r="D422" s="1096" t="s">
        <v>23</v>
      </c>
      <c r="E422" s="332">
        <v>1160000</v>
      </c>
      <c r="F422" s="332">
        <v>130000</v>
      </c>
      <c r="G422" s="332"/>
      <c r="H422" s="332">
        <f t="shared" si="7"/>
        <v>1030000</v>
      </c>
      <c r="I422" s="117"/>
      <c r="J422" s="117"/>
      <c r="L422" s="117"/>
    </row>
    <row r="423" spans="1:12" s="118" customFormat="1" ht="20.25" customHeight="1">
      <c r="A423" s="145"/>
      <c r="B423" s="125"/>
      <c r="C423" s="125"/>
      <c r="D423" s="1096" t="s">
        <v>30</v>
      </c>
      <c r="E423" s="332">
        <v>270000</v>
      </c>
      <c r="F423" s="332"/>
      <c r="G423" s="332">
        <v>15000</v>
      </c>
      <c r="H423" s="332">
        <f t="shared" si="7"/>
        <v>285000</v>
      </c>
      <c r="I423" s="117"/>
      <c r="J423" s="117"/>
      <c r="L423" s="117"/>
    </row>
    <row r="424" spans="1:12" s="118" customFormat="1" ht="25.5" customHeight="1">
      <c r="A424" s="145"/>
      <c r="B424" s="125"/>
      <c r="C424" s="125"/>
      <c r="D424" s="1096" t="s">
        <v>24</v>
      </c>
      <c r="E424" s="332">
        <v>300000</v>
      </c>
      <c r="F424" s="332">
        <v>230000</v>
      </c>
      <c r="G424" s="332"/>
      <c r="H424" s="332">
        <f t="shared" si="7"/>
        <v>70000</v>
      </c>
      <c r="I424" s="117"/>
      <c r="J424" s="117"/>
      <c r="L424" s="117"/>
    </row>
    <row r="425" spans="1:12" s="118" customFormat="1" ht="25.5" customHeight="1">
      <c r="A425" s="870"/>
      <c r="B425" s="233"/>
      <c r="C425" s="233"/>
      <c r="D425" s="1109" t="s">
        <v>436</v>
      </c>
      <c r="E425" s="962">
        <v>100000</v>
      </c>
      <c r="F425" s="962">
        <v>100000</v>
      </c>
      <c r="G425" s="962"/>
      <c r="H425" s="962">
        <f t="shared" si="7"/>
        <v>0</v>
      </c>
      <c r="I425" s="117"/>
      <c r="J425" s="117"/>
      <c r="L425" s="117"/>
    </row>
    <row r="426" spans="1:12" s="118" customFormat="1" ht="20.25" customHeight="1">
      <c r="A426" s="145"/>
      <c r="B426" s="125"/>
      <c r="C426" s="125"/>
      <c r="D426" s="1097" t="s">
        <v>26</v>
      </c>
      <c r="E426" s="623">
        <v>220000</v>
      </c>
      <c r="F426" s="623">
        <v>100000</v>
      </c>
      <c r="G426" s="623"/>
      <c r="H426" s="623">
        <f t="shared" si="7"/>
        <v>120000</v>
      </c>
      <c r="I426" s="117"/>
      <c r="J426" s="117"/>
      <c r="L426" s="117"/>
    </row>
    <row r="427" spans="1:12" s="118" customFormat="1" ht="20.25" customHeight="1">
      <c r="A427" s="145"/>
      <c r="B427" s="125"/>
      <c r="C427" s="125"/>
      <c r="D427" s="1096" t="s">
        <v>27</v>
      </c>
      <c r="E427" s="332">
        <v>30000</v>
      </c>
      <c r="F427" s="332">
        <v>5000</v>
      </c>
      <c r="G427" s="332"/>
      <c r="H427" s="332">
        <f t="shared" si="7"/>
        <v>25000</v>
      </c>
      <c r="I427" s="117"/>
      <c r="J427" s="117"/>
      <c r="L427" s="117"/>
    </row>
    <row r="428" spans="1:12" s="118" customFormat="1" ht="20.25" customHeight="1">
      <c r="A428" s="145"/>
      <c r="B428" s="125"/>
      <c r="C428" s="125"/>
      <c r="D428" s="1096" t="s">
        <v>437</v>
      </c>
      <c r="E428" s="332">
        <v>195000</v>
      </c>
      <c r="F428" s="332">
        <v>183000</v>
      </c>
      <c r="G428" s="332"/>
      <c r="H428" s="332">
        <f t="shared" si="7"/>
        <v>12000</v>
      </c>
      <c r="I428" s="117"/>
      <c r="J428" s="117"/>
      <c r="L428" s="117"/>
    </row>
    <row r="429" spans="1:12" s="79" customFormat="1" ht="18.75" customHeight="1">
      <c r="A429" s="65"/>
      <c r="B429" s="55"/>
      <c r="C429" s="231">
        <v>6050</v>
      </c>
      <c r="D429" s="232" t="s">
        <v>125</v>
      </c>
      <c r="E429" s="310">
        <v>7270000</v>
      </c>
      <c r="F429" s="332">
        <f>SUM(F421:F428)</f>
        <v>818000</v>
      </c>
      <c r="G429" s="235">
        <f>SUM(G421:G427)</f>
        <v>15000</v>
      </c>
      <c r="H429" s="114">
        <f t="shared" si="7"/>
        <v>6467000</v>
      </c>
      <c r="I429" s="107"/>
      <c r="J429" s="107"/>
      <c r="L429" s="78"/>
    </row>
    <row r="430" spans="1:12" s="99" customFormat="1" ht="21.75" customHeight="1">
      <c r="A430" s="66"/>
      <c r="B430" s="62">
        <v>90003</v>
      </c>
      <c r="C430" s="62"/>
      <c r="D430" s="62" t="s">
        <v>802</v>
      </c>
      <c r="E430" s="106">
        <v>9097000</v>
      </c>
      <c r="F430" s="106">
        <f>F431+F435</f>
        <v>28796</v>
      </c>
      <c r="G430" s="106">
        <f>G431+G435</f>
        <v>28796</v>
      </c>
      <c r="H430" s="106">
        <f t="shared" si="7"/>
        <v>9097000</v>
      </c>
      <c r="I430" s="107"/>
      <c r="J430" s="107"/>
      <c r="L430" s="107"/>
    </row>
    <row r="431" spans="1:12" s="99" customFormat="1" ht="21.75" customHeight="1">
      <c r="A431" s="146"/>
      <c r="B431" s="151"/>
      <c r="C431" s="83"/>
      <c r="D431" s="80" t="s">
        <v>803</v>
      </c>
      <c r="E431" s="112">
        <v>7500000</v>
      </c>
      <c r="F431" s="112">
        <f>SUM(F432:F434)</f>
        <v>28436</v>
      </c>
      <c r="G431" s="112">
        <f>SUM(G432:G434)</f>
        <v>28436</v>
      </c>
      <c r="H431" s="112">
        <f t="shared" si="7"/>
        <v>7500000</v>
      </c>
      <c r="I431" s="107"/>
      <c r="J431" s="107"/>
      <c r="L431" s="107"/>
    </row>
    <row r="432" spans="1:12" s="118" customFormat="1" ht="21.75" customHeight="1">
      <c r="A432" s="145"/>
      <c r="B432" s="125"/>
      <c r="C432" s="231">
        <v>4300</v>
      </c>
      <c r="D432" s="232" t="s">
        <v>664</v>
      </c>
      <c r="E432" s="116">
        <v>7500000</v>
      </c>
      <c r="F432" s="116">
        <v>28436</v>
      </c>
      <c r="G432" s="116"/>
      <c r="H432" s="116">
        <f t="shared" si="7"/>
        <v>7471564</v>
      </c>
      <c r="I432" s="117"/>
      <c r="J432" s="117"/>
      <c r="L432" s="117"/>
    </row>
    <row r="433" spans="1:12" s="118" customFormat="1" ht="21.75" customHeight="1">
      <c r="A433" s="145"/>
      <c r="B433" s="125"/>
      <c r="C433" s="231">
        <v>4590</v>
      </c>
      <c r="D433" s="232" t="s">
        <v>804</v>
      </c>
      <c r="E433" s="116"/>
      <c r="F433" s="116"/>
      <c r="G433" s="116">
        <v>26224</v>
      </c>
      <c r="H433" s="116">
        <f t="shared" si="7"/>
        <v>26224</v>
      </c>
      <c r="I433" s="117"/>
      <c r="J433" s="117"/>
      <c r="L433" s="117"/>
    </row>
    <row r="434" spans="1:12" s="118" customFormat="1" ht="21.75" customHeight="1">
      <c r="A434" s="145"/>
      <c r="B434" s="125"/>
      <c r="C434" s="231">
        <v>4610</v>
      </c>
      <c r="D434" s="232" t="s">
        <v>805</v>
      </c>
      <c r="E434" s="116"/>
      <c r="F434" s="116"/>
      <c r="G434" s="116">
        <v>2212</v>
      </c>
      <c r="H434" s="116">
        <f t="shared" si="7"/>
        <v>2212</v>
      </c>
      <c r="I434" s="117"/>
      <c r="J434" s="117"/>
      <c r="L434" s="117"/>
    </row>
    <row r="435" spans="1:12" s="99" customFormat="1" ht="21.75" customHeight="1">
      <c r="A435" s="146"/>
      <c r="B435" s="151"/>
      <c r="C435" s="83"/>
      <c r="D435" s="80" t="s">
        <v>880</v>
      </c>
      <c r="E435" s="112">
        <v>1075000</v>
      </c>
      <c r="F435" s="112">
        <f>SUM(F436:F437)</f>
        <v>360</v>
      </c>
      <c r="G435" s="112">
        <f>SUM(G436:G437)</f>
        <v>360</v>
      </c>
      <c r="H435" s="112">
        <f t="shared" si="7"/>
        <v>1075000</v>
      </c>
      <c r="I435" s="107"/>
      <c r="J435" s="107"/>
      <c r="L435" s="107"/>
    </row>
    <row r="436" spans="1:12" s="118" customFormat="1" ht="21.75" customHeight="1">
      <c r="A436" s="145"/>
      <c r="B436" s="125"/>
      <c r="C436" s="231">
        <v>4300</v>
      </c>
      <c r="D436" s="232" t="s">
        <v>664</v>
      </c>
      <c r="E436" s="116">
        <v>990230</v>
      </c>
      <c r="F436" s="116"/>
      <c r="G436" s="116">
        <v>360</v>
      </c>
      <c r="H436" s="116">
        <f t="shared" si="7"/>
        <v>990590</v>
      </c>
      <c r="I436" s="117"/>
      <c r="J436" s="117"/>
      <c r="L436" s="117"/>
    </row>
    <row r="437" spans="1:12" s="118" customFormat="1" ht="27.75" customHeight="1">
      <c r="A437" s="145"/>
      <c r="B437" s="125"/>
      <c r="C437" s="231">
        <v>4600</v>
      </c>
      <c r="D437" s="232" t="s">
        <v>881</v>
      </c>
      <c r="E437" s="116">
        <v>80360</v>
      </c>
      <c r="F437" s="116">
        <v>360</v>
      </c>
      <c r="G437" s="116"/>
      <c r="H437" s="116">
        <f t="shared" si="7"/>
        <v>80000</v>
      </c>
      <c r="I437" s="117"/>
      <c r="J437" s="117"/>
      <c r="L437" s="117"/>
    </row>
    <row r="438" spans="1:12" s="99" customFormat="1" ht="21.75" customHeight="1">
      <c r="A438" s="66"/>
      <c r="B438" s="62">
        <v>90004</v>
      </c>
      <c r="C438" s="62"/>
      <c r="D438" s="62" t="s">
        <v>438</v>
      </c>
      <c r="E438" s="106">
        <v>3640000</v>
      </c>
      <c r="F438" s="106"/>
      <c r="G438" s="106">
        <f>G439</f>
        <v>100000</v>
      </c>
      <c r="H438" s="106">
        <f t="shared" si="7"/>
        <v>3740000</v>
      </c>
      <c r="I438" s="107"/>
      <c r="J438" s="107"/>
      <c r="L438" s="107"/>
    </row>
    <row r="439" spans="1:12" s="99" customFormat="1" ht="21.75" customHeight="1">
      <c r="A439" s="146"/>
      <c r="B439" s="151"/>
      <c r="C439" s="83"/>
      <c r="D439" s="80" t="s">
        <v>439</v>
      </c>
      <c r="E439" s="112">
        <v>500000</v>
      </c>
      <c r="F439" s="112"/>
      <c r="G439" s="112">
        <f>G440</f>
        <v>100000</v>
      </c>
      <c r="H439" s="112">
        <f t="shared" si="7"/>
        <v>600000</v>
      </c>
      <c r="I439" s="107"/>
      <c r="J439" s="107"/>
      <c r="L439" s="107"/>
    </row>
    <row r="440" spans="1:12" s="118" customFormat="1" ht="21.75" customHeight="1">
      <c r="A440" s="145"/>
      <c r="B440" s="125"/>
      <c r="C440" s="231">
        <v>6050</v>
      </c>
      <c r="D440" s="232" t="s">
        <v>125</v>
      </c>
      <c r="E440" s="116">
        <v>500000</v>
      </c>
      <c r="F440" s="116"/>
      <c r="G440" s="116">
        <v>100000</v>
      </c>
      <c r="H440" s="116">
        <f t="shared" si="7"/>
        <v>600000</v>
      </c>
      <c r="I440" s="117"/>
      <c r="J440" s="117"/>
      <c r="L440" s="117"/>
    </row>
    <row r="441" spans="1:12" s="99" customFormat="1" ht="21.75" customHeight="1">
      <c r="A441" s="66"/>
      <c r="B441" s="62">
        <v>90015</v>
      </c>
      <c r="C441" s="62"/>
      <c r="D441" s="62" t="s">
        <v>440</v>
      </c>
      <c r="E441" s="106">
        <v>7950000</v>
      </c>
      <c r="F441" s="106"/>
      <c r="G441" s="106">
        <f>G442+G444</f>
        <v>83000</v>
      </c>
      <c r="H441" s="106">
        <f t="shared" si="7"/>
        <v>8033000</v>
      </c>
      <c r="I441" s="107"/>
      <c r="J441" s="107"/>
      <c r="L441" s="107"/>
    </row>
    <row r="442" spans="1:12" s="99" customFormat="1" ht="21.75" customHeight="1">
      <c r="A442" s="146"/>
      <c r="B442" s="151"/>
      <c r="C442" s="83"/>
      <c r="D442" s="80" t="s">
        <v>441</v>
      </c>
      <c r="E442" s="112">
        <v>4400000</v>
      </c>
      <c r="F442" s="112"/>
      <c r="G442" s="112">
        <f>G443</f>
        <v>19000</v>
      </c>
      <c r="H442" s="112">
        <f t="shared" si="7"/>
        <v>4419000</v>
      </c>
      <c r="I442" s="107"/>
      <c r="J442" s="107"/>
      <c r="L442" s="107"/>
    </row>
    <row r="443" spans="1:12" s="118" customFormat="1" ht="21.75" customHeight="1">
      <c r="A443" s="145"/>
      <c r="B443" s="125"/>
      <c r="C443" s="231">
        <v>4260</v>
      </c>
      <c r="D443" s="232" t="s">
        <v>731</v>
      </c>
      <c r="E443" s="116">
        <v>4400000</v>
      </c>
      <c r="F443" s="116"/>
      <c r="G443" s="116">
        <v>19000</v>
      </c>
      <c r="H443" s="116">
        <f t="shared" si="7"/>
        <v>4419000</v>
      </c>
      <c r="I443" s="117"/>
      <c r="J443" s="117"/>
      <c r="L443" s="117"/>
    </row>
    <row r="444" spans="1:12" s="99" customFormat="1" ht="21.75" customHeight="1">
      <c r="A444" s="146"/>
      <c r="B444" s="151"/>
      <c r="C444" s="83"/>
      <c r="D444" s="80" t="s">
        <v>442</v>
      </c>
      <c r="E444" s="112">
        <v>3100000</v>
      </c>
      <c r="F444" s="112"/>
      <c r="G444" s="112">
        <f>G445</f>
        <v>64000</v>
      </c>
      <c r="H444" s="112">
        <f t="shared" si="7"/>
        <v>3164000</v>
      </c>
      <c r="I444" s="107"/>
      <c r="J444" s="107"/>
      <c r="L444" s="107"/>
    </row>
    <row r="445" spans="1:12" s="118" customFormat="1" ht="21.75" customHeight="1">
      <c r="A445" s="145"/>
      <c r="B445" s="125"/>
      <c r="C445" s="231">
        <v>4300</v>
      </c>
      <c r="D445" s="232" t="s">
        <v>664</v>
      </c>
      <c r="E445" s="116">
        <v>3050000</v>
      </c>
      <c r="F445" s="116"/>
      <c r="G445" s="116">
        <v>64000</v>
      </c>
      <c r="H445" s="116">
        <f t="shared" si="7"/>
        <v>3114000</v>
      </c>
      <c r="I445" s="117"/>
      <c r="J445" s="117"/>
      <c r="L445" s="117"/>
    </row>
    <row r="446" spans="1:12" s="99" customFormat="1" ht="21.75" customHeight="1">
      <c r="A446" s="66"/>
      <c r="B446" s="62">
        <v>90095</v>
      </c>
      <c r="C446" s="62"/>
      <c r="D446" s="62" t="s">
        <v>646</v>
      </c>
      <c r="E446" s="106">
        <v>17201000</v>
      </c>
      <c r="F446" s="106">
        <f>F447</f>
        <v>270000</v>
      </c>
      <c r="G446" s="106">
        <f>G447</f>
        <v>890000</v>
      </c>
      <c r="H446" s="106">
        <f t="shared" si="7"/>
        <v>17821000</v>
      </c>
      <c r="I446" s="107"/>
      <c r="J446" s="107"/>
      <c r="L446" s="107"/>
    </row>
    <row r="447" spans="1:12" s="79" customFormat="1" ht="21.75" customHeight="1">
      <c r="A447" s="65"/>
      <c r="B447" s="52"/>
      <c r="C447" s="52"/>
      <c r="D447" s="387" t="s">
        <v>130</v>
      </c>
      <c r="E447" s="111">
        <v>17071000</v>
      </c>
      <c r="F447" s="406">
        <f>F452</f>
        <v>270000</v>
      </c>
      <c r="G447" s="406">
        <f>G452</f>
        <v>890000</v>
      </c>
      <c r="H447" s="406">
        <f t="shared" si="7"/>
        <v>17691000</v>
      </c>
      <c r="I447" s="107"/>
      <c r="J447" s="107"/>
      <c r="L447" s="78"/>
    </row>
    <row r="448" spans="1:12" s="118" customFormat="1" ht="25.5" customHeight="1">
      <c r="A448" s="145"/>
      <c r="B448" s="125"/>
      <c r="C448" s="125"/>
      <c r="D448" s="1097" t="s">
        <v>31</v>
      </c>
      <c r="E448" s="623">
        <v>6546000</v>
      </c>
      <c r="F448" s="623"/>
      <c r="G448" s="623">
        <v>787512</v>
      </c>
      <c r="H448" s="623">
        <f t="shared" si="7"/>
        <v>7333512</v>
      </c>
      <c r="I448" s="117"/>
      <c r="J448" s="117"/>
      <c r="L448" s="117"/>
    </row>
    <row r="449" spans="1:12" s="118" customFormat="1" ht="28.5" customHeight="1">
      <c r="A449" s="145"/>
      <c r="B449" s="125"/>
      <c r="C449" s="125"/>
      <c r="D449" s="1096" t="s">
        <v>32</v>
      </c>
      <c r="E449" s="332">
        <v>2615000</v>
      </c>
      <c r="F449" s="332"/>
      <c r="G449" s="332">
        <v>102488</v>
      </c>
      <c r="H449" s="332">
        <f t="shared" si="7"/>
        <v>2717488</v>
      </c>
      <c r="I449" s="117"/>
      <c r="J449" s="117"/>
      <c r="L449" s="117"/>
    </row>
    <row r="450" spans="1:12" s="118" customFormat="1" ht="22.5" customHeight="1">
      <c r="A450" s="145"/>
      <c r="B450" s="125"/>
      <c r="C450" s="125"/>
      <c r="D450" s="1097" t="s">
        <v>443</v>
      </c>
      <c r="E450" s="623">
        <v>500000</v>
      </c>
      <c r="F450" s="623">
        <v>179000</v>
      </c>
      <c r="G450" s="623"/>
      <c r="H450" s="512">
        <f t="shared" si="7"/>
        <v>321000</v>
      </c>
      <c r="I450" s="117"/>
      <c r="J450" s="117"/>
      <c r="L450" s="117"/>
    </row>
    <row r="451" spans="1:12" s="118" customFormat="1" ht="25.5" customHeight="1">
      <c r="A451" s="145"/>
      <c r="B451" s="125"/>
      <c r="C451" s="125"/>
      <c r="D451" s="1096" t="s">
        <v>28</v>
      </c>
      <c r="E451" s="332">
        <v>100000</v>
      </c>
      <c r="F451" s="332">
        <v>91000</v>
      </c>
      <c r="G451" s="332"/>
      <c r="H451" s="332">
        <f t="shared" si="7"/>
        <v>9000</v>
      </c>
      <c r="I451" s="117"/>
      <c r="J451" s="117"/>
      <c r="L451" s="117"/>
    </row>
    <row r="452" spans="1:12" s="79" customFormat="1" ht="18.75" customHeight="1">
      <c r="A452" s="595"/>
      <c r="B452" s="55"/>
      <c r="C452" s="231">
        <v>6050</v>
      </c>
      <c r="D452" s="232" t="s">
        <v>125</v>
      </c>
      <c r="E452" s="310">
        <v>15021000</v>
      </c>
      <c r="F452" s="235">
        <f>SUM(F448:F451)</f>
        <v>270000</v>
      </c>
      <c r="G452" s="235">
        <f>SUM(G448:G451)</f>
        <v>890000</v>
      </c>
      <c r="H452" s="114">
        <f t="shared" si="7"/>
        <v>15641000</v>
      </c>
      <c r="I452" s="107"/>
      <c r="J452" s="107"/>
      <c r="L452" s="78"/>
    </row>
    <row r="453" spans="1:12" ht="16.5" customHeight="1">
      <c r="A453" s="74">
        <v>921</v>
      </c>
      <c r="B453" s="74"/>
      <c r="C453" s="74"/>
      <c r="D453" s="74" t="s">
        <v>265</v>
      </c>
      <c r="E453" s="59">
        <v>15515412</v>
      </c>
      <c r="F453" s="60">
        <f>F454</f>
        <v>878</v>
      </c>
      <c r="G453" s="60">
        <f>G454</f>
        <v>878</v>
      </c>
      <c r="H453" s="60">
        <f t="shared" si="7"/>
        <v>15515412</v>
      </c>
      <c r="I453" s="47"/>
      <c r="J453" s="47"/>
      <c r="L453" s="47"/>
    </row>
    <row r="454" spans="1:12" s="99" customFormat="1" ht="19.5" customHeight="1">
      <c r="A454" s="383"/>
      <c r="B454" s="62">
        <v>92105</v>
      </c>
      <c r="C454" s="62"/>
      <c r="D454" s="62" t="s">
        <v>883</v>
      </c>
      <c r="E454" s="106">
        <v>852786</v>
      </c>
      <c r="F454" s="106">
        <f>F455</f>
        <v>878</v>
      </c>
      <c r="G454" s="106">
        <f>G455</f>
        <v>878</v>
      </c>
      <c r="H454" s="106">
        <f t="shared" si="7"/>
        <v>852786</v>
      </c>
      <c r="I454" s="107"/>
      <c r="J454" s="107"/>
      <c r="L454" s="107"/>
    </row>
    <row r="455" spans="1:12" s="99" customFormat="1" ht="24.75" customHeight="1">
      <c r="A455" s="146"/>
      <c r="B455" s="151"/>
      <c r="C455" s="83"/>
      <c r="D455" s="80" t="s">
        <v>884</v>
      </c>
      <c r="E455" s="112">
        <v>10000</v>
      </c>
      <c r="F455" s="112">
        <f>SUM(F456:F457)</f>
        <v>878</v>
      </c>
      <c r="G455" s="112">
        <f>SUM(G456:G457)</f>
        <v>878</v>
      </c>
      <c r="H455" s="112">
        <f t="shared" si="7"/>
        <v>10000</v>
      </c>
      <c r="I455" s="107"/>
      <c r="J455" s="107"/>
      <c r="L455" s="107"/>
    </row>
    <row r="456" spans="1:12" s="118" customFormat="1" ht="19.5" customHeight="1">
      <c r="A456" s="145"/>
      <c r="B456" s="125"/>
      <c r="C456" s="231">
        <v>4170</v>
      </c>
      <c r="D456" s="232" t="s">
        <v>885</v>
      </c>
      <c r="E456" s="116">
        <v>8000</v>
      </c>
      <c r="F456" s="116"/>
      <c r="G456" s="116">
        <v>878</v>
      </c>
      <c r="H456" s="116">
        <f t="shared" si="7"/>
        <v>8878</v>
      </c>
      <c r="I456" s="117"/>
      <c r="J456" s="117"/>
      <c r="L456" s="117"/>
    </row>
    <row r="457" spans="1:12" s="118" customFormat="1" ht="19.5" customHeight="1">
      <c r="A457" s="145"/>
      <c r="B457" s="125"/>
      <c r="C457" s="231">
        <v>4300</v>
      </c>
      <c r="D457" s="232" t="s">
        <v>664</v>
      </c>
      <c r="E457" s="310">
        <v>2000</v>
      </c>
      <c r="F457" s="310">
        <v>878</v>
      </c>
      <c r="G457" s="310"/>
      <c r="H457" s="310">
        <f t="shared" si="7"/>
        <v>1122</v>
      </c>
      <c r="I457" s="117"/>
      <c r="J457" s="117"/>
      <c r="L457" s="117"/>
    </row>
    <row r="458" spans="1:12" ht="19.5" customHeight="1">
      <c r="A458" s="74">
        <v>926</v>
      </c>
      <c r="B458" s="74"/>
      <c r="C458" s="74"/>
      <c r="D458" s="74" t="s">
        <v>266</v>
      </c>
      <c r="E458" s="59">
        <v>20028114</v>
      </c>
      <c r="F458" s="60">
        <f>F467+F459</f>
        <v>128300</v>
      </c>
      <c r="G458" s="60">
        <f>G467+G459</f>
        <v>128300</v>
      </c>
      <c r="H458" s="60">
        <f t="shared" si="7"/>
        <v>20028114</v>
      </c>
      <c r="I458" s="47"/>
      <c r="J458" s="47"/>
      <c r="L458" s="47"/>
    </row>
    <row r="459" spans="1:12" s="99" customFormat="1" ht="19.5" customHeight="1">
      <c r="A459" s="383"/>
      <c r="B459" s="62">
        <v>92604</v>
      </c>
      <c r="C459" s="62"/>
      <c r="D459" s="62" t="s">
        <v>268</v>
      </c>
      <c r="E459" s="106">
        <v>16562114</v>
      </c>
      <c r="F459" s="106">
        <f>F460</f>
        <v>94000</v>
      </c>
      <c r="G459" s="106">
        <f>G460</f>
        <v>94000</v>
      </c>
      <c r="H459" s="106">
        <f t="shared" si="7"/>
        <v>16562114</v>
      </c>
      <c r="I459" s="107"/>
      <c r="J459" s="107"/>
      <c r="L459" s="107"/>
    </row>
    <row r="460" spans="1:12" s="79" customFormat="1" ht="19.5" customHeight="1">
      <c r="A460" s="65"/>
      <c r="B460" s="52"/>
      <c r="C460" s="52"/>
      <c r="D460" s="1102" t="s">
        <v>35</v>
      </c>
      <c r="E460" s="1011">
        <v>16562114</v>
      </c>
      <c r="F460" s="1103">
        <f>F461</f>
        <v>94000</v>
      </c>
      <c r="G460" s="1103">
        <f>G461</f>
        <v>94000</v>
      </c>
      <c r="H460" s="1103">
        <f t="shared" si="7"/>
        <v>16562114</v>
      </c>
      <c r="I460" s="107"/>
      <c r="J460" s="107"/>
      <c r="L460" s="78"/>
    </row>
    <row r="461" spans="1:12" s="890" customFormat="1" ht="20.25" customHeight="1">
      <c r="A461" s="146"/>
      <c r="B461" s="151"/>
      <c r="C461" s="151"/>
      <c r="D461" s="1104" t="s">
        <v>36</v>
      </c>
      <c r="E461" s="1105">
        <v>14362114</v>
      </c>
      <c r="F461" s="1105">
        <f>F466</f>
        <v>94000</v>
      </c>
      <c r="G461" s="1105">
        <f>G466</f>
        <v>94000</v>
      </c>
      <c r="H461" s="1105">
        <f t="shared" si="7"/>
        <v>14362114</v>
      </c>
      <c r="I461" s="148"/>
      <c r="J461" s="148"/>
      <c r="L461" s="148"/>
    </row>
    <row r="462" spans="1:12" s="118" customFormat="1" ht="24.75" customHeight="1">
      <c r="A462" s="145"/>
      <c r="B462" s="125"/>
      <c r="C462" s="125"/>
      <c r="D462" s="1095" t="s">
        <v>463</v>
      </c>
      <c r="E462" s="331">
        <v>1361718</v>
      </c>
      <c r="F462" s="331">
        <v>44000</v>
      </c>
      <c r="G462" s="331"/>
      <c r="H462" s="331">
        <f t="shared" si="7"/>
        <v>1317718</v>
      </c>
      <c r="I462" s="117"/>
      <c r="J462" s="117"/>
      <c r="L462" s="117"/>
    </row>
    <row r="463" spans="1:12" s="118" customFormat="1" ht="18" customHeight="1">
      <c r="A463" s="145"/>
      <c r="B463" s="125"/>
      <c r="C463" s="125"/>
      <c r="D463" s="1096" t="s">
        <v>40</v>
      </c>
      <c r="E463" s="332">
        <v>150000</v>
      </c>
      <c r="F463" s="332"/>
      <c r="G463" s="332">
        <v>44000</v>
      </c>
      <c r="H463" s="332">
        <f t="shared" si="7"/>
        <v>194000</v>
      </c>
      <c r="I463" s="117"/>
      <c r="J463" s="117"/>
      <c r="L463" s="117"/>
    </row>
    <row r="464" spans="1:12" s="118" customFormat="1" ht="24.75" customHeight="1">
      <c r="A464" s="145"/>
      <c r="B464" s="125"/>
      <c r="C464" s="125"/>
      <c r="D464" s="1097" t="s">
        <v>39</v>
      </c>
      <c r="E464" s="623">
        <v>900000</v>
      </c>
      <c r="F464" s="623">
        <v>50000</v>
      </c>
      <c r="G464" s="623"/>
      <c r="H464" s="623">
        <f t="shared" si="7"/>
        <v>850000</v>
      </c>
      <c r="I464" s="117"/>
      <c r="J464" s="117"/>
      <c r="L464" s="117"/>
    </row>
    <row r="465" spans="1:12" s="118" customFormat="1" ht="20.25" customHeight="1">
      <c r="A465" s="145"/>
      <c r="B465" s="125"/>
      <c r="C465" s="125"/>
      <c r="D465" s="1096" t="s">
        <v>444</v>
      </c>
      <c r="E465" s="332">
        <v>600000</v>
      </c>
      <c r="F465" s="332"/>
      <c r="G465" s="332">
        <v>50000</v>
      </c>
      <c r="H465" s="332">
        <f t="shared" si="7"/>
        <v>650000</v>
      </c>
      <c r="I465" s="117"/>
      <c r="J465" s="117"/>
      <c r="L465" s="117"/>
    </row>
    <row r="466" spans="1:12" s="79" customFormat="1" ht="36.75" customHeight="1">
      <c r="A466" s="65"/>
      <c r="B466" s="55"/>
      <c r="C466" s="231">
        <v>6210</v>
      </c>
      <c r="D466" s="232" t="s">
        <v>37</v>
      </c>
      <c r="E466" s="310">
        <v>6194052</v>
      </c>
      <c r="F466" s="235">
        <f>SUM(F462:F465)</f>
        <v>94000</v>
      </c>
      <c r="G466" s="235">
        <f>SUM(G462:G465)</f>
        <v>94000</v>
      </c>
      <c r="H466" s="114">
        <f t="shared" si="7"/>
        <v>6194052</v>
      </c>
      <c r="I466" s="107"/>
      <c r="J466" s="107"/>
      <c r="L466" s="78"/>
    </row>
    <row r="467" spans="1:12" s="99" customFormat="1" ht="19.5" customHeight="1">
      <c r="A467" s="66"/>
      <c r="B467" s="62">
        <v>92605</v>
      </c>
      <c r="C467" s="62"/>
      <c r="D467" s="62" t="s">
        <v>290</v>
      </c>
      <c r="E467" s="106">
        <v>3110000</v>
      </c>
      <c r="F467" s="106">
        <f>F471+F468</f>
        <v>34300</v>
      </c>
      <c r="G467" s="106">
        <f>G471+G468</f>
        <v>34300</v>
      </c>
      <c r="H467" s="106">
        <f t="shared" si="7"/>
        <v>3110000</v>
      </c>
      <c r="I467" s="107"/>
      <c r="J467" s="107"/>
      <c r="L467" s="107"/>
    </row>
    <row r="468" spans="1:12" s="99" customFormat="1" ht="18" customHeight="1">
      <c r="A468" s="146"/>
      <c r="B468" s="151"/>
      <c r="C468" s="83"/>
      <c r="D468" s="80" t="s">
        <v>445</v>
      </c>
      <c r="E468" s="112">
        <v>930000</v>
      </c>
      <c r="F468" s="112">
        <f>SUM(F469:F470)</f>
        <v>2300</v>
      </c>
      <c r="G468" s="112">
        <f>SUM(G469:G470)</f>
        <v>2300</v>
      </c>
      <c r="H468" s="112">
        <f t="shared" si="7"/>
        <v>930000</v>
      </c>
      <c r="I468" s="107"/>
      <c r="J468" s="107"/>
      <c r="L468" s="107"/>
    </row>
    <row r="469" spans="1:12" s="118" customFormat="1" ht="18" customHeight="1">
      <c r="A469" s="145"/>
      <c r="B469" s="125"/>
      <c r="C469" s="231">
        <v>4210</v>
      </c>
      <c r="D469" s="232" t="s">
        <v>663</v>
      </c>
      <c r="E469" s="116">
        <v>8000</v>
      </c>
      <c r="F469" s="116">
        <v>2300</v>
      </c>
      <c r="G469" s="116"/>
      <c r="H469" s="116">
        <f t="shared" si="7"/>
        <v>5700</v>
      </c>
      <c r="I469" s="117"/>
      <c r="J469" s="117"/>
      <c r="L469" s="117"/>
    </row>
    <row r="470" spans="1:12" s="118" customFormat="1" ht="18" customHeight="1">
      <c r="A470" s="145"/>
      <c r="B470" s="125"/>
      <c r="C470" s="67">
        <v>4300</v>
      </c>
      <c r="D470" s="382" t="s">
        <v>664</v>
      </c>
      <c r="E470" s="116">
        <v>1000</v>
      </c>
      <c r="F470" s="116"/>
      <c r="G470" s="116">
        <v>2300</v>
      </c>
      <c r="H470" s="116">
        <f t="shared" si="7"/>
        <v>3300</v>
      </c>
      <c r="I470" s="117"/>
      <c r="J470" s="117"/>
      <c r="L470" s="117"/>
    </row>
    <row r="471" spans="1:12" s="79" customFormat="1" ht="18" customHeight="1">
      <c r="A471" s="65"/>
      <c r="B471" s="52"/>
      <c r="C471" s="52"/>
      <c r="D471" s="438" t="s">
        <v>130</v>
      </c>
      <c r="E471" s="576">
        <v>290000</v>
      </c>
      <c r="F471" s="439">
        <f>F474</f>
        <v>32000</v>
      </c>
      <c r="G471" s="439">
        <f>G474</f>
        <v>32000</v>
      </c>
      <c r="H471" s="439">
        <f t="shared" si="7"/>
        <v>290000</v>
      </c>
      <c r="I471" s="107"/>
      <c r="J471" s="107"/>
      <c r="L471" s="78"/>
    </row>
    <row r="472" spans="1:12" s="118" customFormat="1" ht="18" customHeight="1">
      <c r="A472" s="145"/>
      <c r="B472" s="125"/>
      <c r="C472" s="125"/>
      <c r="D472" s="1096" t="s">
        <v>33</v>
      </c>
      <c r="E472" s="332">
        <v>63500</v>
      </c>
      <c r="F472" s="332">
        <v>32000</v>
      </c>
      <c r="G472" s="332"/>
      <c r="H472" s="332">
        <f t="shared" si="7"/>
        <v>31500</v>
      </c>
      <c r="I472" s="117"/>
      <c r="J472" s="117"/>
      <c r="L472" s="117"/>
    </row>
    <row r="473" spans="1:12" s="118" customFormat="1" ht="18" customHeight="1">
      <c r="A473" s="145"/>
      <c r="B473" s="125"/>
      <c r="C473" s="125"/>
      <c r="D473" s="1096" t="s">
        <v>34</v>
      </c>
      <c r="E473" s="332">
        <v>226500</v>
      </c>
      <c r="F473" s="332"/>
      <c r="G473" s="332">
        <v>32000</v>
      </c>
      <c r="H473" s="332">
        <f t="shared" si="7"/>
        <v>258500</v>
      </c>
      <c r="I473" s="117"/>
      <c r="J473" s="117"/>
      <c r="L473" s="117"/>
    </row>
    <row r="474" spans="1:12" s="79" customFormat="1" ht="18" customHeight="1">
      <c r="A474" s="65"/>
      <c r="B474" s="52"/>
      <c r="C474" s="231">
        <v>6050</v>
      </c>
      <c r="D474" s="232" t="s">
        <v>125</v>
      </c>
      <c r="E474" s="310">
        <v>290000</v>
      </c>
      <c r="F474" s="235">
        <f>SUM(F472:F473)</f>
        <v>32000</v>
      </c>
      <c r="G474" s="235">
        <f>SUM(G472:G473)</f>
        <v>32000</v>
      </c>
      <c r="H474" s="114">
        <f t="shared" si="7"/>
        <v>290000</v>
      </c>
      <c r="I474" s="107"/>
      <c r="J474" s="107"/>
      <c r="L474" s="78"/>
    </row>
    <row r="475" spans="1:12" ht="27.75" customHeight="1" thickBot="1">
      <c r="A475" s="55"/>
      <c r="B475" s="55"/>
      <c r="C475" s="55"/>
      <c r="D475" s="124" t="s">
        <v>602</v>
      </c>
      <c r="E475" s="133">
        <v>5983097</v>
      </c>
      <c r="F475" s="133">
        <f>F476+F482</f>
        <v>17116</v>
      </c>
      <c r="G475" s="133">
        <f>G476+G482</f>
        <v>17116</v>
      </c>
      <c r="H475" s="133">
        <f t="shared" si="7"/>
        <v>5983097</v>
      </c>
      <c r="I475" s="47"/>
      <c r="J475" s="47"/>
      <c r="L475" s="47"/>
    </row>
    <row r="476" spans="1:12" ht="18" customHeight="1" thickTop="1">
      <c r="A476" s="57">
        <v>710</v>
      </c>
      <c r="B476" s="74"/>
      <c r="C476" s="58"/>
      <c r="D476" s="77" t="s">
        <v>258</v>
      </c>
      <c r="E476" s="59">
        <v>30000</v>
      </c>
      <c r="F476" s="60">
        <f>F477</f>
        <v>1983</v>
      </c>
      <c r="G476" s="60">
        <f>G477</f>
        <v>1983</v>
      </c>
      <c r="H476" s="60">
        <f t="shared" si="7"/>
        <v>30000</v>
      </c>
      <c r="I476" s="47"/>
      <c r="J476" s="47"/>
      <c r="L476" s="47"/>
    </row>
    <row r="477" spans="1:12" s="99" customFormat="1" ht="18" customHeight="1">
      <c r="A477" s="152"/>
      <c r="B477" s="62">
        <v>71035</v>
      </c>
      <c r="C477" s="62"/>
      <c r="D477" s="62" t="s">
        <v>600</v>
      </c>
      <c r="E477" s="106">
        <v>30000</v>
      </c>
      <c r="F477" s="106">
        <f>F478</f>
        <v>1983</v>
      </c>
      <c r="G477" s="106">
        <f>G478</f>
        <v>1983</v>
      </c>
      <c r="H477" s="106">
        <f t="shared" si="7"/>
        <v>30000</v>
      </c>
      <c r="I477" s="107"/>
      <c r="J477" s="107"/>
      <c r="L477" s="107"/>
    </row>
    <row r="478" spans="1:12" s="99" customFormat="1" ht="18" customHeight="1">
      <c r="A478" s="65"/>
      <c r="B478" s="52"/>
      <c r="C478" s="52"/>
      <c r="D478" s="1340" t="s">
        <v>89</v>
      </c>
      <c r="E478" s="576">
        <v>30000</v>
      </c>
      <c r="F478" s="576">
        <f>SUM(F479:F480)</f>
        <v>1983</v>
      </c>
      <c r="G478" s="576">
        <f>SUM(G479:G480)</f>
        <v>1983</v>
      </c>
      <c r="H478" s="576">
        <f t="shared" si="7"/>
        <v>30000</v>
      </c>
      <c r="I478" s="107"/>
      <c r="J478" s="107"/>
      <c r="L478" s="107"/>
    </row>
    <row r="479" spans="1:12" s="118" customFormat="1" ht="18" customHeight="1">
      <c r="A479" s="145"/>
      <c r="B479" s="125"/>
      <c r="C479" s="231">
        <v>4210</v>
      </c>
      <c r="D479" s="232" t="s">
        <v>663</v>
      </c>
      <c r="E479" s="116"/>
      <c r="F479" s="116"/>
      <c r="G479" s="116">
        <v>1983</v>
      </c>
      <c r="H479" s="116">
        <f t="shared" si="7"/>
        <v>1983</v>
      </c>
      <c r="I479" s="117"/>
      <c r="J479" s="117"/>
      <c r="L479" s="117"/>
    </row>
    <row r="480" spans="1:12" s="120" customFormat="1" ht="18" customHeight="1">
      <c r="A480" s="1359"/>
      <c r="B480" s="67"/>
      <c r="C480" s="67">
        <v>4300</v>
      </c>
      <c r="D480" s="382" t="s">
        <v>664</v>
      </c>
      <c r="E480" s="114">
        <v>30000</v>
      </c>
      <c r="F480" s="114">
        <v>1983</v>
      </c>
      <c r="G480" s="114"/>
      <c r="H480" s="114">
        <f t="shared" si="7"/>
        <v>28017</v>
      </c>
      <c r="I480" s="119"/>
      <c r="J480" s="119"/>
      <c r="L480" s="119"/>
    </row>
    <row r="481" spans="1:12" s="120" customFormat="1" ht="18" customHeight="1">
      <c r="A481" s="1517"/>
      <c r="B481" s="1342"/>
      <c r="C481" s="1342"/>
      <c r="D481" s="1518"/>
      <c r="E481" s="1515"/>
      <c r="F481" s="1515"/>
      <c r="G481" s="1515"/>
      <c r="H481" s="1515"/>
      <c r="I481" s="119"/>
      <c r="J481" s="119"/>
      <c r="L481" s="119"/>
    </row>
    <row r="482" spans="1:12" s="134" customFormat="1" ht="18" customHeight="1">
      <c r="A482" s="317">
        <v>854</v>
      </c>
      <c r="B482" s="58"/>
      <c r="C482" s="58"/>
      <c r="D482" s="58" t="s">
        <v>649</v>
      </c>
      <c r="E482" s="432">
        <v>1705051</v>
      </c>
      <c r="F482" s="432">
        <f>F483</f>
        <v>15133</v>
      </c>
      <c r="G482" s="432">
        <f>G483</f>
        <v>15133</v>
      </c>
      <c r="H482" s="432">
        <f t="shared" si="7"/>
        <v>1705051</v>
      </c>
      <c r="I482" s="135"/>
      <c r="J482" s="135"/>
      <c r="L482" s="135"/>
    </row>
    <row r="483" spans="1:12" s="134" customFormat="1" ht="18" customHeight="1">
      <c r="A483" s="109"/>
      <c r="B483" s="1026">
        <v>85415</v>
      </c>
      <c r="C483" s="63"/>
      <c r="D483" s="75" t="s">
        <v>201</v>
      </c>
      <c r="E483" s="1381">
        <v>1705051</v>
      </c>
      <c r="F483" s="1381">
        <f>F484</f>
        <v>15133</v>
      </c>
      <c r="G483" s="1381">
        <f>G484</f>
        <v>15133</v>
      </c>
      <c r="H483" s="1381">
        <f t="shared" si="7"/>
        <v>1705051</v>
      </c>
      <c r="I483" s="135"/>
      <c r="J483" s="135"/>
      <c r="L483" s="135"/>
    </row>
    <row r="484" spans="1:12" s="99" customFormat="1" ht="28.5" customHeight="1">
      <c r="A484" s="65"/>
      <c r="B484" s="52"/>
      <c r="C484" s="52"/>
      <c r="D484" s="1340" t="s">
        <v>850</v>
      </c>
      <c r="E484" s="576">
        <v>465813</v>
      </c>
      <c r="F484" s="576">
        <f>SUM(F485:F498)</f>
        <v>15133</v>
      </c>
      <c r="G484" s="576">
        <f>SUM(G485:G498)</f>
        <v>15133</v>
      </c>
      <c r="H484" s="576">
        <f t="shared" si="7"/>
        <v>465813</v>
      </c>
      <c r="I484" s="107"/>
      <c r="J484" s="107"/>
      <c r="L484" s="107"/>
    </row>
    <row r="485" spans="1:12" s="118" customFormat="1" ht="18" customHeight="1">
      <c r="A485" s="145"/>
      <c r="B485" s="125"/>
      <c r="C485" s="231">
        <v>3248</v>
      </c>
      <c r="D485" s="232" t="s">
        <v>917</v>
      </c>
      <c r="E485" s="310">
        <v>280196</v>
      </c>
      <c r="F485" s="116"/>
      <c r="G485" s="116">
        <v>10037</v>
      </c>
      <c r="H485" s="116">
        <f t="shared" si="7"/>
        <v>290233</v>
      </c>
      <c r="I485" s="117"/>
      <c r="J485" s="117"/>
      <c r="L485" s="117"/>
    </row>
    <row r="486" spans="1:12" s="118" customFormat="1" ht="18" customHeight="1">
      <c r="A486" s="145"/>
      <c r="B486" s="125"/>
      <c r="C486" s="231">
        <v>3249</v>
      </c>
      <c r="D486" s="232" t="s">
        <v>917</v>
      </c>
      <c r="E486" s="310">
        <v>131554</v>
      </c>
      <c r="F486" s="116"/>
      <c r="G486" s="116">
        <v>4713</v>
      </c>
      <c r="H486" s="116">
        <f t="shared" si="7"/>
        <v>136267</v>
      </c>
      <c r="I486" s="117"/>
      <c r="J486" s="117"/>
      <c r="L486" s="117"/>
    </row>
    <row r="487" spans="1:12" s="118" customFormat="1" ht="18" customHeight="1">
      <c r="A487" s="145"/>
      <c r="B487" s="125"/>
      <c r="C487" s="231">
        <v>4118</v>
      </c>
      <c r="D487" s="232" t="s">
        <v>729</v>
      </c>
      <c r="E487" s="310">
        <v>3455</v>
      </c>
      <c r="F487" s="116">
        <v>2018</v>
      </c>
      <c r="G487" s="116"/>
      <c r="H487" s="116">
        <f t="shared" si="7"/>
        <v>1437</v>
      </c>
      <c r="I487" s="117"/>
      <c r="J487" s="117"/>
      <c r="L487" s="117"/>
    </row>
    <row r="488" spans="1:12" s="118" customFormat="1" ht="18" customHeight="1">
      <c r="A488" s="145"/>
      <c r="B488" s="125"/>
      <c r="C488" s="231">
        <v>4119</v>
      </c>
      <c r="D488" s="232" t="s">
        <v>729</v>
      </c>
      <c r="E488" s="310">
        <v>1622</v>
      </c>
      <c r="F488" s="116">
        <v>948</v>
      </c>
      <c r="G488" s="116"/>
      <c r="H488" s="116">
        <f t="shared" si="7"/>
        <v>674</v>
      </c>
      <c r="I488" s="117"/>
      <c r="J488" s="117"/>
      <c r="L488" s="117"/>
    </row>
    <row r="489" spans="1:12" s="118" customFormat="1" ht="18" customHeight="1">
      <c r="A489" s="145"/>
      <c r="B489" s="125"/>
      <c r="C489" s="231">
        <v>4128</v>
      </c>
      <c r="D489" s="232" t="s">
        <v>730</v>
      </c>
      <c r="E489" s="310">
        <v>492</v>
      </c>
      <c r="F489" s="116">
        <v>283</v>
      </c>
      <c r="G489" s="116"/>
      <c r="H489" s="116">
        <f t="shared" si="7"/>
        <v>209</v>
      </c>
      <c r="I489" s="117"/>
      <c r="J489" s="117"/>
      <c r="L489" s="117"/>
    </row>
    <row r="490" spans="1:12" s="118" customFormat="1" ht="18" customHeight="1">
      <c r="A490" s="145"/>
      <c r="B490" s="125"/>
      <c r="C490" s="231">
        <v>4129</v>
      </c>
      <c r="D490" s="232" t="s">
        <v>730</v>
      </c>
      <c r="E490" s="310">
        <v>231</v>
      </c>
      <c r="F490" s="116">
        <v>133</v>
      </c>
      <c r="G490" s="116"/>
      <c r="H490" s="116">
        <f t="shared" si="7"/>
        <v>98</v>
      </c>
      <c r="I490" s="117"/>
      <c r="J490" s="117"/>
      <c r="L490" s="117"/>
    </row>
    <row r="491" spans="1:12" s="118" customFormat="1" ht="18" customHeight="1">
      <c r="A491" s="145"/>
      <c r="B491" s="125"/>
      <c r="C491" s="231">
        <v>4178</v>
      </c>
      <c r="D491" s="232" t="s">
        <v>674</v>
      </c>
      <c r="E491" s="310">
        <v>16060</v>
      </c>
      <c r="F491" s="116">
        <v>7702</v>
      </c>
      <c r="G491" s="116"/>
      <c r="H491" s="116">
        <f t="shared" si="7"/>
        <v>8358</v>
      </c>
      <c r="I491" s="117"/>
      <c r="J491" s="117"/>
      <c r="L491" s="117"/>
    </row>
    <row r="492" spans="1:12" s="118" customFormat="1" ht="18" customHeight="1">
      <c r="A492" s="145"/>
      <c r="B492" s="125"/>
      <c r="C492" s="231">
        <v>4179</v>
      </c>
      <c r="D492" s="232" t="s">
        <v>674</v>
      </c>
      <c r="E492" s="310">
        <v>7540</v>
      </c>
      <c r="F492" s="116">
        <v>3616</v>
      </c>
      <c r="G492" s="116"/>
      <c r="H492" s="116">
        <f t="shared" si="7"/>
        <v>3924</v>
      </c>
      <c r="I492" s="117"/>
      <c r="J492" s="117"/>
      <c r="L492" s="117"/>
    </row>
    <row r="493" spans="1:12" s="118" customFormat="1" ht="18" customHeight="1">
      <c r="A493" s="145"/>
      <c r="B493" s="125"/>
      <c r="C493" s="231">
        <v>4218</v>
      </c>
      <c r="D493" s="232" t="s">
        <v>663</v>
      </c>
      <c r="E493" s="310">
        <v>10112</v>
      </c>
      <c r="F493" s="116"/>
      <c r="G493" s="116">
        <v>261</v>
      </c>
      <c r="H493" s="116">
        <f t="shared" si="7"/>
        <v>10373</v>
      </c>
      <c r="I493" s="117"/>
      <c r="J493" s="117"/>
      <c r="L493" s="117"/>
    </row>
    <row r="494" spans="1:12" s="118" customFormat="1" ht="18" customHeight="1">
      <c r="A494" s="145"/>
      <c r="B494" s="125"/>
      <c r="C494" s="231">
        <v>4219</v>
      </c>
      <c r="D494" s="232" t="s">
        <v>663</v>
      </c>
      <c r="E494" s="310">
        <v>4748</v>
      </c>
      <c r="F494" s="116"/>
      <c r="G494" s="116">
        <v>122</v>
      </c>
      <c r="H494" s="116">
        <f t="shared" si="7"/>
        <v>4870</v>
      </c>
      <c r="I494" s="117"/>
      <c r="J494" s="117"/>
      <c r="L494" s="117"/>
    </row>
    <row r="495" spans="1:12" s="118" customFormat="1" ht="18" customHeight="1">
      <c r="A495" s="145"/>
      <c r="B495" s="125"/>
      <c r="C495" s="231">
        <v>4308</v>
      </c>
      <c r="D495" s="232" t="s">
        <v>664</v>
      </c>
      <c r="E495" s="310">
        <v>374</v>
      </c>
      <c r="F495" s="116">
        <v>34</v>
      </c>
      <c r="G495" s="116"/>
      <c r="H495" s="116">
        <f t="shared" si="7"/>
        <v>340</v>
      </c>
      <c r="I495" s="117"/>
      <c r="J495" s="117"/>
      <c r="L495" s="117"/>
    </row>
    <row r="496" spans="1:12" s="118" customFormat="1" ht="18" customHeight="1">
      <c r="A496" s="145"/>
      <c r="B496" s="125"/>
      <c r="C496" s="231">
        <v>4309</v>
      </c>
      <c r="D496" s="232" t="s">
        <v>664</v>
      </c>
      <c r="E496" s="310">
        <v>176</v>
      </c>
      <c r="F496" s="116">
        <v>16</v>
      </c>
      <c r="G496" s="116"/>
      <c r="H496" s="116">
        <f t="shared" si="7"/>
        <v>160</v>
      </c>
      <c r="I496" s="117"/>
      <c r="J496" s="117"/>
      <c r="L496" s="117"/>
    </row>
    <row r="497" spans="1:12" s="118" customFormat="1" ht="18" customHeight="1">
      <c r="A497" s="145"/>
      <c r="B497" s="125"/>
      <c r="C497" s="231">
        <v>6068</v>
      </c>
      <c r="D497" s="232" t="s">
        <v>895</v>
      </c>
      <c r="E497" s="310">
        <v>6297</v>
      </c>
      <c r="F497" s="116">
        <v>261</v>
      </c>
      <c r="G497" s="116"/>
      <c r="H497" s="116">
        <f t="shared" si="7"/>
        <v>6036</v>
      </c>
      <c r="I497" s="117"/>
      <c r="J497" s="117"/>
      <c r="L497" s="117"/>
    </row>
    <row r="498" spans="1:12" s="118" customFormat="1" ht="18" customHeight="1">
      <c r="A498" s="145"/>
      <c r="B498" s="125"/>
      <c r="C498" s="231">
        <v>6069</v>
      </c>
      <c r="D498" s="232" t="s">
        <v>895</v>
      </c>
      <c r="E498" s="310">
        <v>2956</v>
      </c>
      <c r="F498" s="116">
        <v>122</v>
      </c>
      <c r="G498" s="116"/>
      <c r="H498" s="116">
        <f t="shared" si="7"/>
        <v>2834</v>
      </c>
      <c r="I498" s="117"/>
      <c r="J498" s="117"/>
      <c r="L498" s="117"/>
    </row>
    <row r="499" spans="1:12" ht="18" customHeight="1" thickBot="1">
      <c r="A499" s="52"/>
      <c r="B499" s="52"/>
      <c r="C499" s="52"/>
      <c r="D499" s="604" t="s">
        <v>676</v>
      </c>
      <c r="E499" s="605">
        <v>100084707</v>
      </c>
      <c r="F499" s="605">
        <f>F500+F525</f>
        <v>3412058</v>
      </c>
      <c r="G499" s="605">
        <f>G500+G525</f>
        <v>433643</v>
      </c>
      <c r="H499" s="605">
        <f t="shared" si="7"/>
        <v>97106292</v>
      </c>
      <c r="I499" s="47"/>
      <c r="J499" s="47"/>
      <c r="L499" s="47"/>
    </row>
    <row r="500" spans="1:12" s="134" customFormat="1" ht="18" customHeight="1" thickBot="1">
      <c r="A500" s="125"/>
      <c r="B500" s="125"/>
      <c r="C500" s="125"/>
      <c r="D500" s="123" t="s">
        <v>677</v>
      </c>
      <c r="E500" s="1027">
        <v>77529936</v>
      </c>
      <c r="F500" s="1027">
        <f>F501+F512+F506</f>
        <v>3343500</v>
      </c>
      <c r="G500" s="1027">
        <f>G501+G512+G506</f>
        <v>188638</v>
      </c>
      <c r="H500" s="1027">
        <f t="shared" si="7"/>
        <v>74375074</v>
      </c>
      <c r="I500" s="135"/>
      <c r="J500" s="135"/>
      <c r="L500" s="135"/>
    </row>
    <row r="501" spans="1:12" s="134" customFormat="1" ht="18" customHeight="1" thickTop="1">
      <c r="A501" s="129" t="s">
        <v>862</v>
      </c>
      <c r="B501" s="74"/>
      <c r="C501" s="74"/>
      <c r="D501" s="74" t="s">
        <v>863</v>
      </c>
      <c r="E501" s="432"/>
      <c r="F501" s="432"/>
      <c r="G501" s="432">
        <f>G502</f>
        <v>4573</v>
      </c>
      <c r="H501" s="432">
        <f t="shared" si="7"/>
        <v>4573</v>
      </c>
      <c r="I501" s="135"/>
      <c r="J501" s="135"/>
      <c r="L501" s="135"/>
    </row>
    <row r="502" spans="1:12" s="134" customFormat="1" ht="18" customHeight="1">
      <c r="A502" s="109"/>
      <c r="B502" s="1026" t="s">
        <v>896</v>
      </c>
      <c r="C502" s="63"/>
      <c r="D502" s="75" t="s">
        <v>646</v>
      </c>
      <c r="E502" s="230"/>
      <c r="F502" s="230"/>
      <c r="G502" s="230">
        <f>G503</f>
        <v>4573</v>
      </c>
      <c r="H502" s="230">
        <f t="shared" si="7"/>
        <v>4573</v>
      </c>
      <c r="I502" s="135"/>
      <c r="J502" s="135"/>
      <c r="L502" s="135"/>
    </row>
    <row r="503" spans="1:12" s="190" customFormat="1" ht="18" customHeight="1">
      <c r="A503" s="151"/>
      <c r="B503" s="151"/>
      <c r="C503" s="147"/>
      <c r="D503" s="860" t="s">
        <v>450</v>
      </c>
      <c r="E503" s="861"/>
      <c r="F503" s="861"/>
      <c r="G503" s="593">
        <f>SUM(G504:G505)</f>
        <v>4573</v>
      </c>
      <c r="H503" s="593">
        <f t="shared" si="7"/>
        <v>4573</v>
      </c>
      <c r="I503" s="306"/>
      <c r="J503" s="306"/>
      <c r="L503" s="306"/>
    </row>
    <row r="504" spans="1:12" s="118" customFormat="1" ht="18" customHeight="1">
      <c r="A504" s="145"/>
      <c r="B504" s="125"/>
      <c r="C504" s="231">
        <v>4210</v>
      </c>
      <c r="D504" s="232" t="s">
        <v>663</v>
      </c>
      <c r="E504" s="310"/>
      <c r="F504" s="310"/>
      <c r="G504" s="116">
        <v>90</v>
      </c>
      <c r="H504" s="116">
        <f t="shared" si="7"/>
        <v>90</v>
      </c>
      <c r="I504" s="117"/>
      <c r="J504" s="117"/>
      <c r="L504" s="117"/>
    </row>
    <row r="505" spans="1:12" s="118" customFormat="1" ht="18" customHeight="1">
      <c r="A505" s="145"/>
      <c r="B505" s="125"/>
      <c r="C505" s="231">
        <v>4430</v>
      </c>
      <c r="D505" s="232" t="s">
        <v>733</v>
      </c>
      <c r="E505" s="310"/>
      <c r="F505" s="116"/>
      <c r="G505" s="116">
        <v>4483</v>
      </c>
      <c r="H505" s="116">
        <f>E505+G505-F505</f>
        <v>4483</v>
      </c>
      <c r="I505" s="117"/>
      <c r="J505" s="117"/>
      <c r="L505" s="117"/>
    </row>
    <row r="506" spans="1:12" s="134" customFormat="1" ht="18" customHeight="1">
      <c r="A506" s="57">
        <v>851</v>
      </c>
      <c r="B506" s="74"/>
      <c r="C506" s="74"/>
      <c r="D506" s="74" t="s">
        <v>650</v>
      </c>
      <c r="E506" s="432">
        <v>3682</v>
      </c>
      <c r="F506" s="432"/>
      <c r="G506" s="432">
        <f>G507</f>
        <v>3297</v>
      </c>
      <c r="H506" s="432">
        <f t="shared" si="7"/>
        <v>6979</v>
      </c>
      <c r="I506" s="135"/>
      <c r="J506" s="135"/>
      <c r="L506" s="135"/>
    </row>
    <row r="507" spans="1:12" s="134" customFormat="1" ht="18" customHeight="1">
      <c r="A507" s="109"/>
      <c r="B507" s="1026">
        <v>85195</v>
      </c>
      <c r="C507" s="63"/>
      <c r="D507" s="75" t="s">
        <v>646</v>
      </c>
      <c r="E507" s="230">
        <v>3682</v>
      </c>
      <c r="F507" s="230"/>
      <c r="G507" s="230">
        <f>G508</f>
        <v>3297</v>
      </c>
      <c r="H507" s="230">
        <f t="shared" si="7"/>
        <v>6979</v>
      </c>
      <c r="I507" s="135"/>
      <c r="J507" s="135"/>
      <c r="L507" s="135"/>
    </row>
    <row r="508" spans="1:12" s="190" customFormat="1" ht="18" customHeight="1">
      <c r="A508" s="151"/>
      <c r="B508" s="151"/>
      <c r="C508" s="147"/>
      <c r="D508" s="860" t="s">
        <v>72</v>
      </c>
      <c r="E508" s="861">
        <v>3682</v>
      </c>
      <c r="F508" s="861"/>
      <c r="G508" s="593">
        <f>SUM(G509:G511)</f>
        <v>3297</v>
      </c>
      <c r="H508" s="593">
        <f t="shared" si="7"/>
        <v>6979</v>
      </c>
      <c r="I508" s="306"/>
      <c r="J508" s="306"/>
      <c r="L508" s="306"/>
    </row>
    <row r="509" spans="1:12" s="118" customFormat="1" ht="18" customHeight="1">
      <c r="A509" s="145"/>
      <c r="B509" s="125"/>
      <c r="C509" s="231">
        <v>4010</v>
      </c>
      <c r="D509" s="232" t="s">
        <v>603</v>
      </c>
      <c r="E509" s="310">
        <v>3070</v>
      </c>
      <c r="F509" s="310"/>
      <c r="G509" s="116">
        <v>2749</v>
      </c>
      <c r="H509" s="116">
        <f t="shared" si="7"/>
        <v>5819</v>
      </c>
      <c r="I509" s="117"/>
      <c r="J509" s="117"/>
      <c r="L509" s="117"/>
    </row>
    <row r="510" spans="1:12" s="118" customFormat="1" ht="18" customHeight="1">
      <c r="A510" s="145"/>
      <c r="B510" s="125"/>
      <c r="C510" s="231">
        <v>4110</v>
      </c>
      <c r="D510" s="232" t="s">
        <v>729</v>
      </c>
      <c r="E510" s="310">
        <v>538</v>
      </c>
      <c r="F510" s="116"/>
      <c r="G510" s="116">
        <v>481</v>
      </c>
      <c r="H510" s="116">
        <f aca="true" t="shared" si="8" ref="H510:H583">E510+G510-F510</f>
        <v>1019</v>
      </c>
      <c r="I510" s="117"/>
      <c r="J510" s="117"/>
      <c r="L510" s="117"/>
    </row>
    <row r="511" spans="1:12" s="118" customFormat="1" ht="18" customHeight="1">
      <c r="A511" s="870"/>
      <c r="B511" s="233"/>
      <c r="C511" s="231">
        <v>4120</v>
      </c>
      <c r="D511" s="232" t="s">
        <v>730</v>
      </c>
      <c r="E511" s="310">
        <v>74</v>
      </c>
      <c r="F511" s="116"/>
      <c r="G511" s="116">
        <v>67</v>
      </c>
      <c r="H511" s="116">
        <f t="shared" si="8"/>
        <v>141</v>
      </c>
      <c r="I511" s="117"/>
      <c r="J511" s="117"/>
      <c r="L511" s="117"/>
    </row>
    <row r="512" spans="1:12" s="134" customFormat="1" ht="18" customHeight="1">
      <c r="A512" s="317">
        <v>852</v>
      </c>
      <c r="B512" s="58"/>
      <c r="C512" s="58"/>
      <c r="D512" s="58" t="s">
        <v>648</v>
      </c>
      <c r="E512" s="432">
        <v>75015600</v>
      </c>
      <c r="F512" s="432">
        <f>F519+F522+F513</f>
        <v>3343500</v>
      </c>
      <c r="G512" s="432">
        <f>G519+G522</f>
        <v>180768</v>
      </c>
      <c r="H512" s="432">
        <f t="shared" si="8"/>
        <v>71852868</v>
      </c>
      <c r="I512" s="135"/>
      <c r="J512" s="135"/>
      <c r="L512" s="135"/>
    </row>
    <row r="513" spans="1:12" s="134" customFormat="1" ht="26.25" customHeight="1">
      <c r="A513" s="1520"/>
      <c r="B513" s="1026">
        <v>85212</v>
      </c>
      <c r="C513" s="62"/>
      <c r="D513" s="413" t="s">
        <v>415</v>
      </c>
      <c r="E513" s="1381">
        <v>63922000</v>
      </c>
      <c r="F513" s="1381">
        <f>F514+F517</f>
        <v>2643500</v>
      </c>
      <c r="G513" s="1381"/>
      <c r="H513" s="1381">
        <f t="shared" si="8"/>
        <v>61278500</v>
      </c>
      <c r="I513" s="135"/>
      <c r="J513" s="135"/>
      <c r="L513" s="135"/>
    </row>
    <row r="514" spans="1:12" s="190" customFormat="1" ht="18.75" customHeight="1">
      <c r="A514" s="151"/>
      <c r="B514" s="151"/>
      <c r="C514" s="151"/>
      <c r="D514" s="80" t="s">
        <v>667</v>
      </c>
      <c r="E514" s="1519">
        <v>462400</v>
      </c>
      <c r="F514" s="1519">
        <f>SUM(F515:F516)</f>
        <v>93185</v>
      </c>
      <c r="G514" s="1516"/>
      <c r="H514" s="1516">
        <f t="shared" si="8"/>
        <v>369215</v>
      </c>
      <c r="I514" s="306"/>
      <c r="J514" s="306"/>
      <c r="L514" s="306"/>
    </row>
    <row r="515" spans="1:12" s="118" customFormat="1" ht="19.5" customHeight="1">
      <c r="A515" s="145"/>
      <c r="B515" s="125"/>
      <c r="C515" s="231">
        <v>4210</v>
      </c>
      <c r="D515" s="232" t="s">
        <v>663</v>
      </c>
      <c r="E515" s="310">
        <v>107000</v>
      </c>
      <c r="F515" s="310">
        <v>49185</v>
      </c>
      <c r="G515" s="116"/>
      <c r="H515" s="116">
        <f t="shared" si="8"/>
        <v>57815</v>
      </c>
      <c r="I515" s="117"/>
      <c r="J515" s="117"/>
      <c r="L515" s="117"/>
    </row>
    <row r="516" spans="1:12" s="118" customFormat="1" ht="19.5" customHeight="1">
      <c r="A516" s="145"/>
      <c r="B516" s="125"/>
      <c r="C516" s="231">
        <v>4300</v>
      </c>
      <c r="D516" s="232" t="s">
        <v>664</v>
      </c>
      <c r="E516" s="310">
        <v>266000</v>
      </c>
      <c r="F516" s="310">
        <v>44000</v>
      </c>
      <c r="G516" s="116"/>
      <c r="H516" s="116">
        <f t="shared" si="8"/>
        <v>222000</v>
      </c>
      <c r="I516" s="117"/>
      <c r="J516" s="117"/>
      <c r="L516" s="117"/>
    </row>
    <row r="517" spans="1:12" s="190" customFormat="1" ht="18.75" customHeight="1">
      <c r="A517" s="151"/>
      <c r="B517" s="151"/>
      <c r="C517" s="147"/>
      <c r="D517" s="860" t="s">
        <v>453</v>
      </c>
      <c r="E517" s="861">
        <v>62044000</v>
      </c>
      <c r="F517" s="861">
        <f>F518</f>
        <v>2550315</v>
      </c>
      <c r="G517" s="593"/>
      <c r="H517" s="593">
        <f t="shared" si="8"/>
        <v>59493685</v>
      </c>
      <c r="I517" s="306"/>
      <c r="J517" s="306"/>
      <c r="L517" s="306"/>
    </row>
    <row r="518" spans="1:12" s="118" customFormat="1" ht="19.5" customHeight="1">
      <c r="A518" s="145"/>
      <c r="B518" s="125"/>
      <c r="C518" s="231">
        <v>3110</v>
      </c>
      <c r="D518" s="232" t="s">
        <v>320</v>
      </c>
      <c r="E518" s="310">
        <v>61408000</v>
      </c>
      <c r="F518" s="310">
        <v>2550315</v>
      </c>
      <c r="G518" s="116"/>
      <c r="H518" s="116">
        <f t="shared" si="8"/>
        <v>58857685</v>
      </c>
      <c r="I518" s="117"/>
      <c r="J518" s="117"/>
      <c r="L518" s="117"/>
    </row>
    <row r="519" spans="1:12" s="134" customFormat="1" ht="26.25" customHeight="1">
      <c r="A519" s="109"/>
      <c r="B519" s="1026">
        <v>85214</v>
      </c>
      <c r="C519" s="63"/>
      <c r="D519" s="1106" t="s">
        <v>66</v>
      </c>
      <c r="E519" s="230">
        <v>8122000</v>
      </c>
      <c r="F519" s="230">
        <f>F520</f>
        <v>700000</v>
      </c>
      <c r="G519" s="230"/>
      <c r="H519" s="230">
        <f t="shared" si="8"/>
        <v>7422000</v>
      </c>
      <c r="I519" s="135"/>
      <c r="J519" s="135"/>
      <c r="L519" s="135"/>
    </row>
    <row r="520" spans="1:12" s="190" customFormat="1" ht="18.75" customHeight="1">
      <c r="A520" s="151"/>
      <c r="B520" s="151"/>
      <c r="C520" s="147"/>
      <c r="D520" s="860" t="s">
        <v>69</v>
      </c>
      <c r="E520" s="861">
        <v>8122000</v>
      </c>
      <c r="F520" s="593">
        <f>F521</f>
        <v>700000</v>
      </c>
      <c r="G520" s="593"/>
      <c r="H520" s="593">
        <f t="shared" si="8"/>
        <v>7422000</v>
      </c>
      <c r="I520" s="306"/>
      <c r="J520" s="306"/>
      <c r="L520" s="306"/>
    </row>
    <row r="521" spans="1:12" s="118" customFormat="1" ht="19.5" customHeight="1">
      <c r="A521" s="145"/>
      <c r="B521" s="125"/>
      <c r="C521" s="231">
        <v>3110</v>
      </c>
      <c r="D521" s="232" t="s">
        <v>320</v>
      </c>
      <c r="E521" s="310">
        <v>8118240</v>
      </c>
      <c r="F521" s="116">
        <v>700000</v>
      </c>
      <c r="G521" s="116"/>
      <c r="H521" s="116">
        <f t="shared" si="8"/>
        <v>7418240</v>
      </c>
      <c r="I521" s="117"/>
      <c r="J521" s="117"/>
      <c r="L521" s="117"/>
    </row>
    <row r="522" spans="1:12" s="134" customFormat="1" ht="18" customHeight="1">
      <c r="A522" s="109"/>
      <c r="B522" s="1026">
        <v>85278</v>
      </c>
      <c r="C522" s="63"/>
      <c r="D522" s="75" t="s">
        <v>74</v>
      </c>
      <c r="E522" s="230">
        <v>69500</v>
      </c>
      <c r="F522" s="230"/>
      <c r="G522" s="230">
        <f>G523</f>
        <v>180768</v>
      </c>
      <c r="H522" s="230">
        <f t="shared" si="8"/>
        <v>250268</v>
      </c>
      <c r="I522" s="135"/>
      <c r="J522" s="135"/>
      <c r="L522" s="135"/>
    </row>
    <row r="523" spans="1:12" s="190" customFormat="1" ht="18.75" customHeight="1">
      <c r="A523" s="151"/>
      <c r="B523" s="151"/>
      <c r="C523" s="147"/>
      <c r="D523" s="860" t="s">
        <v>452</v>
      </c>
      <c r="E523" s="861">
        <v>69500</v>
      </c>
      <c r="F523" s="861"/>
      <c r="G523" s="593">
        <f>G524</f>
        <v>180768</v>
      </c>
      <c r="H523" s="593">
        <f t="shared" si="8"/>
        <v>250268</v>
      </c>
      <c r="I523" s="306"/>
      <c r="J523" s="306"/>
      <c r="L523" s="306"/>
    </row>
    <row r="524" spans="1:12" s="118" customFormat="1" ht="19.5" customHeight="1">
      <c r="A524" s="145"/>
      <c r="B524" s="125"/>
      <c r="C524" s="231">
        <v>3110</v>
      </c>
      <c r="D524" s="232" t="s">
        <v>320</v>
      </c>
      <c r="E524" s="310">
        <v>69500</v>
      </c>
      <c r="F524" s="310"/>
      <c r="G524" s="116">
        <v>180768</v>
      </c>
      <c r="H524" s="116">
        <f t="shared" si="8"/>
        <v>250268</v>
      </c>
      <c r="I524" s="117"/>
      <c r="J524" s="117"/>
      <c r="L524" s="117"/>
    </row>
    <row r="525" spans="1:12" s="134" customFormat="1" ht="29.25" customHeight="1" thickBot="1">
      <c r="A525" s="233"/>
      <c r="B525" s="233"/>
      <c r="C525" s="233"/>
      <c r="D525" s="124" t="s">
        <v>678</v>
      </c>
      <c r="E525" s="133">
        <v>22554771</v>
      </c>
      <c r="F525" s="133">
        <f>F553+F548+F540+F526</f>
        <v>68558</v>
      </c>
      <c r="G525" s="133">
        <f>G553+G548+G540+G526+G579+G566+G574</f>
        <v>245005</v>
      </c>
      <c r="H525" s="133">
        <f t="shared" si="8"/>
        <v>22731218</v>
      </c>
      <c r="I525" s="135"/>
      <c r="J525" s="135"/>
      <c r="L525" s="135"/>
    </row>
    <row r="526" spans="1:12" s="134" customFormat="1" ht="18" customHeight="1" thickTop="1">
      <c r="A526" s="57">
        <v>710</v>
      </c>
      <c r="B526" s="74"/>
      <c r="C526" s="74"/>
      <c r="D526" s="74" t="s">
        <v>258</v>
      </c>
      <c r="E526" s="432">
        <v>614235</v>
      </c>
      <c r="F526" s="432">
        <f>F527+F537</f>
        <v>11337</v>
      </c>
      <c r="G526" s="432">
        <f>G527+G537</f>
        <v>14337</v>
      </c>
      <c r="H526" s="432">
        <f t="shared" si="8"/>
        <v>617235</v>
      </c>
      <c r="I526" s="135"/>
      <c r="J526" s="135"/>
      <c r="L526" s="135"/>
    </row>
    <row r="527" spans="1:12" s="134" customFormat="1" ht="18" customHeight="1">
      <c r="A527" s="109"/>
      <c r="B527" s="105">
        <v>71015</v>
      </c>
      <c r="C527" s="63"/>
      <c r="D527" s="75" t="s">
        <v>79</v>
      </c>
      <c r="E527" s="230">
        <v>502898</v>
      </c>
      <c r="F527" s="230"/>
      <c r="G527" s="1381">
        <f>G528+G532+G534</f>
        <v>14337</v>
      </c>
      <c r="H527" s="230">
        <f t="shared" si="8"/>
        <v>517235</v>
      </c>
      <c r="I527" s="135"/>
      <c r="J527" s="135"/>
      <c r="L527" s="135"/>
    </row>
    <row r="528" spans="1:12" s="190" customFormat="1" ht="18" customHeight="1">
      <c r="A528" s="151"/>
      <c r="B528" s="151"/>
      <c r="C528" s="147"/>
      <c r="D528" s="860" t="s">
        <v>127</v>
      </c>
      <c r="E528" s="864">
        <v>320613</v>
      </c>
      <c r="F528" s="864"/>
      <c r="G528" s="380">
        <f>SUM(G529:G531)</f>
        <v>4370</v>
      </c>
      <c r="H528" s="864">
        <f t="shared" si="8"/>
        <v>324983</v>
      </c>
      <c r="I528" s="306"/>
      <c r="J528" s="306"/>
      <c r="L528" s="306"/>
    </row>
    <row r="529" spans="1:12" s="118" customFormat="1" ht="18" customHeight="1">
      <c r="A529" s="145"/>
      <c r="B529" s="125"/>
      <c r="C529" s="231">
        <v>4010</v>
      </c>
      <c r="D529" s="232" t="s">
        <v>603</v>
      </c>
      <c r="E529" s="121">
        <v>116400</v>
      </c>
      <c r="F529" s="121"/>
      <c r="G529" s="121">
        <v>2000</v>
      </c>
      <c r="H529" s="121">
        <f t="shared" si="8"/>
        <v>118400</v>
      </c>
      <c r="I529" s="117"/>
      <c r="J529" s="117"/>
      <c r="L529" s="117"/>
    </row>
    <row r="530" spans="1:12" s="118" customFormat="1" ht="18" customHeight="1">
      <c r="A530" s="145"/>
      <c r="B530" s="125"/>
      <c r="C530" s="231">
        <v>4020</v>
      </c>
      <c r="D530" s="232" t="s">
        <v>840</v>
      </c>
      <c r="E530" s="121">
        <v>184900</v>
      </c>
      <c r="F530" s="121"/>
      <c r="G530" s="121">
        <v>800</v>
      </c>
      <c r="H530" s="121">
        <f t="shared" si="8"/>
        <v>185700</v>
      </c>
      <c r="I530" s="117"/>
      <c r="J530" s="117"/>
      <c r="L530" s="117"/>
    </row>
    <row r="531" spans="1:12" s="118" customFormat="1" ht="18" customHeight="1">
      <c r="A531" s="145"/>
      <c r="B531" s="125"/>
      <c r="C531" s="231">
        <v>4170</v>
      </c>
      <c r="D531" s="232" t="s">
        <v>674</v>
      </c>
      <c r="E531" s="121">
        <v>600</v>
      </c>
      <c r="F531" s="121"/>
      <c r="G531" s="121">
        <v>1570</v>
      </c>
      <c r="H531" s="121">
        <f t="shared" si="8"/>
        <v>2170</v>
      </c>
      <c r="I531" s="117"/>
      <c r="J531" s="117"/>
      <c r="L531" s="117"/>
    </row>
    <row r="532" spans="1:12" s="190" customFormat="1" ht="18" customHeight="1">
      <c r="A532" s="151"/>
      <c r="B532" s="151"/>
      <c r="C532" s="147"/>
      <c r="D532" s="860" t="s">
        <v>667</v>
      </c>
      <c r="E532" s="864">
        <v>120085</v>
      </c>
      <c r="F532" s="864"/>
      <c r="G532" s="864">
        <f>G533</f>
        <v>8287</v>
      </c>
      <c r="H532" s="864">
        <f t="shared" si="8"/>
        <v>128372</v>
      </c>
      <c r="I532" s="306"/>
      <c r="J532" s="306"/>
      <c r="L532" s="306"/>
    </row>
    <row r="533" spans="1:12" s="118" customFormat="1" ht="18" customHeight="1">
      <c r="A533" s="145"/>
      <c r="B533" s="125"/>
      <c r="C533" s="231">
        <v>4210</v>
      </c>
      <c r="D533" s="232" t="s">
        <v>663</v>
      </c>
      <c r="E533" s="121">
        <v>30730</v>
      </c>
      <c r="F533" s="121"/>
      <c r="G533" s="121">
        <v>8287</v>
      </c>
      <c r="H533" s="121">
        <f t="shared" si="8"/>
        <v>39017</v>
      </c>
      <c r="I533" s="117"/>
      <c r="J533" s="117"/>
      <c r="L533" s="117"/>
    </row>
    <row r="534" spans="1:12" s="190" customFormat="1" ht="18" customHeight="1">
      <c r="A534" s="151"/>
      <c r="B534" s="151"/>
      <c r="C534" s="147"/>
      <c r="D534" s="860" t="s">
        <v>692</v>
      </c>
      <c r="E534" s="864">
        <v>62200</v>
      </c>
      <c r="F534" s="864"/>
      <c r="G534" s="864">
        <f>G535+G536</f>
        <v>1680</v>
      </c>
      <c r="H534" s="864">
        <f t="shared" si="8"/>
        <v>63880</v>
      </c>
      <c r="I534" s="306"/>
      <c r="J534" s="306"/>
      <c r="L534" s="306"/>
    </row>
    <row r="535" spans="1:12" s="118" customFormat="1" ht="18" customHeight="1">
      <c r="A535" s="145"/>
      <c r="B535" s="125"/>
      <c r="C535" s="231">
        <v>4110</v>
      </c>
      <c r="D535" s="232" t="s">
        <v>729</v>
      </c>
      <c r="E535" s="121">
        <v>54000</v>
      </c>
      <c r="F535" s="121"/>
      <c r="G535" s="121">
        <v>1300</v>
      </c>
      <c r="H535" s="121">
        <f t="shared" si="8"/>
        <v>55300</v>
      </c>
      <c r="I535" s="117"/>
      <c r="J535" s="117"/>
      <c r="L535" s="117"/>
    </row>
    <row r="536" spans="1:12" s="118" customFormat="1" ht="18" customHeight="1">
      <c r="A536" s="145"/>
      <c r="B536" s="125"/>
      <c r="C536" s="231">
        <v>4120</v>
      </c>
      <c r="D536" s="232" t="s">
        <v>730</v>
      </c>
      <c r="E536" s="121">
        <v>8200</v>
      </c>
      <c r="F536" s="121"/>
      <c r="G536" s="121">
        <v>380</v>
      </c>
      <c r="H536" s="121">
        <f t="shared" si="8"/>
        <v>8580</v>
      </c>
      <c r="I536" s="117"/>
      <c r="J536" s="117"/>
      <c r="L536" s="117"/>
    </row>
    <row r="537" spans="1:12" s="134" customFormat="1" ht="18" customHeight="1">
      <c r="A537" s="109"/>
      <c r="B537" s="105">
        <v>71095</v>
      </c>
      <c r="C537" s="63"/>
      <c r="D537" s="75" t="s">
        <v>646</v>
      </c>
      <c r="E537" s="230">
        <v>11337</v>
      </c>
      <c r="F537" s="230">
        <f>F538</f>
        <v>11337</v>
      </c>
      <c r="G537" s="230"/>
      <c r="H537" s="230">
        <f t="shared" si="8"/>
        <v>0</v>
      </c>
      <c r="I537" s="135"/>
      <c r="J537" s="135"/>
      <c r="L537" s="135"/>
    </row>
    <row r="538" spans="1:12" s="190" customFormat="1" ht="18" customHeight="1">
      <c r="A538" s="151"/>
      <c r="B538" s="151"/>
      <c r="C538" s="147"/>
      <c r="D538" s="860" t="s">
        <v>82</v>
      </c>
      <c r="E538" s="861">
        <v>11337</v>
      </c>
      <c r="F538" s="861">
        <f>F539</f>
        <v>11337</v>
      </c>
      <c r="G538" s="861"/>
      <c r="H538" s="861">
        <f t="shared" si="8"/>
        <v>0</v>
      </c>
      <c r="I538" s="306"/>
      <c r="J538" s="306"/>
      <c r="L538" s="306"/>
    </row>
    <row r="539" spans="1:12" s="118" customFormat="1" ht="18" customHeight="1">
      <c r="A539" s="145"/>
      <c r="B539" s="125"/>
      <c r="C539" s="231">
        <v>4300</v>
      </c>
      <c r="D539" s="232" t="s">
        <v>664</v>
      </c>
      <c r="E539" s="310">
        <v>11337</v>
      </c>
      <c r="F539" s="310">
        <v>11337</v>
      </c>
      <c r="G539" s="310"/>
      <c r="H539" s="310">
        <f t="shared" si="8"/>
        <v>0</v>
      </c>
      <c r="I539" s="117"/>
      <c r="J539" s="117"/>
      <c r="L539" s="117"/>
    </row>
    <row r="540" spans="1:12" s="134" customFormat="1" ht="18" customHeight="1">
      <c r="A540" s="57">
        <v>750</v>
      </c>
      <c r="B540" s="74"/>
      <c r="C540" s="74"/>
      <c r="D540" s="74" t="s">
        <v>651</v>
      </c>
      <c r="E540" s="432">
        <v>916641</v>
      </c>
      <c r="F540" s="432">
        <f>F545+F541</f>
        <v>15269</v>
      </c>
      <c r="G540" s="432">
        <f>G545+G541</f>
        <v>15269</v>
      </c>
      <c r="H540" s="432">
        <f t="shared" si="8"/>
        <v>916641</v>
      </c>
      <c r="I540" s="135"/>
      <c r="J540" s="135"/>
      <c r="L540" s="135"/>
    </row>
    <row r="541" spans="1:12" s="134" customFormat="1" ht="18" customHeight="1">
      <c r="A541" s="109"/>
      <c r="B541" s="105">
        <v>75011</v>
      </c>
      <c r="C541" s="63"/>
      <c r="D541" s="75" t="s">
        <v>77</v>
      </c>
      <c r="E541" s="230">
        <v>810641</v>
      </c>
      <c r="F541" s="230"/>
      <c r="G541" s="230">
        <f>G542</f>
        <v>15269</v>
      </c>
      <c r="H541" s="230">
        <f t="shared" si="8"/>
        <v>825910</v>
      </c>
      <c r="I541" s="135"/>
      <c r="J541" s="135"/>
      <c r="L541" s="135"/>
    </row>
    <row r="542" spans="1:12" s="190" customFormat="1" ht="18" customHeight="1">
      <c r="A542" s="151"/>
      <c r="B542" s="151"/>
      <c r="C542" s="147"/>
      <c r="D542" s="860" t="s">
        <v>667</v>
      </c>
      <c r="E542" s="864">
        <v>35017</v>
      </c>
      <c r="F542" s="864"/>
      <c r="G542" s="864">
        <f>G543</f>
        <v>15269</v>
      </c>
      <c r="H542" s="864">
        <f t="shared" si="8"/>
        <v>50286</v>
      </c>
      <c r="I542" s="306"/>
      <c r="J542" s="306"/>
      <c r="L542" s="306"/>
    </row>
    <row r="543" spans="1:12" s="118" customFormat="1" ht="18" customHeight="1">
      <c r="A543" s="145"/>
      <c r="B543" s="125"/>
      <c r="C543" s="115">
        <v>4300</v>
      </c>
      <c r="D543" s="1288" t="s">
        <v>664</v>
      </c>
      <c r="E543" s="512"/>
      <c r="F543" s="512"/>
      <c r="G543" s="512">
        <v>15269</v>
      </c>
      <c r="H543" s="512">
        <f t="shared" si="8"/>
        <v>15269</v>
      </c>
      <c r="I543" s="117"/>
      <c r="J543" s="117"/>
      <c r="L543" s="117"/>
    </row>
    <row r="544" spans="1:12" s="118" customFormat="1" ht="18" customHeight="1">
      <c r="A544" s="1338"/>
      <c r="B544" s="1339"/>
      <c r="C544" s="1334"/>
      <c r="D544" s="1335"/>
      <c r="E544" s="1336"/>
      <c r="F544" s="1336"/>
      <c r="G544" s="1336"/>
      <c r="H544" s="1336"/>
      <c r="I544" s="117"/>
      <c r="J544" s="117"/>
      <c r="L544" s="117"/>
    </row>
    <row r="545" spans="1:12" s="134" customFormat="1" ht="15" customHeight="1">
      <c r="A545" s="109"/>
      <c r="B545" s="110">
        <v>75045</v>
      </c>
      <c r="C545" s="63"/>
      <c r="D545" s="75" t="s">
        <v>886</v>
      </c>
      <c r="E545" s="230">
        <v>106000</v>
      </c>
      <c r="F545" s="230">
        <f>F546</f>
        <v>15269</v>
      </c>
      <c r="G545" s="230"/>
      <c r="H545" s="230">
        <f t="shared" si="8"/>
        <v>90731</v>
      </c>
      <c r="I545" s="135"/>
      <c r="J545" s="135"/>
      <c r="L545" s="135"/>
    </row>
    <row r="546" spans="1:12" s="190" customFormat="1" ht="18" customHeight="1">
      <c r="A546" s="151"/>
      <c r="B546" s="151"/>
      <c r="C546" s="147"/>
      <c r="D546" s="860" t="s">
        <v>889</v>
      </c>
      <c r="E546" s="861">
        <v>106000</v>
      </c>
      <c r="F546" s="861">
        <f>F547</f>
        <v>15269</v>
      </c>
      <c r="G546" s="861"/>
      <c r="H546" s="861">
        <f t="shared" si="8"/>
        <v>90731</v>
      </c>
      <c r="I546" s="306"/>
      <c r="J546" s="306"/>
      <c r="L546" s="306"/>
    </row>
    <row r="547" spans="1:12" s="118" customFormat="1" ht="18" customHeight="1">
      <c r="A547" s="145"/>
      <c r="B547" s="125"/>
      <c r="C547" s="231">
        <v>4300</v>
      </c>
      <c r="D547" s="232" t="s">
        <v>664</v>
      </c>
      <c r="E547" s="310">
        <v>40586</v>
      </c>
      <c r="F547" s="310">
        <v>15269</v>
      </c>
      <c r="G547" s="310"/>
      <c r="H547" s="310">
        <f t="shared" si="8"/>
        <v>25317</v>
      </c>
      <c r="I547" s="117"/>
      <c r="J547" s="117"/>
      <c r="L547" s="117"/>
    </row>
    <row r="548" spans="1:12" s="134" customFormat="1" ht="15" customHeight="1">
      <c r="A548" s="57">
        <v>752</v>
      </c>
      <c r="B548" s="74"/>
      <c r="C548" s="74"/>
      <c r="D548" s="74" t="s">
        <v>828</v>
      </c>
      <c r="E548" s="432">
        <v>3400</v>
      </c>
      <c r="F548" s="432">
        <f>F549</f>
        <v>500</v>
      </c>
      <c r="G548" s="432">
        <f>G549</f>
        <v>500</v>
      </c>
      <c r="H548" s="432">
        <f t="shared" si="8"/>
        <v>3400</v>
      </c>
      <c r="I548" s="135"/>
      <c r="J548" s="135"/>
      <c r="L548" s="135"/>
    </row>
    <row r="549" spans="1:12" s="134" customFormat="1" ht="18" customHeight="1">
      <c r="A549" s="109"/>
      <c r="B549" s="105">
        <v>75212</v>
      </c>
      <c r="C549" s="63"/>
      <c r="D549" s="75" t="s">
        <v>829</v>
      </c>
      <c r="E549" s="230">
        <v>3400</v>
      </c>
      <c r="F549" s="230">
        <f>F550</f>
        <v>500</v>
      </c>
      <c r="G549" s="230">
        <f>G550</f>
        <v>500</v>
      </c>
      <c r="H549" s="230">
        <f t="shared" si="8"/>
        <v>3400</v>
      </c>
      <c r="I549" s="135"/>
      <c r="J549" s="135"/>
      <c r="L549" s="135"/>
    </row>
    <row r="550" spans="1:12" s="190" customFormat="1" ht="18" customHeight="1">
      <c r="A550" s="151"/>
      <c r="B550" s="151"/>
      <c r="C550" s="147"/>
      <c r="D550" s="860" t="s">
        <v>830</v>
      </c>
      <c r="E550" s="861">
        <v>3400</v>
      </c>
      <c r="F550" s="593">
        <f>SUM(F551:F552)</f>
        <v>500</v>
      </c>
      <c r="G550" s="593">
        <f>SUM(G551:G552)</f>
        <v>500</v>
      </c>
      <c r="H550" s="593">
        <f t="shared" si="8"/>
        <v>3400</v>
      </c>
      <c r="I550" s="306"/>
      <c r="J550" s="306"/>
      <c r="L550" s="306"/>
    </row>
    <row r="551" spans="1:12" s="118" customFormat="1" ht="18" customHeight="1">
      <c r="A551" s="145"/>
      <c r="B551" s="125"/>
      <c r="C551" s="231">
        <v>4170</v>
      </c>
      <c r="D551" s="232" t="s">
        <v>674</v>
      </c>
      <c r="E551" s="310">
        <v>1000</v>
      </c>
      <c r="F551" s="116"/>
      <c r="G551" s="116">
        <v>500</v>
      </c>
      <c r="H551" s="116">
        <f t="shared" si="8"/>
        <v>1500</v>
      </c>
      <c r="I551" s="117"/>
      <c r="J551" s="117"/>
      <c r="L551" s="117"/>
    </row>
    <row r="552" spans="1:12" s="118" customFormat="1" ht="18" customHeight="1">
      <c r="A552" s="145"/>
      <c r="B552" s="125"/>
      <c r="C552" s="231">
        <v>4210</v>
      </c>
      <c r="D552" s="232" t="s">
        <v>663</v>
      </c>
      <c r="E552" s="116">
        <v>1700</v>
      </c>
      <c r="F552" s="116">
        <v>500</v>
      </c>
      <c r="G552" s="116"/>
      <c r="H552" s="116">
        <f t="shared" si="8"/>
        <v>1200</v>
      </c>
      <c r="I552" s="117"/>
      <c r="J552" s="117"/>
      <c r="L552" s="117"/>
    </row>
    <row r="553" spans="1:12" s="134" customFormat="1" ht="18" customHeight="1">
      <c r="A553" s="57">
        <v>754</v>
      </c>
      <c r="B553" s="74"/>
      <c r="C553" s="74"/>
      <c r="D553" s="74" t="s">
        <v>641</v>
      </c>
      <c r="E553" s="432">
        <v>12959000</v>
      </c>
      <c r="F553" s="432">
        <f>F554</f>
        <v>41452</v>
      </c>
      <c r="G553" s="432">
        <f>G554</f>
        <v>62652</v>
      </c>
      <c r="H553" s="432">
        <f t="shared" si="8"/>
        <v>12980200</v>
      </c>
      <c r="I553" s="135"/>
      <c r="J553" s="135"/>
      <c r="L553" s="135"/>
    </row>
    <row r="554" spans="1:12" s="134" customFormat="1" ht="18" customHeight="1">
      <c r="A554" s="109"/>
      <c r="B554" s="105">
        <v>75411</v>
      </c>
      <c r="C554" s="63"/>
      <c r="D554" s="75" t="s">
        <v>806</v>
      </c>
      <c r="E554" s="230">
        <v>12959000</v>
      </c>
      <c r="F554" s="230">
        <f>F555</f>
        <v>41452</v>
      </c>
      <c r="G554" s="230">
        <f>G555+G558+G563</f>
        <v>62652</v>
      </c>
      <c r="H554" s="230">
        <f t="shared" si="8"/>
        <v>12980200</v>
      </c>
      <c r="I554" s="135"/>
      <c r="J554" s="135"/>
      <c r="L554" s="135"/>
    </row>
    <row r="555" spans="1:12" s="190" customFormat="1" ht="18" customHeight="1">
      <c r="A555" s="151"/>
      <c r="B555" s="151"/>
      <c r="C555" s="147"/>
      <c r="D555" s="860" t="s">
        <v>127</v>
      </c>
      <c r="E555" s="861">
        <v>9838800</v>
      </c>
      <c r="F555" s="593">
        <f>F557</f>
        <v>41452</v>
      </c>
      <c r="G555" s="593">
        <f>SUM(G556:G557)</f>
        <v>1000</v>
      </c>
      <c r="H555" s="593">
        <f t="shared" si="8"/>
        <v>9798348</v>
      </c>
      <c r="I555" s="306"/>
      <c r="J555" s="306"/>
      <c r="L555" s="306"/>
    </row>
    <row r="556" spans="1:12" s="118" customFormat="1" ht="18" customHeight="1">
      <c r="A556" s="145"/>
      <c r="B556" s="125"/>
      <c r="C556" s="231">
        <v>4020</v>
      </c>
      <c r="D556" s="232" t="s">
        <v>840</v>
      </c>
      <c r="E556" s="310">
        <v>63200</v>
      </c>
      <c r="F556" s="116"/>
      <c r="G556" s="116">
        <v>1000</v>
      </c>
      <c r="H556" s="116">
        <f>E556+G556-F556</f>
        <v>64200</v>
      </c>
      <c r="I556" s="117"/>
      <c r="J556" s="117"/>
      <c r="L556" s="117"/>
    </row>
    <row r="557" spans="1:12" s="118" customFormat="1" ht="22.5" customHeight="1">
      <c r="A557" s="115"/>
      <c r="B557" s="115"/>
      <c r="C557" s="233">
        <v>4060</v>
      </c>
      <c r="D557" s="659" t="s">
        <v>807</v>
      </c>
      <c r="E557" s="309">
        <v>374000</v>
      </c>
      <c r="F557" s="309">
        <v>41452</v>
      </c>
      <c r="G557" s="309"/>
      <c r="H557" s="309">
        <f t="shared" si="8"/>
        <v>332548</v>
      </c>
      <c r="I557" s="117"/>
      <c r="J557" s="117"/>
      <c r="L557" s="117"/>
    </row>
    <row r="558" spans="1:12" s="190" customFormat="1" ht="18" customHeight="1">
      <c r="A558" s="151"/>
      <c r="B558" s="151"/>
      <c r="C558" s="147"/>
      <c r="D558" s="860" t="s">
        <v>667</v>
      </c>
      <c r="E558" s="861">
        <v>3025386</v>
      </c>
      <c r="F558" s="593"/>
      <c r="G558" s="593">
        <f>SUM(G559:G562)</f>
        <v>61452</v>
      </c>
      <c r="H558" s="593">
        <f t="shared" si="8"/>
        <v>3086838</v>
      </c>
      <c r="I558" s="306"/>
      <c r="J558" s="306"/>
      <c r="L558" s="306"/>
    </row>
    <row r="559" spans="1:12" s="118" customFormat="1" ht="17.25" customHeight="1">
      <c r="A559" s="145"/>
      <c r="B559" s="125"/>
      <c r="C559" s="231">
        <v>4210</v>
      </c>
      <c r="D559" s="232" t="s">
        <v>663</v>
      </c>
      <c r="E559" s="310">
        <v>507300</v>
      </c>
      <c r="F559" s="116"/>
      <c r="G559" s="116">
        <v>22052</v>
      </c>
      <c r="H559" s="116">
        <f t="shared" si="8"/>
        <v>529352</v>
      </c>
      <c r="I559" s="117"/>
      <c r="J559" s="117"/>
      <c r="L559" s="117"/>
    </row>
    <row r="560" spans="1:12" s="118" customFormat="1" ht="17.25" customHeight="1">
      <c r="A560" s="145"/>
      <c r="B560" s="125"/>
      <c r="C560" s="231">
        <v>4210</v>
      </c>
      <c r="D560" s="232" t="s">
        <v>808</v>
      </c>
      <c r="E560" s="116">
        <v>95000</v>
      </c>
      <c r="F560" s="116"/>
      <c r="G560" s="116">
        <v>10000</v>
      </c>
      <c r="H560" s="116">
        <f t="shared" si="8"/>
        <v>105000</v>
      </c>
      <c r="I560" s="117"/>
      <c r="J560" s="117"/>
      <c r="L560" s="117"/>
    </row>
    <row r="561" spans="1:12" s="118" customFormat="1" ht="17.25" customHeight="1">
      <c r="A561" s="145"/>
      <c r="B561" s="125"/>
      <c r="C561" s="231">
        <v>4270</v>
      </c>
      <c r="D561" s="232" t="s">
        <v>796</v>
      </c>
      <c r="E561" s="116">
        <v>85000</v>
      </c>
      <c r="F561" s="116"/>
      <c r="G561" s="116">
        <v>9400</v>
      </c>
      <c r="H561" s="116">
        <f t="shared" si="8"/>
        <v>94400</v>
      </c>
      <c r="I561" s="117"/>
      <c r="J561" s="117"/>
      <c r="L561" s="117"/>
    </row>
    <row r="562" spans="1:12" s="118" customFormat="1" ht="17.25" customHeight="1">
      <c r="A562" s="145"/>
      <c r="B562" s="125"/>
      <c r="C562" s="231">
        <v>4300</v>
      </c>
      <c r="D562" s="232" t="s">
        <v>664</v>
      </c>
      <c r="E562" s="116">
        <v>190000</v>
      </c>
      <c r="F562" s="116"/>
      <c r="G562" s="116">
        <v>20000</v>
      </c>
      <c r="H562" s="116">
        <f t="shared" si="8"/>
        <v>210000</v>
      </c>
      <c r="I562" s="117"/>
      <c r="J562" s="117"/>
      <c r="L562" s="117"/>
    </row>
    <row r="563" spans="1:12" s="190" customFormat="1" ht="18" customHeight="1">
      <c r="A563" s="151"/>
      <c r="B563" s="151"/>
      <c r="C563" s="147"/>
      <c r="D563" s="860" t="s">
        <v>692</v>
      </c>
      <c r="E563" s="861">
        <v>94814</v>
      </c>
      <c r="F563" s="593"/>
      <c r="G563" s="593">
        <f>SUM(G564:G565)</f>
        <v>200</v>
      </c>
      <c r="H563" s="593">
        <f t="shared" si="8"/>
        <v>95014</v>
      </c>
      <c r="I563" s="306"/>
      <c r="J563" s="306"/>
      <c r="L563" s="306"/>
    </row>
    <row r="564" spans="1:12" s="118" customFormat="1" ht="18" customHeight="1">
      <c r="A564" s="145"/>
      <c r="B564" s="125"/>
      <c r="C564" s="231">
        <v>4110</v>
      </c>
      <c r="D564" s="232" t="s">
        <v>729</v>
      </c>
      <c r="E564" s="116">
        <v>87064</v>
      </c>
      <c r="F564" s="116"/>
      <c r="G564" s="116">
        <v>175</v>
      </c>
      <c r="H564" s="116">
        <f t="shared" si="8"/>
        <v>87239</v>
      </c>
      <c r="I564" s="117"/>
      <c r="J564" s="117"/>
      <c r="L564" s="117"/>
    </row>
    <row r="565" spans="1:12" s="118" customFormat="1" ht="18" customHeight="1">
      <c r="A565" s="870"/>
      <c r="B565" s="233"/>
      <c r="C565" s="231">
        <v>4120</v>
      </c>
      <c r="D565" s="232" t="s">
        <v>730</v>
      </c>
      <c r="E565" s="116">
        <v>7750</v>
      </c>
      <c r="F565" s="116"/>
      <c r="G565" s="116">
        <v>25</v>
      </c>
      <c r="H565" s="116">
        <f t="shared" si="8"/>
        <v>7775</v>
      </c>
      <c r="I565" s="117"/>
      <c r="J565" s="117"/>
      <c r="L565" s="117"/>
    </row>
    <row r="566" spans="1:12" ht="17.25" customHeight="1">
      <c r="A566" s="58">
        <v>851</v>
      </c>
      <c r="B566" s="58"/>
      <c r="C566" s="58"/>
      <c r="D566" s="58" t="s">
        <v>650</v>
      </c>
      <c r="E566" s="59">
        <v>3307000</v>
      </c>
      <c r="F566" s="60"/>
      <c r="G566" s="60">
        <f>G567</f>
        <v>120000</v>
      </c>
      <c r="H566" s="60">
        <f t="shared" si="8"/>
        <v>3427000</v>
      </c>
      <c r="I566" s="47"/>
      <c r="J566" s="47"/>
      <c r="L566" s="47"/>
    </row>
    <row r="567" spans="1:12" s="99" customFormat="1" ht="18" customHeight="1">
      <c r="A567" s="66"/>
      <c r="B567" s="62">
        <v>85141</v>
      </c>
      <c r="C567" s="62"/>
      <c r="D567" s="62" t="s">
        <v>891</v>
      </c>
      <c r="E567" s="106">
        <v>120000</v>
      </c>
      <c r="F567" s="106"/>
      <c r="G567" s="106">
        <f>G568</f>
        <v>120000</v>
      </c>
      <c r="H567" s="106">
        <f t="shared" si="8"/>
        <v>240000</v>
      </c>
      <c r="I567" s="107"/>
      <c r="J567" s="107"/>
      <c r="L567" s="107"/>
    </row>
    <row r="568" spans="1:12" s="99" customFormat="1" ht="18" customHeight="1">
      <c r="A568" s="146"/>
      <c r="B568" s="151"/>
      <c r="C568" s="83"/>
      <c r="D568" s="694" t="s">
        <v>838</v>
      </c>
      <c r="E568" s="1011">
        <v>120000</v>
      </c>
      <c r="F568" s="1011"/>
      <c r="G568" s="1011">
        <f>G571+G573</f>
        <v>120000</v>
      </c>
      <c r="H568" s="1011">
        <f t="shared" si="8"/>
        <v>240000</v>
      </c>
      <c r="I568" s="107"/>
      <c r="J568" s="107"/>
      <c r="L568" s="107"/>
    </row>
    <row r="569" spans="1:12" s="99" customFormat="1" ht="13.5" customHeight="1">
      <c r="A569" s="146"/>
      <c r="B569" s="151"/>
      <c r="C569" s="83"/>
      <c r="D569" s="905" t="s">
        <v>360</v>
      </c>
      <c r="E569" s="188"/>
      <c r="F569" s="188"/>
      <c r="G569" s="188">
        <f>G570+G572</f>
        <v>120000</v>
      </c>
      <c r="H569" s="188">
        <f>E569+G569</f>
        <v>120000</v>
      </c>
      <c r="I569" s="107"/>
      <c r="J569" s="107"/>
      <c r="L569" s="107"/>
    </row>
    <row r="570" spans="1:12" s="118" customFormat="1" ht="18" customHeight="1">
      <c r="A570" s="145"/>
      <c r="B570" s="125"/>
      <c r="C570" s="125"/>
      <c r="D570" s="396" t="s">
        <v>893</v>
      </c>
      <c r="E570" s="331"/>
      <c r="F570" s="331"/>
      <c r="G570" s="331">
        <v>24000</v>
      </c>
      <c r="H570" s="331">
        <f t="shared" si="8"/>
        <v>24000</v>
      </c>
      <c r="I570" s="117"/>
      <c r="J570" s="117"/>
      <c r="L570" s="117"/>
    </row>
    <row r="571" spans="1:12" s="99" customFormat="1" ht="18" customHeight="1">
      <c r="A571" s="146"/>
      <c r="B571" s="151"/>
      <c r="C571" s="67">
        <v>6050</v>
      </c>
      <c r="D571" s="382" t="s">
        <v>125</v>
      </c>
      <c r="E571" s="1010"/>
      <c r="F571" s="1010"/>
      <c r="G571" s="1010">
        <f>G570</f>
        <v>24000</v>
      </c>
      <c r="H571" s="1010">
        <f t="shared" si="8"/>
        <v>24000</v>
      </c>
      <c r="I571" s="107"/>
      <c r="J571" s="107"/>
      <c r="L571" s="107"/>
    </row>
    <row r="572" spans="1:12" s="118" customFormat="1" ht="18" customHeight="1">
      <c r="A572" s="145"/>
      <c r="B572" s="125"/>
      <c r="C572" s="125"/>
      <c r="D572" s="396" t="s">
        <v>894</v>
      </c>
      <c r="E572" s="331"/>
      <c r="F572" s="331"/>
      <c r="G572" s="331">
        <v>96000</v>
      </c>
      <c r="H572" s="601">
        <f t="shared" si="8"/>
        <v>96000</v>
      </c>
      <c r="I572" s="117"/>
      <c r="J572" s="117"/>
      <c r="L572" s="117"/>
    </row>
    <row r="573" spans="1:12" s="118" customFormat="1" ht="18" customHeight="1">
      <c r="A573" s="870"/>
      <c r="B573" s="233"/>
      <c r="C573" s="231">
        <v>6060</v>
      </c>
      <c r="D573" s="232" t="s">
        <v>895</v>
      </c>
      <c r="E573" s="116"/>
      <c r="F573" s="116"/>
      <c r="G573" s="116">
        <f>G572</f>
        <v>96000</v>
      </c>
      <c r="H573" s="116">
        <f t="shared" si="8"/>
        <v>96000</v>
      </c>
      <c r="I573" s="117"/>
      <c r="J573" s="117"/>
      <c r="L573" s="117"/>
    </row>
    <row r="574" spans="1:12" ht="17.25" customHeight="1">
      <c r="A574" s="58">
        <v>852</v>
      </c>
      <c r="B574" s="58"/>
      <c r="C574" s="58"/>
      <c r="D574" s="58" t="s">
        <v>648</v>
      </c>
      <c r="E574" s="59">
        <v>3411590</v>
      </c>
      <c r="F574" s="60"/>
      <c r="G574" s="60">
        <f>G575</f>
        <v>3000</v>
      </c>
      <c r="H574" s="60">
        <f>E574+G574-F574</f>
        <v>3414590</v>
      </c>
      <c r="I574" s="47"/>
      <c r="J574" s="47"/>
      <c r="L574" s="47"/>
    </row>
    <row r="575" spans="1:12" s="45" customFormat="1" ht="18" customHeight="1">
      <c r="A575" s="109"/>
      <c r="B575" s="1026">
        <v>85203</v>
      </c>
      <c r="C575" s="63"/>
      <c r="D575" s="75" t="s">
        <v>261</v>
      </c>
      <c r="E575" s="1260">
        <v>3147590</v>
      </c>
      <c r="F575" s="1260"/>
      <c r="G575" s="1260">
        <f>G576</f>
        <v>3000</v>
      </c>
      <c r="H575" s="1260">
        <f>E575+G575-F575</f>
        <v>3150590</v>
      </c>
      <c r="I575" s="95"/>
      <c r="J575" s="95"/>
      <c r="L575" s="95"/>
    </row>
    <row r="576" spans="1:12" s="99" customFormat="1" ht="18" customHeight="1">
      <c r="A576" s="146"/>
      <c r="B576" s="151"/>
      <c r="C576" s="83"/>
      <c r="D576" s="694" t="s">
        <v>451</v>
      </c>
      <c r="E576" s="1011">
        <v>310000</v>
      </c>
      <c r="F576" s="1011"/>
      <c r="G576" s="1011">
        <f>G577</f>
        <v>3000</v>
      </c>
      <c r="H576" s="1011">
        <f>E576+G576-F576</f>
        <v>313000</v>
      </c>
      <c r="I576" s="107"/>
      <c r="J576" s="107"/>
      <c r="L576" s="107"/>
    </row>
    <row r="577" spans="1:12" ht="18" customHeight="1">
      <c r="A577" s="52"/>
      <c r="B577" s="52"/>
      <c r="C577" s="52"/>
      <c r="D577" s="80" t="s">
        <v>127</v>
      </c>
      <c r="E577" s="1262">
        <v>58787</v>
      </c>
      <c r="F577" s="1262"/>
      <c r="G577" s="1263">
        <f>G578</f>
        <v>3000</v>
      </c>
      <c r="H577" s="1263">
        <f>E577+G577-F577</f>
        <v>61787</v>
      </c>
      <c r="I577" s="47"/>
      <c r="J577" s="47"/>
      <c r="L577" s="47"/>
    </row>
    <row r="578" spans="1:12" s="120" customFormat="1" ht="18" customHeight="1">
      <c r="A578" s="1359"/>
      <c r="B578" s="67"/>
      <c r="C578" s="108">
        <v>4010</v>
      </c>
      <c r="D578" s="68" t="s">
        <v>603</v>
      </c>
      <c r="E578" s="114">
        <v>55800</v>
      </c>
      <c r="F578" s="114"/>
      <c r="G578" s="1264">
        <v>3000</v>
      </c>
      <c r="H578" s="1264">
        <f>E578+G578-F578</f>
        <v>58800</v>
      </c>
      <c r="I578" s="119"/>
      <c r="J578" s="119"/>
      <c r="L578" s="119"/>
    </row>
    <row r="579" spans="1:12" s="134" customFormat="1" ht="18.75" customHeight="1">
      <c r="A579" s="57">
        <v>853</v>
      </c>
      <c r="B579" s="74"/>
      <c r="C579" s="74"/>
      <c r="D579" s="74" t="s">
        <v>691</v>
      </c>
      <c r="E579" s="432">
        <v>633654</v>
      </c>
      <c r="F579" s="432"/>
      <c r="G579" s="432">
        <f>G580</f>
        <v>29247</v>
      </c>
      <c r="H579" s="432">
        <f t="shared" si="8"/>
        <v>662901</v>
      </c>
      <c r="I579" s="135"/>
      <c r="J579" s="135"/>
      <c r="L579" s="135"/>
    </row>
    <row r="580" spans="1:12" s="134" customFormat="1" ht="18.75" customHeight="1">
      <c r="A580" s="109"/>
      <c r="B580" s="105">
        <v>85334</v>
      </c>
      <c r="C580" s="63"/>
      <c r="D580" s="75" t="s">
        <v>908</v>
      </c>
      <c r="E580" s="230">
        <v>64654</v>
      </c>
      <c r="F580" s="230"/>
      <c r="G580" s="230">
        <f>G581</f>
        <v>29247</v>
      </c>
      <c r="H580" s="230">
        <f t="shared" si="8"/>
        <v>93901</v>
      </c>
      <c r="I580" s="135"/>
      <c r="J580" s="135"/>
      <c r="L580" s="135"/>
    </row>
    <row r="581" spans="1:12" s="190" customFormat="1" ht="18.75" customHeight="1">
      <c r="A581" s="151"/>
      <c r="B581" s="151"/>
      <c r="C581" s="147"/>
      <c r="D581" s="860" t="s">
        <v>910</v>
      </c>
      <c r="E581" s="861">
        <v>64654</v>
      </c>
      <c r="F581" s="861"/>
      <c r="G581" s="861">
        <f>SUM(G582:G583)</f>
        <v>29247</v>
      </c>
      <c r="H581" s="861">
        <f t="shared" si="8"/>
        <v>93901</v>
      </c>
      <c r="I581" s="306"/>
      <c r="J581" s="306"/>
      <c r="L581" s="306"/>
    </row>
    <row r="582" spans="1:12" s="118" customFormat="1" ht="19.5" customHeight="1">
      <c r="A582" s="145"/>
      <c r="B582" s="125"/>
      <c r="C582" s="231">
        <v>3110</v>
      </c>
      <c r="D582" s="232" t="s">
        <v>320</v>
      </c>
      <c r="E582" s="310">
        <v>17768</v>
      </c>
      <c r="F582" s="310"/>
      <c r="G582" s="310">
        <f>5741+10817+5043+5948</f>
        <v>27549</v>
      </c>
      <c r="H582" s="310">
        <f t="shared" si="8"/>
        <v>45317</v>
      </c>
      <c r="I582" s="117"/>
      <c r="J582" s="117"/>
      <c r="L582" s="117"/>
    </row>
    <row r="583" spans="1:12" s="118" customFormat="1" ht="19.5" customHeight="1">
      <c r="A583" s="870"/>
      <c r="B583" s="233"/>
      <c r="C583" s="231">
        <v>4300</v>
      </c>
      <c r="D583" s="232" t="s">
        <v>664</v>
      </c>
      <c r="E583" s="116">
        <v>46886</v>
      </c>
      <c r="F583" s="116"/>
      <c r="G583" s="116">
        <v>1698</v>
      </c>
      <c r="H583" s="116">
        <f t="shared" si="8"/>
        <v>48584</v>
      </c>
      <c r="I583" s="117"/>
      <c r="J583" s="117"/>
      <c r="L583" s="117"/>
    </row>
    <row r="584" ht="30.75" customHeight="1"/>
    <row r="585" ht="19.5" customHeight="1"/>
    <row r="586" spans="3:8" ht="19.5" customHeight="1">
      <c r="C586" s="1639" t="s">
        <v>446</v>
      </c>
      <c r="G586" s="1" t="s">
        <v>447</v>
      </c>
      <c r="H586" s="1"/>
    </row>
    <row r="587" spans="3:8" ht="14.25" customHeight="1">
      <c r="C587" s="1641" t="s">
        <v>449</v>
      </c>
      <c r="G587" s="48" t="s">
        <v>448</v>
      </c>
      <c r="H587" s="1"/>
    </row>
    <row r="588" ht="18.75" customHeight="1"/>
    <row r="589" ht="28.5" customHeight="1"/>
    <row r="590" spans="1:9" s="33" customFormat="1" ht="18.75" customHeight="1">
      <c r="A590" s="22"/>
      <c r="B590" s="22"/>
      <c r="C590" s="22"/>
      <c r="D590" s="22"/>
      <c r="E590" s="22"/>
      <c r="F590" s="22"/>
      <c r="G590" s="22"/>
      <c r="H590" s="22"/>
      <c r="I590" s="96"/>
    </row>
    <row r="591" spans="1:9" s="33" customFormat="1" ht="18.75" customHeight="1">
      <c r="A591" s="22"/>
      <c r="B591" s="22"/>
      <c r="C591" s="22"/>
      <c r="D591" s="22"/>
      <c r="E591" s="22"/>
      <c r="F591" s="22"/>
      <c r="G591" s="22"/>
      <c r="H591" s="22"/>
      <c r="I591" s="96"/>
    </row>
    <row r="592" spans="1:9" s="33" customFormat="1" ht="18.75" customHeight="1">
      <c r="A592" s="22"/>
      <c r="B592" s="22"/>
      <c r="C592" s="22"/>
      <c r="D592" s="22"/>
      <c r="E592" s="22"/>
      <c r="F592" s="22"/>
      <c r="G592" s="22"/>
      <c r="H592" s="22"/>
      <c r="I592" s="96"/>
    </row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spans="1:9" s="33" customFormat="1" ht="19.5" customHeight="1">
      <c r="A601" s="22"/>
      <c r="B601" s="22"/>
      <c r="C601" s="22"/>
      <c r="D601" s="22"/>
      <c r="E601" s="22"/>
      <c r="F601" s="22"/>
      <c r="G601" s="22"/>
      <c r="H601" s="22"/>
      <c r="I601" s="97"/>
    </row>
    <row r="602" spans="1:9" s="33" customFormat="1" ht="18.75" customHeight="1">
      <c r="A602" s="22"/>
      <c r="B602" s="22"/>
      <c r="C602" s="22"/>
      <c r="D602" s="22"/>
      <c r="E602" s="22"/>
      <c r="F602" s="22"/>
      <c r="G602" s="22"/>
      <c r="H602" s="22"/>
      <c r="I602" s="96"/>
    </row>
    <row r="603" spans="1:9" s="33" customFormat="1" ht="18.75" customHeight="1">
      <c r="A603" s="22"/>
      <c r="B603" s="22"/>
      <c r="C603" s="22"/>
      <c r="D603" s="22"/>
      <c r="E603" s="22"/>
      <c r="F603" s="22"/>
      <c r="G603" s="22"/>
      <c r="H603" s="22"/>
      <c r="I603" s="96"/>
    </row>
    <row r="604" spans="1:9" s="33" customFormat="1" ht="18.75" customHeight="1">
      <c r="A604" s="22"/>
      <c r="B604" s="22"/>
      <c r="C604" s="22"/>
      <c r="D604" s="22"/>
      <c r="E604" s="22"/>
      <c r="F604" s="22"/>
      <c r="G604" s="22"/>
      <c r="H604" s="22"/>
      <c r="I604" s="96"/>
    </row>
    <row r="605" ht="19.5" customHeight="1"/>
    <row r="606" ht="18.75" customHeight="1"/>
    <row r="607" spans="1:9" s="33" customFormat="1" ht="18.75" customHeight="1">
      <c r="A607" s="22"/>
      <c r="B607" s="22"/>
      <c r="C607" s="22"/>
      <c r="D607" s="22"/>
      <c r="E607" s="22"/>
      <c r="F607" s="22"/>
      <c r="G607" s="22"/>
      <c r="H607" s="22"/>
      <c r="I607" s="96"/>
    </row>
    <row r="608" ht="18.75" customHeight="1"/>
    <row r="609" spans="1:9" s="33" customFormat="1" ht="18.75" customHeight="1">
      <c r="A609" s="22"/>
      <c r="B609" s="22"/>
      <c r="C609" s="22"/>
      <c r="D609" s="22"/>
      <c r="E609" s="22"/>
      <c r="F609" s="22"/>
      <c r="G609" s="22"/>
      <c r="H609" s="22"/>
      <c r="I609" s="96"/>
    </row>
    <row r="610" spans="1:9" s="33" customFormat="1" ht="27" customHeight="1">
      <c r="A610" s="22"/>
      <c r="B610" s="22"/>
      <c r="C610" s="22"/>
      <c r="D610" s="22"/>
      <c r="E610" s="22"/>
      <c r="F610" s="22"/>
      <c r="G610" s="22"/>
      <c r="H610" s="22"/>
      <c r="I610" s="96"/>
    </row>
    <row r="611" spans="1:9" s="33" customFormat="1" ht="18.75" customHeight="1">
      <c r="A611" s="22"/>
      <c r="B611" s="22"/>
      <c r="C611" s="22"/>
      <c r="D611" s="22"/>
      <c r="E611" s="22"/>
      <c r="F611" s="22"/>
      <c r="G611" s="22"/>
      <c r="H611" s="22"/>
      <c r="I611" s="96"/>
    </row>
    <row r="612" spans="1:9" s="33" customFormat="1" ht="19.5" customHeight="1">
      <c r="A612" s="22"/>
      <c r="B612" s="22"/>
      <c r="C612" s="22"/>
      <c r="D612" s="22"/>
      <c r="E612" s="22"/>
      <c r="F612" s="22"/>
      <c r="G612" s="22"/>
      <c r="H612" s="22"/>
      <c r="I612" s="96"/>
    </row>
    <row r="613" ht="19.5" customHeight="1"/>
    <row r="614" ht="19.5" customHeight="1"/>
    <row r="615" ht="19.5" customHeight="1"/>
    <row r="616" ht="19.5" customHeight="1"/>
    <row r="617" ht="19.5" customHeight="1"/>
    <row r="618" spans="1:9" s="33" customFormat="1" ht="18.75" customHeight="1">
      <c r="A618" s="22"/>
      <c r="B618" s="22"/>
      <c r="C618" s="22"/>
      <c r="D618" s="22"/>
      <c r="E618" s="22"/>
      <c r="F618" s="22"/>
      <c r="G618" s="22"/>
      <c r="H618" s="22"/>
      <c r="I618" s="96"/>
    </row>
    <row r="619" spans="1:9" s="33" customFormat="1" ht="19.5" customHeight="1">
      <c r="A619" s="22"/>
      <c r="B619" s="22"/>
      <c r="C619" s="22"/>
      <c r="D619" s="22"/>
      <c r="E619" s="22"/>
      <c r="F619" s="22"/>
      <c r="G619" s="22"/>
      <c r="H619" s="22"/>
      <c r="I619" s="96"/>
    </row>
    <row r="620" ht="19.5" customHeight="1"/>
    <row r="621" ht="18.75" customHeight="1"/>
    <row r="622" ht="18" customHeight="1"/>
    <row r="623" ht="28.5" customHeight="1"/>
    <row r="624" ht="20.25" customHeight="1"/>
    <row r="625" ht="18" customHeight="1"/>
    <row r="626" ht="19.5" customHeight="1"/>
    <row r="627" ht="20.25" customHeight="1"/>
    <row r="628" ht="20.25" customHeight="1"/>
    <row r="629" ht="20.25" customHeight="1"/>
    <row r="630" spans="1:8" s="33" customFormat="1" ht="27" customHeight="1">
      <c r="A630" s="22"/>
      <c r="B630" s="22"/>
      <c r="C630" s="22"/>
      <c r="D630" s="22"/>
      <c r="E630" s="22"/>
      <c r="F630" s="22"/>
      <c r="G630" s="22"/>
      <c r="H630" s="22"/>
    </row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27.75" customHeight="1"/>
    <row r="651" ht="20.25" customHeight="1"/>
    <row r="652" ht="20.25" customHeight="1"/>
    <row r="653" ht="19.5" customHeight="1"/>
    <row r="654" ht="25.5" customHeight="1"/>
    <row r="655" ht="26.25" customHeight="1"/>
    <row r="656" ht="19.5" customHeight="1"/>
    <row r="657" ht="18.75" customHeight="1"/>
    <row r="658" ht="18" customHeight="1"/>
    <row r="659" ht="19.5" customHeight="1"/>
    <row r="660" ht="19.5" customHeight="1"/>
    <row r="661" ht="20.25" customHeight="1"/>
    <row r="662" ht="19.5" customHeight="1"/>
    <row r="663" ht="19.5" customHeight="1"/>
    <row r="664" ht="20.25" customHeight="1"/>
    <row r="665" ht="18" customHeight="1"/>
    <row r="666" ht="19.5" customHeight="1"/>
    <row r="667" ht="19.5" customHeight="1"/>
  </sheetData>
  <printOptions horizontalCentered="1"/>
  <pageMargins left="0.3937007874015748" right="0.3937007874015748" top="0.61" bottom="0.47" header="0.5118110236220472" footer="0.31496062992125984"/>
  <pageSetup firstPageNumber="28" useFirstPageNumber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N736"/>
  <sheetViews>
    <sheetView zoomScaleSheetLayoutView="75" workbookViewId="0" topLeftCell="A9">
      <pane ySplit="1485" topLeftCell="BM636" activePane="bottomLeft" state="split"/>
      <selection pane="topLeft" activeCell="A9" sqref="A1:IV16384"/>
      <selection pane="bottomLeft" activeCell="H646" sqref="H646:I647"/>
    </sheetView>
  </sheetViews>
  <sheetFormatPr defaultColWidth="9.00390625" defaultRowHeight="12.75"/>
  <cols>
    <col min="1" max="1" width="7.875" style="791" customWidth="1"/>
    <col min="2" max="2" width="8.00390625" style="756" customWidth="1"/>
    <col min="3" max="3" width="8.125" style="756" customWidth="1"/>
    <col min="4" max="4" width="68.625" style="756" customWidth="1"/>
    <col min="5" max="5" width="14.75390625" style="756" hidden="1" customWidth="1"/>
    <col min="6" max="9" width="17.75390625" style="756" customWidth="1"/>
    <col min="10" max="10" width="11.125" style="756" customWidth="1"/>
    <col min="11" max="11" width="12.125" style="756" customWidth="1"/>
    <col min="12" max="12" width="13.00390625" style="756" customWidth="1"/>
    <col min="13" max="16384" width="9.125" style="756" customWidth="1"/>
  </cols>
  <sheetData>
    <row r="1" spans="1:11" s="190" customFormat="1" ht="18.75" customHeight="1">
      <c r="A1" s="1244"/>
      <c r="H1" s="1245" t="s">
        <v>304</v>
      </c>
      <c r="K1" s="306"/>
    </row>
    <row r="2" spans="1:11" s="330" customFormat="1" ht="18.75" customHeight="1">
      <c r="A2" s="1246"/>
      <c r="H2" s="330" t="s">
        <v>14</v>
      </c>
      <c r="J2" s="797"/>
      <c r="K2" s="797"/>
    </row>
    <row r="3" spans="1:11" s="1248" customFormat="1" ht="19.5" customHeight="1">
      <c r="A3" s="1246"/>
      <c r="B3" s="330"/>
      <c r="C3" s="445"/>
      <c r="D3" s="1247" t="s">
        <v>652</v>
      </c>
      <c r="E3" s="1247"/>
      <c r="F3" s="1247"/>
      <c r="H3" s="1248" t="s">
        <v>605</v>
      </c>
      <c r="K3" s="1249"/>
    </row>
    <row r="4" spans="1:8" s="1248" customFormat="1" ht="19.5" customHeight="1">
      <c r="A4" s="1250"/>
      <c r="C4" s="445"/>
      <c r="D4" s="1247" t="s">
        <v>653</v>
      </c>
      <c r="E4" s="1247"/>
      <c r="F4" s="1247"/>
      <c r="G4" s="1249"/>
      <c r="H4" s="1248" t="s">
        <v>15</v>
      </c>
    </row>
    <row r="5" s="1248" customFormat="1" ht="19.5" customHeight="1">
      <c r="A5" s="1250"/>
    </row>
    <row r="6" spans="1:11" s="330" customFormat="1" ht="15" customHeight="1" thickBot="1">
      <c r="A6" s="1251"/>
      <c r="B6" s="1248"/>
      <c r="C6" s="1248"/>
      <c r="D6" s="1248"/>
      <c r="E6" s="1248"/>
      <c r="F6" s="1248"/>
      <c r="G6" s="1248"/>
      <c r="H6" s="1248"/>
      <c r="I6" s="1252" t="s">
        <v>606</v>
      </c>
      <c r="K6" s="329"/>
    </row>
    <row r="7" spans="1:11" s="330" customFormat="1" ht="21" customHeight="1" thickTop="1">
      <c r="A7" s="1671" t="s">
        <v>610</v>
      </c>
      <c r="B7" s="1673" t="s">
        <v>654</v>
      </c>
      <c r="C7" s="1673" t="s">
        <v>655</v>
      </c>
      <c r="D7" s="1669" t="s">
        <v>656</v>
      </c>
      <c r="E7" s="1675" t="s">
        <v>657</v>
      </c>
      <c r="F7" s="1676"/>
      <c r="G7" s="1677"/>
      <c r="H7" s="1667" t="s">
        <v>658</v>
      </c>
      <c r="I7" s="1668"/>
      <c r="K7" s="329"/>
    </row>
    <row r="8" spans="1:11" s="330" customFormat="1" ht="21" customHeight="1" thickBot="1">
      <c r="A8" s="1672"/>
      <c r="B8" s="1674"/>
      <c r="C8" s="1674"/>
      <c r="D8" s="1670"/>
      <c r="E8" s="1253" t="s">
        <v>659</v>
      </c>
      <c r="F8" s="1253" t="s">
        <v>659</v>
      </c>
      <c r="G8" s="1254" t="s">
        <v>660</v>
      </c>
      <c r="H8" s="1253" t="s">
        <v>659</v>
      </c>
      <c r="I8" s="1254" t="s">
        <v>660</v>
      </c>
      <c r="J8" s="329"/>
      <c r="K8" s="329"/>
    </row>
    <row r="9" spans="1:11" s="1248" customFormat="1" ht="15.75" customHeight="1" thickBot="1" thickTop="1">
      <c r="A9" s="1255">
        <v>1</v>
      </c>
      <c r="B9" s="1256">
        <v>2</v>
      </c>
      <c r="C9" s="1256">
        <v>3</v>
      </c>
      <c r="D9" s="1256">
        <v>4</v>
      </c>
      <c r="E9" s="1256">
        <v>5</v>
      </c>
      <c r="F9" s="1256">
        <v>5</v>
      </c>
      <c r="G9" s="1257">
        <v>6</v>
      </c>
      <c r="H9" s="1257">
        <v>7</v>
      </c>
      <c r="I9" s="1257">
        <v>8</v>
      </c>
      <c r="K9" s="1249"/>
    </row>
    <row r="10" spans="1:14" s="835" customFormat="1" ht="19.5" customHeight="1" thickBot="1" thickTop="1">
      <c r="A10" s="831"/>
      <c r="B10" s="831"/>
      <c r="C10" s="831"/>
      <c r="D10" s="832" t="s">
        <v>661</v>
      </c>
      <c r="E10" s="833" t="e">
        <f>E11+E437+E449+#REF!+E486+E495+E502+E510+E531+#REF!+#REF!+#REF!+E637+E431+E598+E458</f>
        <v>#REF!</v>
      </c>
      <c r="F10" s="833">
        <f>F11+F431+F437+F449+F458+F486+F495+F502+F510+F531+F598+F637</f>
        <v>3484450</v>
      </c>
      <c r="G10" s="833">
        <f>G11+G431+G437+G449+G458+G486+G495+G502+G510+G531+G598+G637</f>
        <v>660623</v>
      </c>
      <c r="H10" s="833">
        <f>H11+H431+H437+H449+H458+H486+H495+H502+H510+H516+H524+H531+H598+H621+H637</f>
        <v>10966407</v>
      </c>
      <c r="I10" s="833">
        <f>I11+I431+I437+I449+I458+I486+I495+I502+I510+I516+I524+I531+I598+I621+I637+I476</f>
        <v>8142580</v>
      </c>
      <c r="J10" s="834"/>
      <c r="K10" s="834"/>
      <c r="L10" s="834"/>
      <c r="M10" s="834"/>
      <c r="N10" s="834"/>
    </row>
    <row r="11" spans="1:12" s="835" customFormat="1" ht="22.5" customHeight="1">
      <c r="A11" s="836"/>
      <c r="B11" s="836"/>
      <c r="C11" s="836"/>
      <c r="D11" s="837" t="s">
        <v>639</v>
      </c>
      <c r="E11" s="838" t="e">
        <f>E12+#REF!+E26+E141+E190+E237+E306+E365+E425+#REF!+E184+#REF!+#REF!</f>
        <v>#REF!</v>
      </c>
      <c r="F11" s="838">
        <f>F12+F19+F26+F141+F184+F190+F237+F306+F365+F425</f>
        <v>3484450</v>
      </c>
      <c r="G11" s="838">
        <f>G12+G19+G26+G141+G184+G190+G237+G306+G365+G425</f>
        <v>660623</v>
      </c>
      <c r="H11" s="838">
        <f>H12+H19+H26+H141+H184+H190+H237+H300+H306+H365+H425</f>
        <v>7404488</v>
      </c>
      <c r="I11" s="838">
        <f>I12+I19+I26+I141+I184+I190+I237+I300+I306+I365+I425</f>
        <v>4438943</v>
      </c>
      <c r="J11" s="834"/>
      <c r="K11" s="834"/>
      <c r="L11" s="834"/>
    </row>
    <row r="12" spans="1:11" s="835" customFormat="1" ht="18.75" customHeight="1">
      <c r="A12" s="886"/>
      <c r="B12" s="886"/>
      <c r="C12" s="115"/>
      <c r="D12" s="938" t="s">
        <v>96</v>
      </c>
      <c r="E12" s="938"/>
      <c r="F12" s="939"/>
      <c r="G12" s="939"/>
      <c r="H12" s="940">
        <f aca="true" t="shared" si="0" ref="H12:I15">H13</f>
        <v>500</v>
      </c>
      <c r="I12" s="940">
        <f t="shared" si="0"/>
        <v>500</v>
      </c>
      <c r="J12" s="834"/>
      <c r="K12" s="834"/>
    </row>
    <row r="13" spans="1:10" s="330" customFormat="1" ht="27" customHeight="1" thickBot="1">
      <c r="A13" s="233"/>
      <c r="B13" s="233"/>
      <c r="C13" s="233"/>
      <c r="D13" s="124" t="s">
        <v>678</v>
      </c>
      <c r="E13" s="929"/>
      <c r="F13" s="930"/>
      <c r="G13" s="930"/>
      <c r="H13" s="930">
        <f t="shared" si="0"/>
        <v>500</v>
      </c>
      <c r="I13" s="930">
        <f t="shared" si="0"/>
        <v>500</v>
      </c>
      <c r="J13" s="329"/>
    </row>
    <row r="14" spans="1:12" s="330" customFormat="1" ht="17.25" customHeight="1" thickTop="1">
      <c r="A14" s="799">
        <v>752</v>
      </c>
      <c r="B14" s="800"/>
      <c r="C14" s="800"/>
      <c r="D14" s="800" t="s">
        <v>828</v>
      </c>
      <c r="E14" s="800"/>
      <c r="F14" s="931"/>
      <c r="G14" s="931"/>
      <c r="H14" s="820">
        <f t="shared" si="0"/>
        <v>500</v>
      </c>
      <c r="I14" s="820">
        <f t="shared" si="0"/>
        <v>500</v>
      </c>
      <c r="J14" s="329"/>
      <c r="K14" s="329"/>
      <c r="L14" s="329"/>
    </row>
    <row r="15" spans="1:12" s="798" customFormat="1" ht="18.75" customHeight="1">
      <c r="A15" s="803"/>
      <c r="B15" s="932">
        <v>75212</v>
      </c>
      <c r="C15" s="852"/>
      <c r="D15" s="854" t="s">
        <v>829</v>
      </c>
      <c r="E15" s="852"/>
      <c r="F15" s="933"/>
      <c r="G15" s="933"/>
      <c r="H15" s="824">
        <f t="shared" si="0"/>
        <v>500</v>
      </c>
      <c r="I15" s="824">
        <f t="shared" si="0"/>
        <v>500</v>
      </c>
      <c r="J15" s="797"/>
      <c r="K15" s="797"/>
      <c r="L15" s="797"/>
    </row>
    <row r="16" spans="1:12" s="798" customFormat="1" ht="18.75" customHeight="1">
      <c r="A16" s="316"/>
      <c r="B16" s="316"/>
      <c r="C16" s="904"/>
      <c r="D16" s="808" t="s">
        <v>830</v>
      </c>
      <c r="E16" s="934"/>
      <c r="F16" s="934"/>
      <c r="G16" s="934"/>
      <c r="H16" s="934">
        <f>SUM(H17:H18)</f>
        <v>500</v>
      </c>
      <c r="I16" s="934">
        <f>SUM(I17:I18)</f>
        <v>500</v>
      </c>
      <c r="J16" s="797"/>
      <c r="K16" s="935"/>
      <c r="L16" s="797"/>
    </row>
    <row r="17" spans="1:12" s="798" customFormat="1" ht="18.75" customHeight="1">
      <c r="A17" s="145"/>
      <c r="B17" s="125"/>
      <c r="C17" s="231">
        <v>4170</v>
      </c>
      <c r="D17" s="232" t="s">
        <v>674</v>
      </c>
      <c r="E17" s="121"/>
      <c r="F17" s="121"/>
      <c r="G17" s="121"/>
      <c r="H17" s="121"/>
      <c r="I17" s="121">
        <v>500</v>
      </c>
      <c r="J17" s="797"/>
      <c r="L17" s="797"/>
    </row>
    <row r="18" spans="1:12" s="798" customFormat="1" ht="18.75" customHeight="1">
      <c r="A18" s="145"/>
      <c r="B18" s="125"/>
      <c r="C18" s="231">
        <v>4210</v>
      </c>
      <c r="D18" s="232" t="s">
        <v>663</v>
      </c>
      <c r="E18" s="936"/>
      <c r="F18" s="937"/>
      <c r="G18" s="937"/>
      <c r="H18" s="937">
        <v>500</v>
      </c>
      <c r="I18" s="937"/>
      <c r="J18" s="797"/>
      <c r="L18" s="797"/>
    </row>
    <row r="19" spans="1:11" s="835" customFormat="1" ht="26.25" customHeight="1">
      <c r="A19" s="886"/>
      <c r="B19" s="886"/>
      <c r="C19" s="115"/>
      <c r="D19" s="938" t="s">
        <v>84</v>
      </c>
      <c r="E19" s="938"/>
      <c r="F19" s="939"/>
      <c r="G19" s="939"/>
      <c r="H19" s="940"/>
      <c r="I19" s="940">
        <f>I20</f>
        <v>432</v>
      </c>
      <c r="J19" s="834"/>
      <c r="K19" s="834"/>
    </row>
    <row r="20" spans="1:10" s="330" customFormat="1" ht="18.75" customHeight="1" thickBot="1">
      <c r="A20" s="953"/>
      <c r="B20" s="953"/>
      <c r="C20" s="953"/>
      <c r="D20" s="929" t="s">
        <v>662</v>
      </c>
      <c r="E20" s="929"/>
      <c r="F20" s="930"/>
      <c r="G20" s="930"/>
      <c r="H20" s="930"/>
      <c r="I20" s="930">
        <f>I21</f>
        <v>432</v>
      </c>
      <c r="J20" s="329"/>
    </row>
    <row r="21" spans="1:12" s="330" customFormat="1" ht="17.25" customHeight="1" thickTop="1">
      <c r="A21" s="800">
        <v>758</v>
      </c>
      <c r="B21" s="800"/>
      <c r="C21" s="800"/>
      <c r="D21" s="800" t="s">
        <v>642</v>
      </c>
      <c r="E21" s="800"/>
      <c r="F21" s="931"/>
      <c r="G21" s="931"/>
      <c r="H21" s="820"/>
      <c r="I21" s="820">
        <f>I22</f>
        <v>432</v>
      </c>
      <c r="J21" s="329"/>
      <c r="K21" s="329"/>
      <c r="L21" s="329"/>
    </row>
    <row r="22" spans="1:12" s="798" customFormat="1" ht="18" customHeight="1">
      <c r="A22" s="125"/>
      <c r="B22" s="822">
        <v>75860</v>
      </c>
      <c r="C22" s="822"/>
      <c r="D22" s="822" t="s">
        <v>819</v>
      </c>
      <c r="E22" s="852"/>
      <c r="F22" s="933"/>
      <c r="G22" s="933"/>
      <c r="H22" s="824"/>
      <c r="I22" s="824">
        <f>I23</f>
        <v>432</v>
      </c>
      <c r="J22" s="797"/>
      <c r="K22" s="797"/>
      <c r="L22" s="797"/>
    </row>
    <row r="23" spans="1:12" s="798" customFormat="1" ht="26.25" customHeight="1">
      <c r="A23" s="827"/>
      <c r="B23" s="316"/>
      <c r="C23" s="807"/>
      <c r="D23" s="828" t="s">
        <v>869</v>
      </c>
      <c r="E23" s="934"/>
      <c r="F23" s="934"/>
      <c r="G23" s="934"/>
      <c r="H23" s="934"/>
      <c r="I23" s="934">
        <f>SUM(I24:I25)</f>
        <v>432</v>
      </c>
      <c r="J23" s="797"/>
      <c r="K23" s="935"/>
      <c r="L23" s="797"/>
    </row>
    <row r="24" spans="1:12" s="798" customFormat="1" ht="18.75" customHeight="1">
      <c r="A24" s="145"/>
      <c r="B24" s="125"/>
      <c r="C24" s="231">
        <v>4110</v>
      </c>
      <c r="D24" s="232" t="s">
        <v>729</v>
      </c>
      <c r="E24" s="121"/>
      <c r="F24" s="121"/>
      <c r="G24" s="121"/>
      <c r="H24" s="121"/>
      <c r="I24" s="121">
        <v>378</v>
      </c>
      <c r="J24" s="797"/>
      <c r="L24" s="797"/>
    </row>
    <row r="25" spans="1:12" s="798" customFormat="1" ht="18.75" customHeight="1">
      <c r="A25" s="145"/>
      <c r="B25" s="125"/>
      <c r="C25" s="231">
        <v>4120</v>
      </c>
      <c r="D25" s="232" t="s">
        <v>730</v>
      </c>
      <c r="E25" s="936"/>
      <c r="F25" s="121"/>
      <c r="G25" s="121"/>
      <c r="H25" s="121"/>
      <c r="I25" s="121">
        <v>54</v>
      </c>
      <c r="J25" s="797"/>
      <c r="L25" s="797"/>
    </row>
    <row r="26" spans="1:11" s="835" customFormat="1" ht="20.25" customHeight="1">
      <c r="A26" s="839"/>
      <c r="B26" s="839"/>
      <c r="C26" s="840"/>
      <c r="D26" s="837" t="s">
        <v>85</v>
      </c>
      <c r="E26" s="838" t="e">
        <f>E27+E69</f>
        <v>#REF!</v>
      </c>
      <c r="F26" s="838">
        <f>F27+F69</f>
        <v>3484450</v>
      </c>
      <c r="G26" s="838">
        <f>G27+G69</f>
        <v>660623</v>
      </c>
      <c r="H26" s="838">
        <f>H120</f>
        <v>1289868</v>
      </c>
      <c r="I26" s="838">
        <f>I120+I135</f>
        <v>12573</v>
      </c>
      <c r="J26" s="841"/>
      <c r="K26" s="834"/>
    </row>
    <row r="27" spans="1:12" s="330" customFormat="1" ht="16.5" customHeight="1" thickBot="1">
      <c r="A27" s="839"/>
      <c r="B27" s="839"/>
      <c r="C27" s="840"/>
      <c r="D27" s="997" t="s">
        <v>222</v>
      </c>
      <c r="E27" s="998" t="e">
        <f>E28+E46+#REF!</f>
        <v>#REF!</v>
      </c>
      <c r="F27" s="998">
        <f>F28+F46</f>
        <v>3457844</v>
      </c>
      <c r="G27" s="998">
        <f>G28+G46</f>
        <v>221878</v>
      </c>
      <c r="H27" s="999"/>
      <c r="I27" s="999"/>
      <c r="J27" s="329"/>
      <c r="K27" s="329"/>
      <c r="L27" s="329"/>
    </row>
    <row r="28" spans="1:10" s="330" customFormat="1" ht="18.75" customHeight="1" thickBot="1">
      <c r="A28" s="839"/>
      <c r="B28" s="839"/>
      <c r="C28" s="840"/>
      <c r="D28" s="1209" t="s">
        <v>216</v>
      </c>
      <c r="E28" s="1209"/>
      <c r="F28" s="977">
        <f>F39</f>
        <v>114344</v>
      </c>
      <c r="G28" s="977">
        <f>G39+G29</f>
        <v>30240</v>
      </c>
      <c r="H28" s="977"/>
      <c r="I28" s="977"/>
      <c r="J28" s="329"/>
    </row>
    <row r="29" spans="1:10" s="330" customFormat="1" ht="18" customHeight="1" thickTop="1">
      <c r="A29" s="129">
        <v>801</v>
      </c>
      <c r="B29" s="57"/>
      <c r="C29" s="177"/>
      <c r="D29" s="161" t="s">
        <v>647</v>
      </c>
      <c r="E29" s="1007"/>
      <c r="F29" s="1007"/>
      <c r="G29" s="1007">
        <f>G34+G30</f>
        <v>20240</v>
      </c>
      <c r="H29" s="1007"/>
      <c r="I29" s="1210"/>
      <c r="J29" s="329"/>
    </row>
    <row r="30" spans="1:10" s="330" customFormat="1" ht="20.25" customHeight="1">
      <c r="A30" s="130"/>
      <c r="B30" s="159">
        <v>80101</v>
      </c>
      <c r="C30" s="180"/>
      <c r="D30" s="336" t="s">
        <v>202</v>
      </c>
      <c r="E30" s="1212"/>
      <c r="F30" s="1212"/>
      <c r="G30" s="1212">
        <f>G31</f>
        <v>429</v>
      </c>
      <c r="H30" s="1212"/>
      <c r="I30" s="1213"/>
      <c r="J30" s="329"/>
    </row>
    <row r="31" spans="1:11" s="330" customFormat="1" ht="20.25" customHeight="1">
      <c r="A31" s="130"/>
      <c r="B31" s="61"/>
      <c r="C31" s="152"/>
      <c r="D31" s="337" t="s">
        <v>914</v>
      </c>
      <c r="E31" s="1215"/>
      <c r="F31" s="1215"/>
      <c r="G31" s="1215">
        <f>G32</f>
        <v>429</v>
      </c>
      <c r="H31" s="1215"/>
      <c r="I31" s="1216"/>
      <c r="J31" s="329"/>
      <c r="K31" s="329"/>
    </row>
    <row r="32" spans="1:10" s="330" customFormat="1" ht="26.25" customHeight="1">
      <c r="A32" s="70"/>
      <c r="B32" s="70"/>
      <c r="C32" s="1294">
        <v>2030</v>
      </c>
      <c r="D32" s="1382" t="s">
        <v>68</v>
      </c>
      <c r="E32" s="1383"/>
      <c r="F32" s="1383"/>
      <c r="G32" s="1383">
        <v>429</v>
      </c>
      <c r="H32" s="1383"/>
      <c r="I32" s="1384"/>
      <c r="J32" s="329"/>
    </row>
    <row r="33" spans="1:10" s="330" customFormat="1" ht="26.25" customHeight="1">
      <c r="A33" s="1287"/>
      <c r="B33" s="1287"/>
      <c r="C33" s="1298"/>
      <c r="D33" s="1385"/>
      <c r="E33" s="1386"/>
      <c r="F33" s="1386"/>
      <c r="G33" s="1386"/>
      <c r="H33" s="1386"/>
      <c r="I33" s="1386"/>
      <c r="J33" s="329"/>
    </row>
    <row r="34" spans="1:10" s="330" customFormat="1" ht="20.25" customHeight="1">
      <c r="A34" s="130"/>
      <c r="B34" s="159">
        <v>80195</v>
      </c>
      <c r="C34" s="180"/>
      <c r="D34" s="336" t="s">
        <v>646</v>
      </c>
      <c r="E34" s="1212"/>
      <c r="F34" s="1212"/>
      <c r="G34" s="1212">
        <f>G35+G37</f>
        <v>19811</v>
      </c>
      <c r="H34" s="1212"/>
      <c r="I34" s="1213"/>
      <c r="J34" s="329"/>
    </row>
    <row r="35" spans="1:11" s="330" customFormat="1" ht="25.5">
      <c r="A35" s="130"/>
      <c r="B35" s="61"/>
      <c r="C35" s="152"/>
      <c r="D35" s="337" t="s">
        <v>912</v>
      </c>
      <c r="E35" s="1215"/>
      <c r="F35" s="1215"/>
      <c r="G35" s="1215">
        <f>G36</f>
        <v>13600</v>
      </c>
      <c r="H35" s="1215"/>
      <c r="I35" s="1216"/>
      <c r="J35" s="329"/>
      <c r="K35" s="329"/>
    </row>
    <row r="36" spans="1:10" s="330" customFormat="1" ht="26.25" customHeight="1">
      <c r="A36" s="70"/>
      <c r="B36" s="70"/>
      <c r="C36" s="184">
        <v>2030</v>
      </c>
      <c r="D36" s="338" t="s">
        <v>68</v>
      </c>
      <c r="E36" s="1218"/>
      <c r="F36" s="1218"/>
      <c r="G36" s="1218">
        <v>13600</v>
      </c>
      <c r="H36" s="1218"/>
      <c r="I36" s="1219"/>
      <c r="J36" s="329"/>
    </row>
    <row r="37" spans="1:11" s="330" customFormat="1" ht="25.5">
      <c r="A37" s="130"/>
      <c r="B37" s="61"/>
      <c r="C37" s="152"/>
      <c r="D37" s="337" t="s">
        <v>413</v>
      </c>
      <c r="E37" s="1215"/>
      <c r="F37" s="1215"/>
      <c r="G37" s="1215">
        <f>G38</f>
        <v>6211</v>
      </c>
      <c r="H37" s="1215"/>
      <c r="I37" s="1216"/>
      <c r="J37" s="329"/>
      <c r="K37" s="329"/>
    </row>
    <row r="38" spans="1:10" s="330" customFormat="1" ht="26.25" customHeight="1">
      <c r="A38" s="70"/>
      <c r="B38" s="71"/>
      <c r="C38" s="184">
        <v>2030</v>
      </c>
      <c r="D38" s="338" t="s">
        <v>68</v>
      </c>
      <c r="E38" s="1218"/>
      <c r="F38" s="1218"/>
      <c r="G38" s="1218">
        <v>6211</v>
      </c>
      <c r="H38" s="1218"/>
      <c r="I38" s="1219"/>
      <c r="J38" s="329"/>
    </row>
    <row r="39" spans="1:10" s="330" customFormat="1" ht="18" customHeight="1">
      <c r="A39" s="1030">
        <v>852</v>
      </c>
      <c r="B39" s="799"/>
      <c r="C39" s="1031"/>
      <c r="D39" s="161" t="s">
        <v>648</v>
      </c>
      <c r="E39" s="1007"/>
      <c r="F39" s="1007">
        <f>F40+F43</f>
        <v>114344</v>
      </c>
      <c r="G39" s="1007">
        <f>G40+G43</f>
        <v>10000</v>
      </c>
      <c r="H39" s="1007"/>
      <c r="I39" s="802"/>
      <c r="J39" s="329"/>
    </row>
    <row r="40" spans="1:10" s="330" customFormat="1" ht="30.75" customHeight="1">
      <c r="A40" s="982"/>
      <c r="B40" s="983">
        <v>85214</v>
      </c>
      <c r="C40" s="984"/>
      <c r="D40" s="1211" t="s">
        <v>66</v>
      </c>
      <c r="E40" s="1212"/>
      <c r="F40" s="1212">
        <f>F41</f>
        <v>114344</v>
      </c>
      <c r="G40" s="1212"/>
      <c r="H40" s="1212"/>
      <c r="I40" s="1213"/>
      <c r="J40" s="329"/>
    </row>
    <row r="41" spans="1:11" s="330" customFormat="1" ht="25.5">
      <c r="A41" s="989"/>
      <c r="B41" s="960"/>
      <c r="C41" s="954"/>
      <c r="D41" s="1214" t="s">
        <v>67</v>
      </c>
      <c r="E41" s="1215"/>
      <c r="F41" s="1215">
        <f>F42</f>
        <v>114344</v>
      </c>
      <c r="G41" s="1215"/>
      <c r="H41" s="1215"/>
      <c r="I41" s="1216"/>
      <c r="J41" s="329"/>
      <c r="K41" s="329"/>
    </row>
    <row r="42" spans="1:10" s="330" customFormat="1" ht="26.25" customHeight="1">
      <c r="A42" s="993"/>
      <c r="B42" s="975"/>
      <c r="C42" s="994">
        <v>2030</v>
      </c>
      <c r="D42" s="1217" t="s">
        <v>68</v>
      </c>
      <c r="E42" s="1218"/>
      <c r="F42" s="1218">
        <f>98500+15844</f>
        <v>114344</v>
      </c>
      <c r="G42" s="1218"/>
      <c r="H42" s="1218"/>
      <c r="I42" s="1219"/>
      <c r="J42" s="329"/>
    </row>
    <row r="43" spans="1:10" s="330" customFormat="1" ht="21" customHeight="1">
      <c r="A43" s="989"/>
      <c r="B43" s="159">
        <v>85219</v>
      </c>
      <c r="C43" s="180"/>
      <c r="D43" s="336" t="s">
        <v>813</v>
      </c>
      <c r="E43" s="1212"/>
      <c r="F43" s="1212"/>
      <c r="G43" s="1212">
        <f>G44</f>
        <v>10000</v>
      </c>
      <c r="H43" s="1212"/>
      <c r="I43" s="1213"/>
      <c r="J43" s="329"/>
    </row>
    <row r="44" spans="1:11" s="330" customFormat="1" ht="25.5">
      <c r="A44" s="989"/>
      <c r="B44" s="61"/>
      <c r="C44" s="152"/>
      <c r="D44" s="337" t="s">
        <v>63</v>
      </c>
      <c r="E44" s="1215"/>
      <c r="F44" s="1215"/>
      <c r="G44" s="1215">
        <f>G45</f>
        <v>10000</v>
      </c>
      <c r="H44" s="1215"/>
      <c r="I44" s="1216"/>
      <c r="J44" s="329"/>
      <c r="K44" s="329"/>
    </row>
    <row r="45" spans="1:10" s="330" customFormat="1" ht="26.25" customHeight="1">
      <c r="A45" s="993"/>
      <c r="B45" s="70"/>
      <c r="C45" s="184">
        <v>2030</v>
      </c>
      <c r="D45" s="338" t="s">
        <v>68</v>
      </c>
      <c r="E45" s="1218"/>
      <c r="F45" s="1218"/>
      <c r="G45" s="1218">
        <v>10000</v>
      </c>
      <c r="H45" s="1218"/>
      <c r="I45" s="1219"/>
      <c r="J45" s="329"/>
    </row>
    <row r="46" spans="1:10" s="330" customFormat="1" ht="30.75" customHeight="1" thickBot="1">
      <c r="A46" s="1028"/>
      <c r="B46" s="1028"/>
      <c r="C46" s="840"/>
      <c r="D46" s="1029" t="s">
        <v>209</v>
      </c>
      <c r="E46" s="977" t="e">
        <f>E47+#REF!</f>
        <v>#REF!</v>
      </c>
      <c r="F46" s="977">
        <f>F47+F55</f>
        <v>3343500</v>
      </c>
      <c r="G46" s="977">
        <f>G47+G55+G51</f>
        <v>191638</v>
      </c>
      <c r="H46" s="977"/>
      <c r="I46" s="977"/>
      <c r="J46" s="329"/>
    </row>
    <row r="47" spans="1:10" s="330" customFormat="1" ht="18.75" customHeight="1" thickTop="1">
      <c r="A47" s="1030" t="s">
        <v>862</v>
      </c>
      <c r="B47" s="799"/>
      <c r="C47" s="1031"/>
      <c r="D47" s="1032" t="s">
        <v>863</v>
      </c>
      <c r="E47" s="162"/>
      <c r="F47" s="162"/>
      <c r="G47" s="162">
        <f>G48</f>
        <v>4573</v>
      </c>
      <c r="H47" s="980"/>
      <c r="I47" s="1033"/>
      <c r="J47" s="329"/>
    </row>
    <row r="48" spans="1:10" s="988" customFormat="1" ht="19.5" customHeight="1">
      <c r="A48" s="982"/>
      <c r="B48" s="1545" t="s">
        <v>896</v>
      </c>
      <c r="C48" s="984"/>
      <c r="D48" s="822" t="s">
        <v>646</v>
      </c>
      <c r="E48" s="985"/>
      <c r="F48" s="986"/>
      <c r="G48" s="986">
        <f>G49</f>
        <v>4573</v>
      </c>
      <c r="H48" s="986"/>
      <c r="I48" s="986"/>
      <c r="J48" s="987"/>
    </row>
    <row r="49" spans="1:10" s="330" customFormat="1" ht="25.5" customHeight="1">
      <c r="A49" s="989"/>
      <c r="B49" s="960"/>
      <c r="C49" s="954"/>
      <c r="D49" s="653" t="s">
        <v>414</v>
      </c>
      <c r="E49" s="991"/>
      <c r="F49" s="992"/>
      <c r="G49" s="992">
        <f>G50</f>
        <v>4573</v>
      </c>
      <c r="H49" s="992"/>
      <c r="I49" s="992"/>
      <c r="J49" s="329"/>
    </row>
    <row r="50" spans="1:10" s="330" customFormat="1" ht="25.5" customHeight="1">
      <c r="A50" s="993"/>
      <c r="B50" s="993"/>
      <c r="C50" s="1034">
        <v>2010</v>
      </c>
      <c r="D50" s="1035" t="s">
        <v>492</v>
      </c>
      <c r="E50" s="1036"/>
      <c r="F50" s="1037"/>
      <c r="G50" s="1037">
        <v>4573</v>
      </c>
      <c r="H50" s="1037"/>
      <c r="I50" s="1037"/>
      <c r="J50" s="329"/>
    </row>
    <row r="51" spans="1:10" s="330" customFormat="1" ht="18.75" customHeight="1">
      <c r="A51" s="129">
        <v>851</v>
      </c>
      <c r="B51" s="129"/>
      <c r="C51" s="177"/>
      <c r="D51" s="77" t="s">
        <v>650</v>
      </c>
      <c r="E51" s="162"/>
      <c r="F51" s="162"/>
      <c r="G51" s="162">
        <f>G52</f>
        <v>3297</v>
      </c>
      <c r="H51" s="980"/>
      <c r="I51" s="981"/>
      <c r="J51" s="329"/>
    </row>
    <row r="52" spans="1:10" s="988" customFormat="1" ht="17.25" customHeight="1">
      <c r="A52" s="179"/>
      <c r="B52" s="1023">
        <v>85195</v>
      </c>
      <c r="C52" s="180"/>
      <c r="D52" s="336" t="s">
        <v>646</v>
      </c>
      <c r="E52" s="985"/>
      <c r="F52" s="986"/>
      <c r="G52" s="986">
        <f>G53</f>
        <v>3297</v>
      </c>
      <c r="H52" s="986"/>
      <c r="I52" s="986"/>
      <c r="J52" s="987"/>
    </row>
    <row r="53" spans="1:10" s="330" customFormat="1" ht="27.75" customHeight="1">
      <c r="A53" s="130"/>
      <c r="B53" s="61"/>
      <c r="C53" s="152"/>
      <c r="D53" s="653" t="s">
        <v>70</v>
      </c>
      <c r="E53" s="991"/>
      <c r="F53" s="992"/>
      <c r="G53" s="992">
        <f>G54</f>
        <v>3297</v>
      </c>
      <c r="H53" s="992"/>
      <c r="I53" s="992"/>
      <c r="J53" s="329"/>
    </row>
    <row r="54" spans="1:10" s="330" customFormat="1" ht="25.5" customHeight="1">
      <c r="A54" s="70"/>
      <c r="B54" s="70"/>
      <c r="C54" s="1024">
        <v>2010</v>
      </c>
      <c r="D54" s="1025" t="s">
        <v>492</v>
      </c>
      <c r="E54" s="1036"/>
      <c r="F54" s="1037"/>
      <c r="G54" s="1037">
        <v>3297</v>
      </c>
      <c r="H54" s="1037"/>
      <c r="I54" s="1037"/>
      <c r="J54" s="329"/>
    </row>
    <row r="55" spans="1:10" s="330" customFormat="1" ht="18.75" customHeight="1">
      <c r="A55" s="1030">
        <v>852</v>
      </c>
      <c r="B55" s="799"/>
      <c r="C55" s="1031"/>
      <c r="D55" s="161" t="s">
        <v>648</v>
      </c>
      <c r="E55" s="162"/>
      <c r="F55" s="162">
        <f>F63+F60+F56+F66</f>
        <v>3343500</v>
      </c>
      <c r="G55" s="162">
        <f>G56+G63+G66</f>
        <v>183768</v>
      </c>
      <c r="H55" s="980"/>
      <c r="I55" s="981"/>
      <c r="J55" s="329"/>
    </row>
    <row r="56" spans="1:10" s="988" customFormat="1" ht="19.5" customHeight="1">
      <c r="A56" s="982"/>
      <c r="B56" s="1023">
        <v>85203</v>
      </c>
      <c r="C56" s="180"/>
      <c r="D56" s="336" t="s">
        <v>73</v>
      </c>
      <c r="E56" s="985"/>
      <c r="F56" s="986"/>
      <c r="G56" s="986">
        <f>G57</f>
        <v>3000</v>
      </c>
      <c r="H56" s="986"/>
      <c r="I56" s="986"/>
      <c r="J56" s="987"/>
    </row>
    <row r="57" spans="1:10" s="330" customFormat="1" ht="25.5" customHeight="1">
      <c r="A57" s="989"/>
      <c r="B57" s="61"/>
      <c r="C57" s="152"/>
      <c r="D57" s="653" t="s">
        <v>63</v>
      </c>
      <c r="E57" s="991"/>
      <c r="F57" s="992"/>
      <c r="G57" s="992">
        <f>G58</f>
        <v>3000</v>
      </c>
      <c r="H57" s="992"/>
      <c r="I57" s="992"/>
      <c r="J57" s="329"/>
    </row>
    <row r="58" spans="1:10" s="330" customFormat="1" ht="25.5" customHeight="1">
      <c r="A58" s="993"/>
      <c r="B58" s="70"/>
      <c r="C58" s="1547">
        <v>2010</v>
      </c>
      <c r="D58" s="1533" t="s">
        <v>492</v>
      </c>
      <c r="E58" s="1387"/>
      <c r="F58" s="1388"/>
      <c r="G58" s="1388">
        <v>3000</v>
      </c>
      <c r="H58" s="1388"/>
      <c r="I58" s="1388"/>
      <c r="J58" s="329"/>
    </row>
    <row r="59" spans="1:10" s="330" customFormat="1" ht="25.5" customHeight="1">
      <c r="A59" s="1391"/>
      <c r="B59" s="1287"/>
      <c r="C59" s="1517"/>
      <c r="D59" s="1535"/>
      <c r="E59" s="1299"/>
      <c r="F59" s="1392"/>
      <c r="G59" s="1392"/>
      <c r="H59" s="1392"/>
      <c r="I59" s="1392"/>
      <c r="J59" s="329"/>
    </row>
    <row r="60" spans="1:10" s="988" customFormat="1" ht="27.75" customHeight="1">
      <c r="A60" s="989"/>
      <c r="B60" s="1023">
        <v>85212</v>
      </c>
      <c r="C60" s="180"/>
      <c r="D60" s="336" t="s">
        <v>415</v>
      </c>
      <c r="E60" s="1212"/>
      <c r="F60" s="1390">
        <f>F61</f>
        <v>2643500</v>
      </c>
      <c r="G60" s="1390"/>
      <c r="H60" s="1390"/>
      <c r="I60" s="1390"/>
      <c r="J60" s="987"/>
    </row>
    <row r="61" spans="1:10" s="330" customFormat="1" ht="27" customHeight="1">
      <c r="A61" s="989"/>
      <c r="B61" s="61"/>
      <c r="C61" s="152"/>
      <c r="D61" s="653" t="s">
        <v>416</v>
      </c>
      <c r="E61" s="991"/>
      <c r="F61" s="992">
        <f>F62</f>
        <v>2643500</v>
      </c>
      <c r="G61" s="992"/>
      <c r="H61" s="992"/>
      <c r="I61" s="992"/>
      <c r="J61" s="329"/>
    </row>
    <row r="62" spans="1:10" s="330" customFormat="1" ht="24.75" customHeight="1">
      <c r="A62" s="993"/>
      <c r="B62" s="71"/>
      <c r="C62" s="1024">
        <v>2010</v>
      </c>
      <c r="D62" s="1025" t="s">
        <v>389</v>
      </c>
      <c r="E62" s="1387"/>
      <c r="F62" s="677">
        <v>2643500</v>
      </c>
      <c r="G62" s="1388"/>
      <c r="H62" s="1388"/>
      <c r="I62" s="1388"/>
      <c r="J62" s="329"/>
    </row>
    <row r="63" spans="1:10" s="988" customFormat="1" ht="27.75" customHeight="1">
      <c r="A63" s="989"/>
      <c r="B63" s="1026">
        <v>85214</v>
      </c>
      <c r="C63" s="63"/>
      <c r="D63" s="1106" t="s">
        <v>66</v>
      </c>
      <c r="E63" s="985"/>
      <c r="F63" s="986">
        <f>F64</f>
        <v>700000</v>
      </c>
      <c r="G63" s="986"/>
      <c r="H63" s="986"/>
      <c r="I63" s="986"/>
      <c r="J63" s="987"/>
    </row>
    <row r="64" spans="1:10" s="330" customFormat="1" ht="27" customHeight="1">
      <c r="A64" s="989"/>
      <c r="B64" s="61"/>
      <c r="C64" s="152"/>
      <c r="D64" s="653" t="s">
        <v>67</v>
      </c>
      <c r="E64" s="991"/>
      <c r="F64" s="992">
        <f>F65</f>
        <v>700000</v>
      </c>
      <c r="G64" s="992"/>
      <c r="H64" s="992"/>
      <c r="I64" s="992"/>
      <c r="J64" s="329"/>
    </row>
    <row r="65" spans="1:10" s="330" customFormat="1" ht="24.75" customHeight="1">
      <c r="A65" s="993"/>
      <c r="B65" s="71"/>
      <c r="C65" s="1024">
        <v>2010</v>
      </c>
      <c r="D65" s="1025" t="s">
        <v>389</v>
      </c>
      <c r="E65" s="1387"/>
      <c r="F65" s="677">
        <v>700000</v>
      </c>
      <c r="G65" s="1037"/>
      <c r="H65" s="1037"/>
      <c r="I65" s="1037"/>
      <c r="J65" s="329"/>
    </row>
    <row r="66" spans="1:10" s="988" customFormat="1" ht="20.25" customHeight="1">
      <c r="A66" s="989"/>
      <c r="B66" s="1389">
        <v>85278</v>
      </c>
      <c r="C66" s="63"/>
      <c r="D66" s="1106" t="s">
        <v>74</v>
      </c>
      <c r="E66" s="1212"/>
      <c r="F66" s="1390"/>
      <c r="G66" s="1390">
        <f>G67</f>
        <v>180768</v>
      </c>
      <c r="H66" s="1390"/>
      <c r="I66" s="1390"/>
      <c r="J66" s="987"/>
    </row>
    <row r="67" spans="1:10" s="330" customFormat="1" ht="27" customHeight="1">
      <c r="A67" s="989"/>
      <c r="B67" s="151"/>
      <c r="C67" s="147"/>
      <c r="D67" s="860" t="s">
        <v>417</v>
      </c>
      <c r="E67" s="991"/>
      <c r="F67" s="992"/>
      <c r="G67" s="992">
        <f>G68</f>
        <v>180768</v>
      </c>
      <c r="H67" s="992"/>
      <c r="I67" s="992"/>
      <c r="J67" s="329"/>
    </row>
    <row r="68" spans="1:10" s="330" customFormat="1" ht="22.5" customHeight="1">
      <c r="A68" s="993"/>
      <c r="B68" s="125"/>
      <c r="C68" s="231">
        <v>2010</v>
      </c>
      <c r="D68" s="232" t="s">
        <v>71</v>
      </c>
      <c r="E68" s="1036"/>
      <c r="F68" s="1037"/>
      <c r="G68" s="1037">
        <v>180768</v>
      </c>
      <c r="H68" s="1037"/>
      <c r="I68" s="1037"/>
      <c r="J68" s="329"/>
    </row>
    <row r="69" spans="1:10" s="330" customFormat="1" ht="19.5" customHeight="1" thickBot="1">
      <c r="A69" s="839"/>
      <c r="B69" s="839"/>
      <c r="C69" s="840"/>
      <c r="D69" s="997" t="s">
        <v>311</v>
      </c>
      <c r="E69" s="998"/>
      <c r="F69" s="998">
        <f>F70+F93</f>
        <v>26606</v>
      </c>
      <c r="G69" s="998">
        <f>G70+G93</f>
        <v>438745</v>
      </c>
      <c r="H69" s="999"/>
      <c r="I69" s="999"/>
      <c r="J69" s="329"/>
    </row>
    <row r="70" spans="1:10" s="22" customFormat="1" ht="24" customHeight="1" thickBot="1">
      <c r="A70" s="70"/>
      <c r="B70" s="70"/>
      <c r="C70" s="70"/>
      <c r="D70" s="175" t="s">
        <v>216</v>
      </c>
      <c r="E70" s="56"/>
      <c r="F70" s="56"/>
      <c r="G70" s="56">
        <f>G78+G71+G89</f>
        <v>238692</v>
      </c>
      <c r="H70" s="82"/>
      <c r="I70" s="82"/>
      <c r="J70" s="47"/>
    </row>
    <row r="71" spans="1:10" s="22" customFormat="1" ht="18.75" customHeight="1" thickTop="1">
      <c r="A71" s="129">
        <v>801</v>
      </c>
      <c r="B71" s="57"/>
      <c r="C71" s="177"/>
      <c r="D71" s="161" t="s">
        <v>647</v>
      </c>
      <c r="E71" s="1012"/>
      <c r="F71" s="1012"/>
      <c r="G71" s="1012">
        <f>G75+G72</f>
        <v>16062</v>
      </c>
      <c r="H71" s="1013"/>
      <c r="I71" s="1014"/>
      <c r="J71" s="47"/>
    </row>
    <row r="72" spans="1:10" s="163" customFormat="1" ht="19.5" customHeight="1">
      <c r="A72" s="130"/>
      <c r="B72" s="159">
        <v>80102</v>
      </c>
      <c r="C72" s="180"/>
      <c r="D72" s="336" t="s">
        <v>271</v>
      </c>
      <c r="E72" s="1015"/>
      <c r="F72" s="1016"/>
      <c r="G72" s="1016">
        <f>G73</f>
        <v>1462</v>
      </c>
      <c r="H72" s="1016"/>
      <c r="I72" s="1016"/>
      <c r="J72" s="93"/>
    </row>
    <row r="73" spans="1:10" s="22" customFormat="1" ht="25.5" customHeight="1">
      <c r="A73" s="130"/>
      <c r="B73" s="61"/>
      <c r="C73" s="152"/>
      <c r="D73" s="337" t="s">
        <v>464</v>
      </c>
      <c r="E73" s="1017"/>
      <c r="F73" s="1018"/>
      <c r="G73" s="1018">
        <f>G74</f>
        <v>1462</v>
      </c>
      <c r="H73" s="1018"/>
      <c r="I73" s="1018"/>
      <c r="J73" s="47"/>
    </row>
    <row r="74" spans="1:12" s="99" customFormat="1" ht="26.25" customHeight="1">
      <c r="A74" s="70"/>
      <c r="B74" s="71"/>
      <c r="C74" s="184">
        <v>2130</v>
      </c>
      <c r="D74" s="635" t="s">
        <v>64</v>
      </c>
      <c r="E74" s="1020"/>
      <c r="F74" s="677"/>
      <c r="G74" s="677">
        <v>1462</v>
      </c>
      <c r="H74" s="677"/>
      <c r="I74" s="677"/>
      <c r="J74" s="107"/>
      <c r="L74" s="107"/>
    </row>
    <row r="75" spans="1:10" s="163" customFormat="1" ht="19.5" customHeight="1">
      <c r="A75" s="130"/>
      <c r="B75" s="159">
        <v>80195</v>
      </c>
      <c r="C75" s="180"/>
      <c r="D75" s="336" t="s">
        <v>646</v>
      </c>
      <c r="E75" s="1015"/>
      <c r="F75" s="1016"/>
      <c r="G75" s="1016">
        <f>G76</f>
        <v>14600</v>
      </c>
      <c r="H75" s="1016"/>
      <c r="I75" s="1016"/>
      <c r="J75" s="93"/>
    </row>
    <row r="76" spans="1:10" s="22" customFormat="1" ht="25.5" customHeight="1">
      <c r="A76" s="130"/>
      <c r="B76" s="61"/>
      <c r="C76" s="152"/>
      <c r="D76" s="337" t="s">
        <v>11</v>
      </c>
      <c r="E76" s="1017"/>
      <c r="F76" s="1018"/>
      <c r="G76" s="1018">
        <f>G77</f>
        <v>14600</v>
      </c>
      <c r="H76" s="1018"/>
      <c r="I76" s="1018"/>
      <c r="J76" s="47"/>
    </row>
    <row r="77" spans="1:12" s="99" customFormat="1" ht="26.25" customHeight="1">
      <c r="A77" s="70"/>
      <c r="B77" s="71"/>
      <c r="C77" s="184">
        <v>2130</v>
      </c>
      <c r="D77" s="635" t="s">
        <v>64</v>
      </c>
      <c r="E77" s="1020"/>
      <c r="F77" s="677"/>
      <c r="G77" s="677">
        <f>3000+11600</f>
        <v>14600</v>
      </c>
      <c r="H77" s="677"/>
      <c r="I77" s="677"/>
      <c r="J77" s="107"/>
      <c r="L77" s="107"/>
    </row>
    <row r="78" spans="1:10" s="22" customFormat="1" ht="18.75" customHeight="1">
      <c r="A78" s="129">
        <v>852</v>
      </c>
      <c r="B78" s="57"/>
      <c r="C78" s="177"/>
      <c r="D78" s="77" t="s">
        <v>648</v>
      </c>
      <c r="E78" s="1012"/>
      <c r="F78" s="1012"/>
      <c r="G78" s="1012">
        <f>G86+G79+G82</f>
        <v>179430</v>
      </c>
      <c r="H78" s="1013"/>
      <c r="I78" s="1098"/>
      <c r="J78" s="47"/>
    </row>
    <row r="79" spans="1:10" s="163" customFormat="1" ht="19.5" customHeight="1">
      <c r="A79" s="130"/>
      <c r="B79" s="159">
        <v>85201</v>
      </c>
      <c r="C79" s="180"/>
      <c r="D79" s="336" t="s">
        <v>298</v>
      </c>
      <c r="E79" s="1015"/>
      <c r="F79" s="1016"/>
      <c r="G79" s="181">
        <f>G80</f>
        <v>77680</v>
      </c>
      <c r="H79" s="1016"/>
      <c r="I79" s="1016"/>
      <c r="J79" s="93"/>
    </row>
    <row r="80" spans="1:10" s="22" customFormat="1" ht="25.5" customHeight="1">
      <c r="A80" s="130"/>
      <c r="B80" s="61"/>
      <c r="C80" s="152"/>
      <c r="D80" s="337" t="s">
        <v>12</v>
      </c>
      <c r="E80" s="1017"/>
      <c r="F80" s="1018"/>
      <c r="G80" s="182">
        <v>77680</v>
      </c>
      <c r="H80" s="1018"/>
      <c r="I80" s="1018"/>
      <c r="J80" s="47"/>
    </row>
    <row r="81" spans="1:12" s="99" customFormat="1" ht="26.25" customHeight="1">
      <c r="A81" s="70"/>
      <c r="B81" s="71"/>
      <c r="C81" s="184">
        <v>6430</v>
      </c>
      <c r="D81" s="635" t="s">
        <v>892</v>
      </c>
      <c r="E81" s="1020"/>
      <c r="F81" s="677"/>
      <c r="G81" s="677">
        <v>77680</v>
      </c>
      <c r="H81" s="677"/>
      <c r="I81" s="677"/>
      <c r="J81" s="107"/>
      <c r="L81" s="107"/>
    </row>
    <row r="82" spans="1:10" s="163" customFormat="1" ht="19.5" customHeight="1">
      <c r="A82" s="130"/>
      <c r="B82" s="159">
        <v>85202</v>
      </c>
      <c r="C82" s="180"/>
      <c r="D82" s="336" t="s">
        <v>220</v>
      </c>
      <c r="E82" s="1015"/>
      <c r="F82" s="1016"/>
      <c r="G82" s="181">
        <f>G83</f>
        <v>100000</v>
      </c>
      <c r="H82" s="1016"/>
      <c r="I82" s="1016"/>
      <c r="J82" s="93"/>
    </row>
    <row r="83" spans="1:10" s="22" customFormat="1" ht="25.5" customHeight="1">
      <c r="A83" s="130"/>
      <c r="B83" s="61"/>
      <c r="C83" s="152"/>
      <c r="D83" s="337" t="s">
        <v>10</v>
      </c>
      <c r="E83" s="1017"/>
      <c r="F83" s="1018"/>
      <c r="G83" s="182">
        <f>SUM(G84:G85)</f>
        <v>100000</v>
      </c>
      <c r="H83" s="1018"/>
      <c r="I83" s="1018"/>
      <c r="J83" s="47"/>
    </row>
    <row r="84" spans="1:12" s="99" customFormat="1" ht="26.25" customHeight="1">
      <c r="A84" s="70"/>
      <c r="B84" s="70"/>
      <c r="C84" s="184">
        <v>2130</v>
      </c>
      <c r="D84" s="635" t="s">
        <v>64</v>
      </c>
      <c r="E84" s="1020"/>
      <c r="F84" s="677"/>
      <c r="G84" s="677">
        <v>55000</v>
      </c>
      <c r="H84" s="677"/>
      <c r="I84" s="677"/>
      <c r="J84" s="107"/>
      <c r="L84" s="107"/>
    </row>
    <row r="85" spans="1:12" s="99" customFormat="1" ht="26.25" customHeight="1">
      <c r="A85" s="71"/>
      <c r="B85" s="71"/>
      <c r="C85" s="184">
        <v>6430</v>
      </c>
      <c r="D85" s="635" t="s">
        <v>892</v>
      </c>
      <c r="E85" s="1020"/>
      <c r="F85" s="677"/>
      <c r="G85" s="677">
        <v>45000</v>
      </c>
      <c r="H85" s="677"/>
      <c r="I85" s="677"/>
      <c r="J85" s="107"/>
      <c r="L85" s="107"/>
    </row>
    <row r="86" spans="1:10" s="163" customFormat="1" ht="27" customHeight="1">
      <c r="A86" s="130"/>
      <c r="B86" s="159">
        <v>85220</v>
      </c>
      <c r="C86" s="180"/>
      <c r="D86" s="1343" t="s">
        <v>586</v>
      </c>
      <c r="E86" s="181"/>
      <c r="F86" s="1546"/>
      <c r="G86" s="1546">
        <f>G87</f>
        <v>1750</v>
      </c>
      <c r="H86" s="1546"/>
      <c r="I86" s="1546"/>
      <c r="J86" s="93"/>
    </row>
    <row r="87" spans="1:10" s="22" customFormat="1" ht="25.5" customHeight="1">
      <c r="A87" s="130"/>
      <c r="B87" s="61"/>
      <c r="C87" s="152"/>
      <c r="D87" s="337" t="s">
        <v>63</v>
      </c>
      <c r="E87" s="1017"/>
      <c r="F87" s="1018"/>
      <c r="G87" s="182">
        <f>G88</f>
        <v>1750</v>
      </c>
      <c r="H87" s="1018"/>
      <c r="I87" s="1018"/>
      <c r="J87" s="47"/>
    </row>
    <row r="88" spans="1:12" s="99" customFormat="1" ht="26.25" customHeight="1">
      <c r="A88" s="70"/>
      <c r="B88" s="70"/>
      <c r="C88" s="184">
        <v>2130</v>
      </c>
      <c r="D88" s="635" t="s">
        <v>64</v>
      </c>
      <c r="E88" s="1020"/>
      <c r="F88" s="677"/>
      <c r="G88" s="677">
        <v>1750</v>
      </c>
      <c r="H88" s="677"/>
      <c r="I88" s="677"/>
      <c r="J88" s="107"/>
      <c r="L88" s="107"/>
    </row>
    <row r="89" spans="1:10" s="22" customFormat="1" ht="18.75" customHeight="1">
      <c r="A89" s="129">
        <v>854</v>
      </c>
      <c r="B89" s="57"/>
      <c r="C89" s="177"/>
      <c r="D89" s="77" t="s">
        <v>649</v>
      </c>
      <c r="E89" s="178"/>
      <c r="F89" s="178"/>
      <c r="G89" s="178">
        <f>G90</f>
        <v>43200</v>
      </c>
      <c r="H89" s="1206"/>
      <c r="I89" s="1098"/>
      <c r="J89" s="47"/>
    </row>
    <row r="90" spans="1:10" s="163" customFormat="1" ht="19.5" customHeight="1">
      <c r="A90" s="179"/>
      <c r="B90" s="159">
        <v>85415</v>
      </c>
      <c r="C90" s="180"/>
      <c r="D90" s="62" t="s">
        <v>201</v>
      </c>
      <c r="E90" s="1015"/>
      <c r="F90" s="1016"/>
      <c r="G90" s="1016">
        <f>G91</f>
        <v>43200</v>
      </c>
      <c r="H90" s="1016"/>
      <c r="I90" s="1016"/>
      <c r="J90" s="93"/>
    </row>
    <row r="91" spans="1:10" s="22" customFormat="1" ht="25.5" customHeight="1">
      <c r="A91" s="130"/>
      <c r="B91" s="61"/>
      <c r="C91" s="152"/>
      <c r="D91" s="474" t="s">
        <v>913</v>
      </c>
      <c r="E91" s="1017"/>
      <c r="F91" s="1018"/>
      <c r="G91" s="1018">
        <f>G92</f>
        <v>43200</v>
      </c>
      <c r="H91" s="1018"/>
      <c r="I91" s="1018"/>
      <c r="J91" s="47"/>
    </row>
    <row r="92" spans="1:12" s="99" customFormat="1" ht="26.25" customHeight="1">
      <c r="A92" s="70"/>
      <c r="B92" s="70"/>
      <c r="C92" s="184">
        <v>2130</v>
      </c>
      <c r="D92" s="1019" t="s">
        <v>64</v>
      </c>
      <c r="E92" s="1020"/>
      <c r="F92" s="677"/>
      <c r="G92" s="677">
        <f>12000+31200</f>
        <v>43200</v>
      </c>
      <c r="H92" s="677"/>
      <c r="I92" s="677"/>
      <c r="J92" s="107"/>
      <c r="L92" s="107"/>
    </row>
    <row r="93" spans="1:10" s="330" customFormat="1" ht="31.5" customHeight="1" thickBot="1">
      <c r="A93" s="975"/>
      <c r="B93" s="975"/>
      <c r="C93" s="975"/>
      <c r="D93" s="447" t="s">
        <v>356</v>
      </c>
      <c r="E93" s="976"/>
      <c r="F93" s="976">
        <f>F101+F94</f>
        <v>26606</v>
      </c>
      <c r="G93" s="976">
        <f>G101+G94+G116+G108+G112</f>
        <v>200053</v>
      </c>
      <c r="H93" s="977"/>
      <c r="I93" s="977"/>
      <c r="J93" s="329"/>
    </row>
    <row r="94" spans="1:10" s="330" customFormat="1" ht="19.5" customHeight="1" thickTop="1">
      <c r="A94" s="573">
        <v>710</v>
      </c>
      <c r="B94" s="317"/>
      <c r="C94" s="574"/>
      <c r="D94" s="441" t="s">
        <v>258</v>
      </c>
      <c r="E94" s="162"/>
      <c r="F94" s="162">
        <f>F98</f>
        <v>11337</v>
      </c>
      <c r="G94" s="162">
        <f>G95+G98</f>
        <v>14337</v>
      </c>
      <c r="H94" s="980"/>
      <c r="I94" s="981"/>
      <c r="J94" s="329"/>
    </row>
    <row r="95" spans="1:10" s="988" customFormat="1" ht="19.5" customHeight="1">
      <c r="A95" s="179"/>
      <c r="B95" s="159">
        <v>71015</v>
      </c>
      <c r="C95" s="180"/>
      <c r="D95" s="160" t="s">
        <v>79</v>
      </c>
      <c r="E95" s="985"/>
      <c r="F95" s="986"/>
      <c r="G95" s="986">
        <f>G96</f>
        <v>14337</v>
      </c>
      <c r="H95" s="986"/>
      <c r="I95" s="986"/>
      <c r="J95" s="987"/>
    </row>
    <row r="96" spans="1:10" s="330" customFormat="1" ht="27" customHeight="1">
      <c r="A96" s="130"/>
      <c r="B96" s="61"/>
      <c r="C96" s="152"/>
      <c r="D96" s="657" t="s">
        <v>80</v>
      </c>
      <c r="E96" s="991"/>
      <c r="F96" s="992"/>
      <c r="G96" s="992">
        <f>G97</f>
        <v>14337</v>
      </c>
      <c r="H96" s="992"/>
      <c r="I96" s="992"/>
      <c r="J96" s="329"/>
    </row>
    <row r="97" spans="1:12" s="798" customFormat="1" ht="38.25" customHeight="1">
      <c r="A97" s="70"/>
      <c r="B97" s="71"/>
      <c r="C97" s="184">
        <v>2110</v>
      </c>
      <c r="D97" s="754" t="s">
        <v>888</v>
      </c>
      <c r="E97" s="996"/>
      <c r="F97" s="863"/>
      <c r="G97" s="863">
        <v>14337</v>
      </c>
      <c r="H97" s="863"/>
      <c r="I97" s="863"/>
      <c r="J97" s="797"/>
      <c r="L97" s="797"/>
    </row>
    <row r="98" spans="1:10" s="988" customFormat="1" ht="19.5" customHeight="1">
      <c r="A98" s="130"/>
      <c r="B98" s="159">
        <v>71095</v>
      </c>
      <c r="C98" s="180"/>
      <c r="D98" s="160" t="s">
        <v>646</v>
      </c>
      <c r="E98" s="985"/>
      <c r="F98" s="986">
        <f>F99</f>
        <v>11337</v>
      </c>
      <c r="G98" s="986"/>
      <c r="H98" s="986"/>
      <c r="I98" s="986"/>
      <c r="J98" s="987"/>
    </row>
    <row r="99" spans="1:10" s="330" customFormat="1" ht="24.75" customHeight="1">
      <c r="A99" s="130"/>
      <c r="B99" s="61"/>
      <c r="C99" s="152"/>
      <c r="D99" s="657" t="s">
        <v>81</v>
      </c>
      <c r="E99" s="991"/>
      <c r="F99" s="992">
        <f>F100</f>
        <v>11337</v>
      </c>
      <c r="G99" s="992"/>
      <c r="H99" s="992"/>
      <c r="I99" s="992"/>
      <c r="J99" s="329"/>
    </row>
    <row r="100" spans="1:12" s="798" customFormat="1" ht="38.25" customHeight="1">
      <c r="A100" s="71"/>
      <c r="B100" s="71"/>
      <c r="C100" s="184">
        <v>2110</v>
      </c>
      <c r="D100" s="754" t="s">
        <v>888</v>
      </c>
      <c r="E100" s="996"/>
      <c r="F100" s="863">
        <v>11337</v>
      </c>
      <c r="G100" s="863"/>
      <c r="H100" s="863"/>
      <c r="I100" s="863"/>
      <c r="J100" s="797"/>
      <c r="L100" s="797"/>
    </row>
    <row r="101" spans="1:10" s="330" customFormat="1" ht="19.5" customHeight="1">
      <c r="A101" s="978">
        <v>750</v>
      </c>
      <c r="B101" s="925"/>
      <c r="C101" s="979"/>
      <c r="D101" s="441" t="s">
        <v>651</v>
      </c>
      <c r="E101" s="162"/>
      <c r="F101" s="162">
        <f>F105</f>
        <v>15269</v>
      </c>
      <c r="G101" s="162">
        <f>G102</f>
        <v>15269</v>
      </c>
      <c r="H101" s="980"/>
      <c r="I101" s="981"/>
      <c r="J101" s="329"/>
    </row>
    <row r="102" spans="1:10" s="988" customFormat="1" ht="19.5" customHeight="1">
      <c r="A102" s="982"/>
      <c r="B102" s="159">
        <v>75011</v>
      </c>
      <c r="C102" s="180"/>
      <c r="D102" s="160" t="s">
        <v>77</v>
      </c>
      <c r="E102" s="985"/>
      <c r="F102" s="986"/>
      <c r="G102" s="986">
        <f>G103</f>
        <v>15269</v>
      </c>
      <c r="H102" s="986"/>
      <c r="I102" s="986"/>
      <c r="J102" s="987"/>
    </row>
    <row r="103" spans="1:10" s="330" customFormat="1" ht="27" customHeight="1">
      <c r="A103" s="989"/>
      <c r="B103" s="61"/>
      <c r="C103" s="152"/>
      <c r="D103" s="657" t="s">
        <v>78</v>
      </c>
      <c r="E103" s="991"/>
      <c r="F103" s="992"/>
      <c r="G103" s="992">
        <f>G104</f>
        <v>15269</v>
      </c>
      <c r="H103" s="992"/>
      <c r="I103" s="992"/>
      <c r="J103" s="329"/>
    </row>
    <row r="104" spans="1:12" s="798" customFormat="1" ht="38.25" customHeight="1">
      <c r="A104" s="993"/>
      <c r="B104" s="71"/>
      <c r="C104" s="184">
        <v>2110</v>
      </c>
      <c r="D104" s="754" t="s">
        <v>888</v>
      </c>
      <c r="E104" s="996"/>
      <c r="F104" s="863"/>
      <c r="G104" s="863">
        <v>15269</v>
      </c>
      <c r="H104" s="863"/>
      <c r="I104" s="863"/>
      <c r="J104" s="797"/>
      <c r="L104" s="797"/>
    </row>
    <row r="105" spans="1:10" s="988" customFormat="1" ht="19.5" customHeight="1">
      <c r="A105" s="989"/>
      <c r="B105" s="983">
        <v>75045</v>
      </c>
      <c r="C105" s="984"/>
      <c r="D105" s="160" t="s">
        <v>886</v>
      </c>
      <c r="E105" s="985"/>
      <c r="F105" s="986">
        <f>F106</f>
        <v>15269</v>
      </c>
      <c r="G105" s="986"/>
      <c r="H105" s="986"/>
      <c r="I105" s="986"/>
      <c r="J105" s="987"/>
    </row>
    <row r="106" spans="1:10" s="330" customFormat="1" ht="17.25" customHeight="1">
      <c r="A106" s="989"/>
      <c r="B106" s="960"/>
      <c r="C106" s="954"/>
      <c r="D106" s="990" t="s">
        <v>887</v>
      </c>
      <c r="E106" s="991"/>
      <c r="F106" s="992">
        <f>F107</f>
        <v>15269</v>
      </c>
      <c r="G106" s="992"/>
      <c r="H106" s="992"/>
      <c r="I106" s="992"/>
      <c r="J106" s="329"/>
    </row>
    <row r="107" spans="1:12" s="798" customFormat="1" ht="38.25" customHeight="1">
      <c r="A107" s="975"/>
      <c r="B107" s="975"/>
      <c r="C107" s="994">
        <v>2110</v>
      </c>
      <c r="D107" s="995" t="s">
        <v>888</v>
      </c>
      <c r="E107" s="996"/>
      <c r="F107" s="863">
        <v>15269</v>
      </c>
      <c r="G107" s="863"/>
      <c r="H107" s="863"/>
      <c r="I107" s="863"/>
      <c r="J107" s="797"/>
      <c r="L107" s="797"/>
    </row>
    <row r="108" spans="1:10" s="330" customFormat="1" ht="19.5" customHeight="1">
      <c r="A108" s="573">
        <v>754</v>
      </c>
      <c r="B108" s="317"/>
      <c r="C108" s="574"/>
      <c r="D108" s="441" t="s">
        <v>641</v>
      </c>
      <c r="E108" s="162"/>
      <c r="F108" s="162"/>
      <c r="G108" s="162">
        <f>G109</f>
        <v>21200</v>
      </c>
      <c r="H108" s="980"/>
      <c r="I108" s="981"/>
      <c r="J108" s="329"/>
    </row>
    <row r="109" spans="1:10" s="988" customFormat="1" ht="19.5" customHeight="1">
      <c r="A109" s="179"/>
      <c r="B109" s="159">
        <v>75411</v>
      </c>
      <c r="C109" s="180"/>
      <c r="D109" s="160" t="s">
        <v>806</v>
      </c>
      <c r="E109" s="985"/>
      <c r="F109" s="986"/>
      <c r="G109" s="986">
        <f>G110</f>
        <v>21200</v>
      </c>
      <c r="H109" s="986"/>
      <c r="I109" s="986"/>
      <c r="J109" s="987"/>
    </row>
    <row r="110" spans="1:10" s="330" customFormat="1" ht="27" customHeight="1">
      <c r="A110" s="1361"/>
      <c r="B110" s="159"/>
      <c r="C110" s="131"/>
      <c r="D110" s="1362" t="s">
        <v>900</v>
      </c>
      <c r="E110" s="1549"/>
      <c r="F110" s="1550"/>
      <c r="G110" s="1550">
        <f>G111</f>
        <v>21200</v>
      </c>
      <c r="H110" s="1550"/>
      <c r="I110" s="1550"/>
      <c r="J110" s="329"/>
    </row>
    <row r="111" spans="1:12" s="798" customFormat="1" ht="38.25" customHeight="1">
      <c r="A111" s="71"/>
      <c r="B111" s="71"/>
      <c r="C111" s="184">
        <v>2110</v>
      </c>
      <c r="D111" s="754" t="s">
        <v>888</v>
      </c>
      <c r="E111" s="1548"/>
      <c r="F111" s="121"/>
      <c r="G111" s="121">
        <v>21200</v>
      </c>
      <c r="H111" s="121"/>
      <c r="I111" s="121"/>
      <c r="J111" s="797"/>
      <c r="L111" s="797"/>
    </row>
    <row r="112" spans="1:10" s="22" customFormat="1" ht="18.75" customHeight="1">
      <c r="A112" s="129">
        <v>851</v>
      </c>
      <c r="B112" s="57"/>
      <c r="C112" s="177"/>
      <c r="D112" s="77" t="s">
        <v>650</v>
      </c>
      <c r="E112" s="178"/>
      <c r="F112" s="178"/>
      <c r="G112" s="178">
        <f>G113</f>
        <v>120000</v>
      </c>
      <c r="H112" s="1206"/>
      <c r="I112" s="1098"/>
      <c r="J112" s="47"/>
    </row>
    <row r="113" spans="1:10" s="163" customFormat="1" ht="19.5" customHeight="1">
      <c r="A113" s="179"/>
      <c r="B113" s="159">
        <v>85141</v>
      </c>
      <c r="C113" s="180"/>
      <c r="D113" s="62" t="s">
        <v>891</v>
      </c>
      <c r="E113" s="1015"/>
      <c r="F113" s="1016"/>
      <c r="G113" s="1016">
        <f>G114</f>
        <v>120000</v>
      </c>
      <c r="H113" s="1016"/>
      <c r="I113" s="1016"/>
      <c r="J113" s="93"/>
    </row>
    <row r="114" spans="1:10" s="22" customFormat="1" ht="25.5" customHeight="1">
      <c r="A114" s="130"/>
      <c r="B114" s="61"/>
      <c r="C114" s="152"/>
      <c r="D114" s="653" t="s">
        <v>874</v>
      </c>
      <c r="E114" s="1017"/>
      <c r="F114" s="1018"/>
      <c r="G114" s="1018">
        <f>G115</f>
        <v>120000</v>
      </c>
      <c r="H114" s="1018"/>
      <c r="I114" s="1018"/>
      <c r="J114" s="47"/>
    </row>
    <row r="115" spans="1:12" s="99" customFormat="1" ht="36.75" customHeight="1">
      <c r="A115" s="71"/>
      <c r="B115" s="71"/>
      <c r="C115" s="184">
        <v>6410</v>
      </c>
      <c r="D115" s="635" t="s">
        <v>418</v>
      </c>
      <c r="E115" s="1020"/>
      <c r="F115" s="677"/>
      <c r="G115" s="677">
        <v>120000</v>
      </c>
      <c r="H115" s="677"/>
      <c r="I115" s="677"/>
      <c r="J115" s="107"/>
      <c r="L115" s="107"/>
    </row>
    <row r="116" spans="1:10" s="330" customFormat="1" ht="19.5" customHeight="1">
      <c r="A116" s="978">
        <v>853</v>
      </c>
      <c r="B116" s="925"/>
      <c r="C116" s="979"/>
      <c r="D116" s="441" t="s">
        <v>691</v>
      </c>
      <c r="E116" s="1007"/>
      <c r="F116" s="1007"/>
      <c r="G116" s="1007">
        <f>G117</f>
        <v>29247</v>
      </c>
      <c r="H116" s="1394"/>
      <c r="I116" s="981"/>
      <c r="J116" s="329"/>
    </row>
    <row r="117" spans="1:10" s="988" customFormat="1" ht="19.5" customHeight="1">
      <c r="A117" s="982"/>
      <c r="B117" s="159">
        <v>85334</v>
      </c>
      <c r="C117" s="180"/>
      <c r="D117" s="160" t="s">
        <v>908</v>
      </c>
      <c r="E117" s="985"/>
      <c r="F117" s="986"/>
      <c r="G117" s="986">
        <f>G118</f>
        <v>29247</v>
      </c>
      <c r="H117" s="986"/>
      <c r="I117" s="986"/>
      <c r="J117" s="987"/>
    </row>
    <row r="118" spans="1:10" s="330" customFormat="1" ht="19.5" customHeight="1">
      <c r="A118" s="989"/>
      <c r="B118" s="61"/>
      <c r="C118" s="152"/>
      <c r="D118" s="657" t="s">
        <v>909</v>
      </c>
      <c r="E118" s="991"/>
      <c r="F118" s="992"/>
      <c r="G118" s="992">
        <f>G119</f>
        <v>29247</v>
      </c>
      <c r="H118" s="992"/>
      <c r="I118" s="992"/>
      <c r="J118" s="329"/>
    </row>
    <row r="119" spans="1:12" s="798" customFormat="1" ht="25.5" customHeight="1">
      <c r="A119" s="993"/>
      <c r="B119" s="70"/>
      <c r="C119" s="184">
        <v>2110</v>
      </c>
      <c r="D119" s="754" t="s">
        <v>888</v>
      </c>
      <c r="E119" s="996"/>
      <c r="F119" s="863"/>
      <c r="G119" s="69">
        <v>29247</v>
      </c>
      <c r="H119" s="863"/>
      <c r="I119" s="863"/>
      <c r="J119" s="797"/>
      <c r="L119" s="797"/>
    </row>
    <row r="120" spans="1:10" s="798" customFormat="1" ht="18" customHeight="1" thickBot="1">
      <c r="A120" s="794"/>
      <c r="B120" s="794"/>
      <c r="C120" s="794"/>
      <c r="D120" s="795" t="s">
        <v>640</v>
      </c>
      <c r="E120" s="795"/>
      <c r="F120" s="796"/>
      <c r="G120" s="796"/>
      <c r="H120" s="796">
        <f>H125+H121</f>
        <v>1289868</v>
      </c>
      <c r="I120" s="796">
        <f>I125+I121+I131</f>
        <v>8000</v>
      </c>
      <c r="J120" s="797"/>
    </row>
    <row r="121" spans="1:10" s="330" customFormat="1" ht="17.25" customHeight="1" thickTop="1">
      <c r="A121" s="129" t="s">
        <v>862</v>
      </c>
      <c r="B121" s="74"/>
      <c r="C121" s="74"/>
      <c r="D121" s="74" t="s">
        <v>863</v>
      </c>
      <c r="E121" s="801"/>
      <c r="F121" s="802"/>
      <c r="G121" s="802"/>
      <c r="H121" s="802"/>
      <c r="I121" s="802">
        <f>I122</f>
        <v>3000</v>
      </c>
      <c r="J121" s="329"/>
    </row>
    <row r="122" spans="1:10" s="798" customFormat="1" ht="16.5" customHeight="1">
      <c r="A122" s="383"/>
      <c r="B122" s="858" t="s">
        <v>864</v>
      </c>
      <c r="C122" s="62"/>
      <c r="D122" s="62" t="s">
        <v>865</v>
      </c>
      <c r="E122" s="804"/>
      <c r="F122" s="805"/>
      <c r="G122" s="805"/>
      <c r="H122" s="805"/>
      <c r="I122" s="805">
        <f>I123</f>
        <v>3000</v>
      </c>
      <c r="J122" s="797"/>
    </row>
    <row r="123" spans="1:10" s="798" customFormat="1" ht="19.5" customHeight="1">
      <c r="A123" s="146"/>
      <c r="B123" s="151"/>
      <c r="C123" s="83"/>
      <c r="D123" s="80" t="s">
        <v>866</v>
      </c>
      <c r="E123" s="809"/>
      <c r="F123" s="810"/>
      <c r="G123" s="810"/>
      <c r="H123" s="810"/>
      <c r="I123" s="810">
        <f>I124</f>
        <v>3000</v>
      </c>
      <c r="J123" s="797"/>
    </row>
    <row r="124" spans="1:11" s="118" customFormat="1" ht="27" customHeight="1">
      <c r="A124" s="145"/>
      <c r="B124" s="125"/>
      <c r="C124" s="231">
        <v>2850</v>
      </c>
      <c r="D124" s="232" t="s">
        <v>867</v>
      </c>
      <c r="E124" s="231"/>
      <c r="F124" s="812"/>
      <c r="G124" s="812"/>
      <c r="H124" s="812"/>
      <c r="I124" s="812">
        <v>3000</v>
      </c>
      <c r="J124" s="117"/>
      <c r="K124" s="117"/>
    </row>
    <row r="125" spans="1:10" s="330" customFormat="1" ht="17.25" customHeight="1">
      <c r="A125" s="799">
        <v>758</v>
      </c>
      <c r="B125" s="800"/>
      <c r="C125" s="801"/>
      <c r="D125" s="801" t="s">
        <v>642</v>
      </c>
      <c r="E125" s="801"/>
      <c r="F125" s="802"/>
      <c r="G125" s="802"/>
      <c r="H125" s="802">
        <f>H126</f>
        <v>1289868</v>
      </c>
      <c r="I125" s="802"/>
      <c r="J125" s="329"/>
    </row>
    <row r="126" spans="1:10" s="798" customFormat="1" ht="21.75" customHeight="1">
      <c r="A126" s="803"/>
      <c r="B126" s="804">
        <v>75818</v>
      </c>
      <c r="C126" s="804"/>
      <c r="D126" s="804" t="s">
        <v>643</v>
      </c>
      <c r="E126" s="804"/>
      <c r="F126" s="805"/>
      <c r="G126" s="805"/>
      <c r="H126" s="805">
        <f>H127+H129</f>
        <v>1289868</v>
      </c>
      <c r="I126" s="805"/>
      <c r="J126" s="797"/>
    </row>
    <row r="127" spans="1:10" s="798" customFormat="1" ht="17.25" customHeight="1">
      <c r="A127" s="806"/>
      <c r="B127" s="807"/>
      <c r="C127" s="807"/>
      <c r="D127" s="808" t="s">
        <v>359</v>
      </c>
      <c r="E127" s="809"/>
      <c r="F127" s="810"/>
      <c r="G127" s="810"/>
      <c r="H127" s="810">
        <f>H128</f>
        <v>1284086</v>
      </c>
      <c r="I127" s="810"/>
      <c r="J127" s="797"/>
    </row>
    <row r="128" spans="1:11" s="118" customFormat="1" ht="18.75" customHeight="1">
      <c r="A128" s="811"/>
      <c r="B128" s="115"/>
      <c r="C128" s="231">
        <v>4810</v>
      </c>
      <c r="D128" s="231" t="s">
        <v>665</v>
      </c>
      <c r="E128" s="231"/>
      <c r="F128" s="812"/>
      <c r="G128" s="812"/>
      <c r="H128" s="812">
        <f>26000+150000+9900+3000+1000000+44000+30000+21186</f>
        <v>1284086</v>
      </c>
      <c r="I128" s="812"/>
      <c r="J128" s="117"/>
      <c r="K128" s="117"/>
    </row>
    <row r="129" spans="1:10" s="890" customFormat="1" ht="25.5">
      <c r="A129" s="885"/>
      <c r="B129" s="886"/>
      <c r="C129" s="886"/>
      <c r="D129" s="887" t="s">
        <v>812</v>
      </c>
      <c r="E129" s="888"/>
      <c r="F129" s="889"/>
      <c r="G129" s="889"/>
      <c r="H129" s="889">
        <f>H130</f>
        <v>5782</v>
      </c>
      <c r="I129" s="889"/>
      <c r="J129" s="148"/>
    </row>
    <row r="130" spans="1:11" s="118" customFormat="1" ht="21.75" customHeight="1">
      <c r="A130" s="811"/>
      <c r="B130" s="115"/>
      <c r="C130" s="231">
        <v>4810</v>
      </c>
      <c r="D130" s="231" t="s">
        <v>665</v>
      </c>
      <c r="E130" s="231"/>
      <c r="F130" s="812"/>
      <c r="G130" s="812"/>
      <c r="H130" s="812">
        <f>3450+1900+378+54</f>
        <v>5782</v>
      </c>
      <c r="I130" s="812"/>
      <c r="J130" s="117"/>
      <c r="K130" s="117"/>
    </row>
    <row r="131" spans="1:10" s="330" customFormat="1" ht="17.25" customHeight="1">
      <c r="A131" s="74">
        <v>852</v>
      </c>
      <c r="B131" s="74"/>
      <c r="C131" s="74"/>
      <c r="D131" s="74" t="s">
        <v>648</v>
      </c>
      <c r="E131" s="801"/>
      <c r="F131" s="802"/>
      <c r="G131" s="802"/>
      <c r="H131" s="802"/>
      <c r="I131" s="802">
        <f>I132</f>
        <v>5000</v>
      </c>
      <c r="J131" s="329"/>
    </row>
    <row r="132" spans="1:10" s="798" customFormat="1" ht="16.5" customHeight="1">
      <c r="A132" s="803"/>
      <c r="B132" s="62">
        <v>85204</v>
      </c>
      <c r="C132" s="62"/>
      <c r="D132" s="62" t="s">
        <v>76</v>
      </c>
      <c r="E132" s="804"/>
      <c r="F132" s="805"/>
      <c r="G132" s="805"/>
      <c r="H132" s="805"/>
      <c r="I132" s="805">
        <f>I133</f>
        <v>5000</v>
      </c>
      <c r="J132" s="797"/>
    </row>
    <row r="133" spans="1:10" s="798" customFormat="1" ht="24.75" customHeight="1">
      <c r="A133" s="806"/>
      <c r="B133" s="151"/>
      <c r="C133" s="83"/>
      <c r="D133" s="80" t="s">
        <v>430</v>
      </c>
      <c r="E133" s="809"/>
      <c r="F133" s="810"/>
      <c r="G133" s="810"/>
      <c r="H133" s="810"/>
      <c r="I133" s="810">
        <f>I134</f>
        <v>5000</v>
      </c>
      <c r="J133" s="797"/>
    </row>
    <row r="134" spans="1:11" s="118" customFormat="1" ht="27.75" customHeight="1">
      <c r="A134" s="811"/>
      <c r="B134" s="125"/>
      <c r="C134" s="231">
        <v>2320</v>
      </c>
      <c r="D134" s="232" t="s">
        <v>431</v>
      </c>
      <c r="E134" s="231"/>
      <c r="F134" s="812"/>
      <c r="G134" s="812"/>
      <c r="H134" s="812"/>
      <c r="I134" s="812">
        <v>5000</v>
      </c>
      <c r="J134" s="117"/>
      <c r="K134" s="117"/>
    </row>
    <row r="135" spans="1:10" s="798" customFormat="1" ht="18" customHeight="1" thickBot="1">
      <c r="A135" s="125"/>
      <c r="B135" s="125"/>
      <c r="C135" s="125"/>
      <c r="D135" s="123" t="s">
        <v>677</v>
      </c>
      <c r="E135" s="795"/>
      <c r="F135" s="796"/>
      <c r="G135" s="796"/>
      <c r="H135" s="796"/>
      <c r="I135" s="796">
        <f>I137</f>
        <v>4573</v>
      </c>
      <c r="J135" s="797"/>
    </row>
    <row r="136" spans="1:10" s="330" customFormat="1" ht="19.5" customHeight="1" thickTop="1">
      <c r="A136" s="129" t="s">
        <v>862</v>
      </c>
      <c r="B136" s="74"/>
      <c r="C136" s="74"/>
      <c r="D136" s="74" t="s">
        <v>863</v>
      </c>
      <c r="E136" s="801"/>
      <c r="F136" s="802"/>
      <c r="G136" s="802"/>
      <c r="H136" s="802"/>
      <c r="I136" s="802">
        <f>I137</f>
        <v>4573</v>
      </c>
      <c r="J136" s="329"/>
    </row>
    <row r="137" spans="1:10" s="798" customFormat="1" ht="19.5" customHeight="1">
      <c r="A137" s="109"/>
      <c r="B137" s="1026" t="s">
        <v>896</v>
      </c>
      <c r="C137" s="63"/>
      <c r="D137" s="75" t="s">
        <v>646</v>
      </c>
      <c r="E137" s="804"/>
      <c r="F137" s="805"/>
      <c r="G137" s="805"/>
      <c r="H137" s="805"/>
      <c r="I137" s="805">
        <f>I138</f>
        <v>4573</v>
      </c>
      <c r="J137" s="797"/>
    </row>
    <row r="138" spans="1:10" s="798" customFormat="1" ht="19.5" customHeight="1">
      <c r="A138" s="806"/>
      <c r="B138" s="807"/>
      <c r="C138" s="147"/>
      <c r="D138" s="860" t="s">
        <v>450</v>
      </c>
      <c r="E138" s="809"/>
      <c r="F138" s="810"/>
      <c r="G138" s="810"/>
      <c r="H138" s="810"/>
      <c r="I138" s="810">
        <f>SUM(I139:I140)</f>
        <v>4573</v>
      </c>
      <c r="J138" s="797"/>
    </row>
    <row r="139" spans="1:11" s="118" customFormat="1" ht="19.5" customHeight="1">
      <c r="A139" s="1551"/>
      <c r="B139" s="231"/>
      <c r="C139" s="231">
        <v>4210</v>
      </c>
      <c r="D139" s="232" t="s">
        <v>663</v>
      </c>
      <c r="E139" s="231"/>
      <c r="F139" s="812"/>
      <c r="G139" s="812"/>
      <c r="H139" s="812"/>
      <c r="I139" s="812">
        <v>90</v>
      </c>
      <c r="J139" s="117"/>
      <c r="K139" s="117"/>
    </row>
    <row r="140" spans="1:11" s="118" customFormat="1" ht="19.5" customHeight="1">
      <c r="A140" s="811"/>
      <c r="B140" s="115"/>
      <c r="C140" s="231">
        <v>4430</v>
      </c>
      <c r="D140" s="232" t="s">
        <v>733</v>
      </c>
      <c r="E140" s="231"/>
      <c r="F140" s="812"/>
      <c r="G140" s="812"/>
      <c r="H140" s="812"/>
      <c r="I140" s="812">
        <v>4483</v>
      </c>
      <c r="J140" s="117"/>
      <c r="K140" s="117"/>
    </row>
    <row r="141" spans="1:10" s="819" customFormat="1" ht="18.75" customHeight="1">
      <c r="A141" s="813"/>
      <c r="B141" s="814"/>
      <c r="C141" s="815"/>
      <c r="D141" s="816" t="s">
        <v>86</v>
      </c>
      <c r="E141" s="816"/>
      <c r="F141" s="817"/>
      <c r="G141" s="817"/>
      <c r="H141" s="817">
        <f>H142+H178</f>
        <v>513779</v>
      </c>
      <c r="I141" s="817">
        <f>I142+I178</f>
        <v>539779</v>
      </c>
      <c r="J141" s="818"/>
    </row>
    <row r="142" spans="1:10" s="118" customFormat="1" ht="18.75" customHeight="1" thickBot="1">
      <c r="A142" s="233"/>
      <c r="B142" s="233"/>
      <c r="C142" s="233"/>
      <c r="D142" s="124" t="s">
        <v>640</v>
      </c>
      <c r="E142" s="124"/>
      <c r="F142" s="123"/>
      <c r="G142" s="123"/>
      <c r="H142" s="133">
        <f>H152+H156+H143</f>
        <v>511796</v>
      </c>
      <c r="I142" s="133">
        <f>I152+I156+I143</f>
        <v>537796</v>
      </c>
      <c r="J142" s="117"/>
    </row>
    <row r="143" spans="1:10" s="118" customFormat="1" ht="18.75" customHeight="1" thickTop="1">
      <c r="A143" s="74">
        <v>600</v>
      </c>
      <c r="B143" s="74"/>
      <c r="C143" s="74"/>
      <c r="D143" s="74" t="s">
        <v>644</v>
      </c>
      <c r="E143" s="1397"/>
      <c r="F143" s="381"/>
      <c r="G143" s="381"/>
      <c r="H143" s="60">
        <f>H144+H148</f>
        <v>300000</v>
      </c>
      <c r="I143" s="60">
        <f>I144+I148</f>
        <v>300000</v>
      </c>
      <c r="J143" s="117"/>
    </row>
    <row r="144" spans="1:10" s="118" customFormat="1" ht="18.75" customHeight="1">
      <c r="A144" s="66"/>
      <c r="B144" s="63">
        <v>60015</v>
      </c>
      <c r="C144" s="63"/>
      <c r="D144" s="63" t="s">
        <v>208</v>
      </c>
      <c r="E144" s="923"/>
      <c r="F144" s="379"/>
      <c r="G144" s="379"/>
      <c r="H144" s="405">
        <f>H145</f>
        <v>291510</v>
      </c>
      <c r="I144" s="405"/>
      <c r="J144" s="117"/>
    </row>
    <row r="145" spans="1:10" s="118" customFormat="1" ht="18.75" customHeight="1">
      <c r="A145" s="146"/>
      <c r="B145" s="151"/>
      <c r="C145" s="83"/>
      <c r="D145" s="80" t="s">
        <v>898</v>
      </c>
      <c r="E145" s="923"/>
      <c r="F145" s="380"/>
      <c r="G145" s="380"/>
      <c r="H145" s="112">
        <f>SUM(H146:H147)</f>
        <v>291510</v>
      </c>
      <c r="I145" s="112"/>
      <c r="J145" s="117"/>
    </row>
    <row r="146" spans="1:10" s="118" customFormat="1" ht="18.75" customHeight="1">
      <c r="A146" s="145"/>
      <c r="B146" s="125"/>
      <c r="C146" s="231">
        <v>4300</v>
      </c>
      <c r="D146" s="232" t="s">
        <v>664</v>
      </c>
      <c r="E146" s="923"/>
      <c r="F146" s="121"/>
      <c r="G146" s="121"/>
      <c r="H146" s="116">
        <v>278214</v>
      </c>
      <c r="I146" s="116"/>
      <c r="J146" s="117"/>
    </row>
    <row r="147" spans="1:10" s="118" customFormat="1" ht="18.75" customHeight="1">
      <c r="A147" s="145"/>
      <c r="B147" s="125"/>
      <c r="C147" s="231">
        <v>4590</v>
      </c>
      <c r="D147" s="232" t="s">
        <v>899</v>
      </c>
      <c r="E147" s="923"/>
      <c r="F147" s="121"/>
      <c r="G147" s="121"/>
      <c r="H147" s="310">
        <v>13296</v>
      </c>
      <c r="I147" s="310"/>
      <c r="J147" s="117"/>
    </row>
    <row r="148" spans="1:10" s="118" customFormat="1" ht="18.75" customHeight="1">
      <c r="A148" s="66"/>
      <c r="B148" s="62">
        <v>60016</v>
      </c>
      <c r="C148" s="62"/>
      <c r="D148" s="62" t="s">
        <v>257</v>
      </c>
      <c r="E148" s="923"/>
      <c r="F148" s="64"/>
      <c r="G148" s="64"/>
      <c r="H148" s="106">
        <f>H149</f>
        <v>8490</v>
      </c>
      <c r="I148" s="106">
        <f>I149</f>
        <v>300000</v>
      </c>
      <c r="J148" s="117"/>
    </row>
    <row r="149" spans="1:10" s="118" customFormat="1" ht="19.5" customHeight="1">
      <c r="A149" s="146"/>
      <c r="B149" s="151"/>
      <c r="C149" s="83"/>
      <c r="D149" s="80" t="s">
        <v>898</v>
      </c>
      <c r="E149" s="923"/>
      <c r="F149" s="380"/>
      <c r="G149" s="380"/>
      <c r="H149" s="112">
        <f>SUM(H150:H151)</f>
        <v>8490</v>
      </c>
      <c r="I149" s="112">
        <f>SUM(I150:I151)</f>
        <v>300000</v>
      </c>
      <c r="J149" s="117"/>
    </row>
    <row r="150" spans="1:10" s="118" customFormat="1" ht="19.5" customHeight="1">
      <c r="A150" s="145"/>
      <c r="B150" s="125"/>
      <c r="C150" s="231">
        <v>4300</v>
      </c>
      <c r="D150" s="232" t="s">
        <v>664</v>
      </c>
      <c r="E150" s="923"/>
      <c r="F150" s="121"/>
      <c r="G150" s="121"/>
      <c r="H150" s="116"/>
      <c r="I150" s="116">
        <v>300000</v>
      </c>
      <c r="J150" s="117"/>
    </row>
    <row r="151" spans="1:10" s="118" customFormat="1" ht="19.5" customHeight="1">
      <c r="A151" s="870"/>
      <c r="B151" s="233"/>
      <c r="C151" s="231">
        <v>4590</v>
      </c>
      <c r="D151" s="232" t="s">
        <v>899</v>
      </c>
      <c r="E151" s="1397"/>
      <c r="F151" s="121"/>
      <c r="G151" s="121"/>
      <c r="H151" s="310">
        <v>8490</v>
      </c>
      <c r="I151" s="310"/>
      <c r="J151" s="117"/>
    </row>
    <row r="152" spans="1:10" s="330" customFormat="1" ht="17.25" customHeight="1">
      <c r="A152" s="801">
        <v>710</v>
      </c>
      <c r="B152" s="801"/>
      <c r="C152" s="801"/>
      <c r="D152" s="801" t="s">
        <v>258</v>
      </c>
      <c r="E152" s="801"/>
      <c r="F152" s="801"/>
      <c r="G152" s="801"/>
      <c r="H152" s="820"/>
      <c r="I152" s="820">
        <f>I153</f>
        <v>26000</v>
      </c>
      <c r="J152" s="329"/>
    </row>
    <row r="153" spans="1:10" s="826" customFormat="1" ht="19.5" customHeight="1">
      <c r="A153" s="821"/>
      <c r="B153" s="822">
        <v>71035</v>
      </c>
      <c r="C153" s="822"/>
      <c r="D153" s="822" t="s">
        <v>600</v>
      </c>
      <c r="E153" s="822"/>
      <c r="F153" s="823"/>
      <c r="G153" s="823"/>
      <c r="H153" s="824"/>
      <c r="I153" s="824">
        <f>I154</f>
        <v>26000</v>
      </c>
      <c r="J153" s="825"/>
    </row>
    <row r="154" spans="1:10" s="798" customFormat="1" ht="18" customHeight="1">
      <c r="A154" s="827"/>
      <c r="B154" s="316"/>
      <c r="C154" s="807"/>
      <c r="D154" s="828" t="s">
        <v>798</v>
      </c>
      <c r="E154" s="316"/>
      <c r="F154" s="829"/>
      <c r="G154" s="829"/>
      <c r="H154" s="830"/>
      <c r="I154" s="830">
        <f>I155</f>
        <v>26000</v>
      </c>
      <c r="J154" s="797"/>
    </row>
    <row r="155" spans="1:10" s="798" customFormat="1" ht="18" customHeight="1">
      <c r="A155" s="145"/>
      <c r="B155" s="125"/>
      <c r="C155" s="231">
        <v>6050</v>
      </c>
      <c r="D155" s="232" t="s">
        <v>125</v>
      </c>
      <c r="E155" s="396"/>
      <c r="F155" s="575"/>
      <c r="G155" s="575"/>
      <c r="H155" s="116"/>
      <c r="I155" s="116">
        <v>26000</v>
      </c>
      <c r="J155" s="797"/>
    </row>
    <row r="156" spans="1:10" s="330" customFormat="1" ht="17.25" customHeight="1">
      <c r="A156" s="74">
        <v>900</v>
      </c>
      <c r="B156" s="74"/>
      <c r="C156" s="74"/>
      <c r="D156" s="74" t="s">
        <v>801</v>
      </c>
      <c r="E156" s="801"/>
      <c r="F156" s="381"/>
      <c r="G156" s="381"/>
      <c r="H156" s="60">
        <f>H157+H161+H169+H173</f>
        <v>211796</v>
      </c>
      <c r="I156" s="60">
        <f>I157+I161+I169+I173</f>
        <v>211796</v>
      </c>
      <c r="J156" s="329"/>
    </row>
    <row r="157" spans="1:10" s="118" customFormat="1" ht="18.75" customHeight="1">
      <c r="A157" s="66"/>
      <c r="B157" s="62">
        <v>90001</v>
      </c>
      <c r="C157" s="62"/>
      <c r="D157" s="62" t="s">
        <v>263</v>
      </c>
      <c r="E157" s="923"/>
      <c r="F157" s="64"/>
      <c r="G157" s="64"/>
      <c r="H157" s="106">
        <f>H158</f>
        <v>183000</v>
      </c>
      <c r="I157" s="106"/>
      <c r="J157" s="117"/>
    </row>
    <row r="158" spans="1:10" s="118" customFormat="1" ht="18.75" customHeight="1">
      <c r="A158" s="146"/>
      <c r="B158" s="151"/>
      <c r="C158" s="83"/>
      <c r="D158" s="80" t="s">
        <v>130</v>
      </c>
      <c r="E158" s="923"/>
      <c r="F158" s="380"/>
      <c r="G158" s="380"/>
      <c r="H158" s="112">
        <f>H160</f>
        <v>183000</v>
      </c>
      <c r="I158" s="112"/>
      <c r="J158" s="117"/>
    </row>
    <row r="159" spans="1:10" s="118" customFormat="1" ht="18.75" customHeight="1">
      <c r="A159" s="146"/>
      <c r="B159" s="125"/>
      <c r="C159" s="115"/>
      <c r="D159" s="1064" t="s">
        <v>437</v>
      </c>
      <c r="E159" s="1554"/>
      <c r="F159" s="1081"/>
      <c r="G159" s="1081"/>
      <c r="H159" s="331">
        <f>H160</f>
        <v>183000</v>
      </c>
      <c r="I159" s="331"/>
      <c r="J159" s="117"/>
    </row>
    <row r="160" spans="1:10" s="798" customFormat="1" ht="18" customHeight="1">
      <c r="A160" s="146"/>
      <c r="B160" s="125"/>
      <c r="C160" s="231">
        <v>6050</v>
      </c>
      <c r="D160" s="232" t="s">
        <v>125</v>
      </c>
      <c r="E160" s="1552"/>
      <c r="F160" s="1553"/>
      <c r="G160" s="1553"/>
      <c r="H160" s="310">
        <v>183000</v>
      </c>
      <c r="I160" s="310"/>
      <c r="J160" s="797"/>
    </row>
    <row r="161" spans="1:10" s="826" customFormat="1" ht="19.5" customHeight="1">
      <c r="A161" s="66"/>
      <c r="B161" s="62">
        <v>90003</v>
      </c>
      <c r="C161" s="62"/>
      <c r="D161" s="62" t="s">
        <v>802</v>
      </c>
      <c r="E161" s="822"/>
      <c r="F161" s="64"/>
      <c r="G161" s="64"/>
      <c r="H161" s="106">
        <f>H162+H166</f>
        <v>28796</v>
      </c>
      <c r="I161" s="106">
        <f>I162+I166</f>
        <v>28796</v>
      </c>
      <c r="J161" s="825"/>
    </row>
    <row r="162" spans="1:10" s="798" customFormat="1" ht="19.5" customHeight="1">
      <c r="A162" s="146"/>
      <c r="B162" s="151"/>
      <c r="C162" s="83"/>
      <c r="D162" s="80" t="s">
        <v>803</v>
      </c>
      <c r="E162" s="316"/>
      <c r="F162" s="380"/>
      <c r="G162" s="380"/>
      <c r="H162" s="112">
        <f>SUM(H163:H165)</f>
        <v>28436</v>
      </c>
      <c r="I162" s="112">
        <f>SUM(I163:I165)</f>
        <v>28436</v>
      </c>
      <c r="J162" s="797"/>
    </row>
    <row r="163" spans="1:10" s="798" customFormat="1" ht="19.5" customHeight="1">
      <c r="A163" s="145"/>
      <c r="B163" s="125"/>
      <c r="C163" s="231">
        <v>4300</v>
      </c>
      <c r="D163" s="232" t="s">
        <v>664</v>
      </c>
      <c r="E163" s="396"/>
      <c r="F163" s="121"/>
      <c r="G163" s="121"/>
      <c r="H163" s="116">
        <f>26223+2212+1</f>
        <v>28436</v>
      </c>
      <c r="I163" s="116"/>
      <c r="J163" s="797"/>
    </row>
    <row r="164" spans="1:10" s="798" customFormat="1" ht="19.5" customHeight="1">
      <c r="A164" s="145"/>
      <c r="B164" s="125"/>
      <c r="C164" s="231">
        <v>4590</v>
      </c>
      <c r="D164" s="232" t="s">
        <v>804</v>
      </c>
      <c r="E164" s="233"/>
      <c r="F164" s="121"/>
      <c r="G164" s="121"/>
      <c r="H164" s="116"/>
      <c r="I164" s="116">
        <f>26223+1</f>
        <v>26224</v>
      </c>
      <c r="J164" s="797"/>
    </row>
    <row r="165" spans="1:10" s="798" customFormat="1" ht="19.5" customHeight="1">
      <c r="A165" s="145"/>
      <c r="B165" s="125"/>
      <c r="C165" s="231">
        <v>4610</v>
      </c>
      <c r="D165" s="232" t="s">
        <v>805</v>
      </c>
      <c r="E165" s="125"/>
      <c r="F165" s="121"/>
      <c r="G165" s="121"/>
      <c r="H165" s="310"/>
      <c r="I165" s="310">
        <v>2212</v>
      </c>
      <c r="J165" s="797"/>
    </row>
    <row r="166" spans="1:10" s="798" customFormat="1" ht="19.5" customHeight="1">
      <c r="A166" s="146"/>
      <c r="B166" s="151"/>
      <c r="C166" s="83"/>
      <c r="D166" s="80" t="s">
        <v>880</v>
      </c>
      <c r="E166" s="316"/>
      <c r="F166" s="380"/>
      <c r="G166" s="380"/>
      <c r="H166" s="112">
        <f>SUM(H167:H168)</f>
        <v>360</v>
      </c>
      <c r="I166" s="112">
        <f>SUM(I167:I168)</f>
        <v>360</v>
      </c>
      <c r="J166" s="797"/>
    </row>
    <row r="167" spans="1:10" s="798" customFormat="1" ht="19.5" customHeight="1">
      <c r="A167" s="145"/>
      <c r="B167" s="125"/>
      <c r="C167" s="231">
        <v>4300</v>
      </c>
      <c r="D167" s="232" t="s">
        <v>664</v>
      </c>
      <c r="E167" s="396"/>
      <c r="F167" s="121"/>
      <c r="G167" s="121"/>
      <c r="H167" s="116"/>
      <c r="I167" s="116">
        <v>360</v>
      </c>
      <c r="J167" s="797"/>
    </row>
    <row r="168" spans="1:10" s="798" customFormat="1" ht="23.25" customHeight="1">
      <c r="A168" s="145"/>
      <c r="B168" s="125"/>
      <c r="C168" s="231">
        <v>4600</v>
      </c>
      <c r="D168" s="232" t="s">
        <v>881</v>
      </c>
      <c r="E168" s="125"/>
      <c r="F168" s="121"/>
      <c r="G168" s="121"/>
      <c r="H168" s="116">
        <v>360</v>
      </c>
      <c r="I168" s="116"/>
      <c r="J168" s="797"/>
    </row>
    <row r="169" spans="1:10" s="330" customFormat="1" ht="19.5" customHeight="1">
      <c r="A169" s="146"/>
      <c r="B169" s="62">
        <v>90004</v>
      </c>
      <c r="C169" s="62"/>
      <c r="D169" s="62" t="s">
        <v>438</v>
      </c>
      <c r="E169" s="801"/>
      <c r="F169" s="64"/>
      <c r="G169" s="64"/>
      <c r="H169" s="64"/>
      <c r="I169" s="106">
        <f>I170</f>
        <v>100000</v>
      </c>
      <c r="J169" s="329"/>
    </row>
    <row r="170" spans="1:10" s="330" customFormat="1" ht="19.5" customHeight="1">
      <c r="A170" s="146"/>
      <c r="B170" s="151"/>
      <c r="C170" s="83"/>
      <c r="D170" s="80" t="s">
        <v>439</v>
      </c>
      <c r="E170" s="801"/>
      <c r="F170" s="380"/>
      <c r="G170" s="380"/>
      <c r="H170" s="380"/>
      <c r="I170" s="112">
        <f>I171</f>
        <v>100000</v>
      </c>
      <c r="J170" s="329"/>
    </row>
    <row r="171" spans="1:10" s="330" customFormat="1" ht="19.5" customHeight="1">
      <c r="A171" s="146"/>
      <c r="B171" s="125"/>
      <c r="C171" s="115">
        <v>6050</v>
      </c>
      <c r="D171" s="1288" t="s">
        <v>125</v>
      </c>
      <c r="E171" s="1598"/>
      <c r="F171" s="936"/>
      <c r="G171" s="936"/>
      <c r="H171" s="936"/>
      <c r="I171" s="601">
        <v>100000</v>
      </c>
      <c r="J171" s="329"/>
    </row>
    <row r="172" spans="1:10" s="330" customFormat="1" ht="19.5" customHeight="1">
      <c r="A172" s="1599"/>
      <c r="B172" s="1339"/>
      <c r="C172" s="1334"/>
      <c r="D172" s="1335"/>
      <c r="E172" s="1600"/>
      <c r="F172" s="1395"/>
      <c r="G172" s="1395"/>
      <c r="H172" s="1395"/>
      <c r="I172" s="1336"/>
      <c r="J172" s="329"/>
    </row>
    <row r="173" spans="1:10" s="330" customFormat="1" ht="19.5" customHeight="1">
      <c r="A173" s="146"/>
      <c r="B173" s="63">
        <v>90015</v>
      </c>
      <c r="C173" s="63"/>
      <c r="D173" s="63" t="s">
        <v>440</v>
      </c>
      <c r="E173" s="801"/>
      <c r="F173" s="379"/>
      <c r="G173" s="379"/>
      <c r="H173" s="379"/>
      <c r="I173" s="405">
        <f>I174+I176</f>
        <v>83000</v>
      </c>
      <c r="J173" s="329"/>
    </row>
    <row r="174" spans="1:10" s="330" customFormat="1" ht="19.5" customHeight="1">
      <c r="A174" s="146"/>
      <c r="B174" s="151"/>
      <c r="C174" s="83"/>
      <c r="D174" s="80" t="s">
        <v>441</v>
      </c>
      <c r="E174" s="801"/>
      <c r="F174" s="380"/>
      <c r="G174" s="380"/>
      <c r="H174" s="380"/>
      <c r="I174" s="112">
        <f>I175</f>
        <v>19000</v>
      </c>
      <c r="J174" s="329"/>
    </row>
    <row r="175" spans="1:10" s="330" customFormat="1" ht="19.5" customHeight="1">
      <c r="A175" s="146"/>
      <c r="B175" s="125"/>
      <c r="C175" s="231">
        <v>4260</v>
      </c>
      <c r="D175" s="232" t="s">
        <v>731</v>
      </c>
      <c r="E175" s="801"/>
      <c r="F175" s="121"/>
      <c r="G175" s="121"/>
      <c r="H175" s="121"/>
      <c r="I175" s="116">
        <v>19000</v>
      </c>
      <c r="J175" s="329"/>
    </row>
    <row r="176" spans="1:10" s="330" customFormat="1" ht="19.5" customHeight="1">
      <c r="A176" s="146"/>
      <c r="B176" s="151"/>
      <c r="C176" s="83"/>
      <c r="D176" s="80" t="s">
        <v>442</v>
      </c>
      <c r="E176" s="801"/>
      <c r="F176" s="380"/>
      <c r="G176" s="380"/>
      <c r="H176" s="380"/>
      <c r="I176" s="112">
        <f>I177</f>
        <v>64000</v>
      </c>
      <c r="J176" s="329"/>
    </row>
    <row r="177" spans="1:10" s="330" customFormat="1" ht="19.5" customHeight="1">
      <c r="A177" s="146"/>
      <c r="B177" s="125"/>
      <c r="C177" s="231">
        <v>4300</v>
      </c>
      <c r="D177" s="232" t="s">
        <v>664</v>
      </c>
      <c r="E177" s="801"/>
      <c r="F177" s="121"/>
      <c r="G177" s="121"/>
      <c r="H177" s="121"/>
      <c r="I177" s="116">
        <v>64000</v>
      </c>
      <c r="J177" s="329"/>
    </row>
    <row r="178" spans="1:9" s="118" customFormat="1" ht="19.5" customHeight="1" thickBot="1">
      <c r="A178" s="233"/>
      <c r="B178" s="233"/>
      <c r="C178" s="125"/>
      <c r="D178" s="124" t="s">
        <v>493</v>
      </c>
      <c r="E178" s="124"/>
      <c r="F178" s="133"/>
      <c r="G178" s="133"/>
      <c r="H178" s="133">
        <f aca="true" t="shared" si="1" ref="H178:I180">H179</f>
        <v>1983</v>
      </c>
      <c r="I178" s="133">
        <f t="shared" si="1"/>
        <v>1983</v>
      </c>
    </row>
    <row r="179" spans="1:10" s="798" customFormat="1" ht="18" customHeight="1" thickTop="1">
      <c r="A179" s="57">
        <v>710</v>
      </c>
      <c r="B179" s="74"/>
      <c r="C179" s="58"/>
      <c r="D179" s="77" t="s">
        <v>258</v>
      </c>
      <c r="E179" s="125"/>
      <c r="F179" s="72"/>
      <c r="G179" s="72"/>
      <c r="H179" s="60">
        <f t="shared" si="1"/>
        <v>1983</v>
      </c>
      <c r="I179" s="60">
        <f t="shared" si="1"/>
        <v>1983</v>
      </c>
      <c r="J179" s="797"/>
    </row>
    <row r="180" spans="1:10" s="798" customFormat="1" ht="18" customHeight="1">
      <c r="A180" s="61"/>
      <c r="B180" s="62">
        <v>71035</v>
      </c>
      <c r="C180" s="62"/>
      <c r="D180" s="62" t="s">
        <v>600</v>
      </c>
      <c r="E180" s="125"/>
      <c r="F180" s="64"/>
      <c r="G180" s="64"/>
      <c r="H180" s="106">
        <f t="shared" si="1"/>
        <v>1983</v>
      </c>
      <c r="I180" s="106">
        <f t="shared" si="1"/>
        <v>1983</v>
      </c>
      <c r="J180" s="797"/>
    </row>
    <row r="181" spans="1:10" s="798" customFormat="1" ht="18" customHeight="1">
      <c r="A181" s="65"/>
      <c r="B181" s="333"/>
      <c r="C181" s="52"/>
      <c r="D181" s="386" t="s">
        <v>811</v>
      </c>
      <c r="E181" s="125"/>
      <c r="F181" s="868"/>
      <c r="G181" s="868"/>
      <c r="H181" s="111">
        <f>SUM(H182:H183)</f>
        <v>1983</v>
      </c>
      <c r="I181" s="111">
        <f>SUM(I182:I183)</f>
        <v>1983</v>
      </c>
      <c r="J181" s="797"/>
    </row>
    <row r="182" spans="1:10" s="798" customFormat="1" ht="18" customHeight="1">
      <c r="A182" s="145"/>
      <c r="B182" s="125"/>
      <c r="C182" s="231">
        <v>4210</v>
      </c>
      <c r="D182" s="232" t="s">
        <v>663</v>
      </c>
      <c r="E182" s="125"/>
      <c r="F182" s="121"/>
      <c r="G182" s="121"/>
      <c r="H182" s="116"/>
      <c r="I182" s="116">
        <v>1983</v>
      </c>
      <c r="J182" s="797"/>
    </row>
    <row r="183" spans="1:10" s="798" customFormat="1" ht="18" customHeight="1">
      <c r="A183" s="144"/>
      <c r="B183" s="66"/>
      <c r="C183" s="67">
        <v>4300</v>
      </c>
      <c r="D183" s="382" t="s">
        <v>664</v>
      </c>
      <c r="E183" s="125"/>
      <c r="F183" s="869"/>
      <c r="G183" s="869"/>
      <c r="H183" s="114">
        <v>1983</v>
      </c>
      <c r="I183" s="114"/>
      <c r="J183" s="797"/>
    </row>
    <row r="184" spans="1:10" s="819" customFormat="1" ht="20.25" customHeight="1">
      <c r="A184" s="813"/>
      <c r="B184" s="814"/>
      <c r="C184" s="815"/>
      <c r="D184" s="865" t="s">
        <v>90</v>
      </c>
      <c r="E184" s="866"/>
      <c r="F184" s="866"/>
      <c r="G184" s="866"/>
      <c r="H184" s="866">
        <f>H185</f>
        <v>350000</v>
      </c>
      <c r="I184" s="866"/>
      <c r="J184" s="818"/>
    </row>
    <row r="185" spans="1:9" s="118" customFormat="1" ht="19.5" customHeight="1" thickBot="1">
      <c r="A185" s="233"/>
      <c r="B185" s="233"/>
      <c r="C185" s="125"/>
      <c r="D185" s="124" t="s">
        <v>640</v>
      </c>
      <c r="E185" s="124"/>
      <c r="F185" s="133"/>
      <c r="G185" s="133"/>
      <c r="H185" s="133">
        <f>H186</f>
        <v>350000</v>
      </c>
      <c r="I185" s="133"/>
    </row>
    <row r="186" spans="1:9" s="118" customFormat="1" ht="21" customHeight="1" thickTop="1">
      <c r="A186" s="800">
        <v>750</v>
      </c>
      <c r="B186" s="801"/>
      <c r="C186" s="800"/>
      <c r="D186" s="801" t="s">
        <v>651</v>
      </c>
      <c r="E186" s="801"/>
      <c r="F186" s="1273"/>
      <c r="G186" s="1273"/>
      <c r="H186" s="1273">
        <f>H187</f>
        <v>350000</v>
      </c>
      <c r="I186" s="1273"/>
    </row>
    <row r="187" spans="1:9" s="118" customFormat="1" ht="18.75" customHeight="1">
      <c r="A187" s="1274"/>
      <c r="B187" s="822">
        <v>75023</v>
      </c>
      <c r="C187" s="822"/>
      <c r="D187" s="822" t="s">
        <v>666</v>
      </c>
      <c r="E187" s="822"/>
      <c r="F187" s="1275"/>
      <c r="G187" s="1275"/>
      <c r="H187" s="1275">
        <f>H188</f>
        <v>350000</v>
      </c>
      <c r="I187" s="1275"/>
    </row>
    <row r="188" spans="1:10" s="330" customFormat="1" ht="16.5" customHeight="1">
      <c r="A188" s="827"/>
      <c r="B188" s="316"/>
      <c r="C188" s="807"/>
      <c r="D188" s="828" t="s">
        <v>667</v>
      </c>
      <c r="E188" s="927"/>
      <c r="F188" s="927"/>
      <c r="G188" s="927"/>
      <c r="H188" s="927">
        <f>H189</f>
        <v>350000</v>
      </c>
      <c r="I188" s="927"/>
      <c r="J188" s="329"/>
    </row>
    <row r="189" spans="1:10" s="330" customFormat="1" ht="19.5" customHeight="1">
      <c r="A189" s="145"/>
      <c r="B189" s="125"/>
      <c r="C189" s="231">
        <v>4300</v>
      </c>
      <c r="D189" s="232" t="s">
        <v>664</v>
      </c>
      <c r="E189" s="116"/>
      <c r="F189" s="116"/>
      <c r="G189" s="116"/>
      <c r="H189" s="116">
        <v>350000</v>
      </c>
      <c r="I189" s="116"/>
      <c r="J189" s="329"/>
    </row>
    <row r="190" spans="1:10" s="819" customFormat="1" ht="17.25" customHeight="1">
      <c r="A190" s="813"/>
      <c r="B190" s="814"/>
      <c r="C190" s="815"/>
      <c r="D190" s="816" t="s">
        <v>596</v>
      </c>
      <c r="E190" s="816"/>
      <c r="F190" s="817"/>
      <c r="G190" s="817"/>
      <c r="H190" s="817">
        <f>H191+H228</f>
        <v>1318249</v>
      </c>
      <c r="I190" s="817">
        <f>I191+I228</f>
        <v>1092423</v>
      </c>
      <c r="J190" s="818"/>
    </row>
    <row r="191" spans="1:11" s="118" customFormat="1" ht="19.5" customHeight="1" thickBot="1">
      <c r="A191" s="233"/>
      <c r="B191" s="233"/>
      <c r="C191" s="233"/>
      <c r="D191" s="124" t="s">
        <v>640</v>
      </c>
      <c r="E191" s="124"/>
      <c r="F191" s="123"/>
      <c r="G191" s="123"/>
      <c r="H191" s="133">
        <f>H192+H202+H211+H224+H220</f>
        <v>1318249</v>
      </c>
      <c r="I191" s="133">
        <f>I202+I211+I192</f>
        <v>1075456</v>
      </c>
      <c r="J191" s="117"/>
      <c r="K191" s="117"/>
    </row>
    <row r="192" spans="1:9" s="118" customFormat="1" ht="21" customHeight="1" thickTop="1">
      <c r="A192" s="800">
        <v>750</v>
      </c>
      <c r="B192" s="801"/>
      <c r="C192" s="800"/>
      <c r="D192" s="801" t="s">
        <v>651</v>
      </c>
      <c r="E192" s="801"/>
      <c r="F192" s="1273"/>
      <c r="G192" s="1273"/>
      <c r="H192" s="1273">
        <f>H193</f>
        <v>700000</v>
      </c>
      <c r="I192" s="1273">
        <f>I193</f>
        <v>1050000</v>
      </c>
    </row>
    <row r="193" spans="1:10" s="118" customFormat="1" ht="18.75" customHeight="1">
      <c r="A193" s="1274"/>
      <c r="B193" s="822">
        <v>75023</v>
      </c>
      <c r="C193" s="822"/>
      <c r="D193" s="822" t="s">
        <v>666</v>
      </c>
      <c r="E193" s="822"/>
      <c r="F193" s="1275"/>
      <c r="G193" s="1275"/>
      <c r="H193" s="1275">
        <f>H194+H198</f>
        <v>700000</v>
      </c>
      <c r="I193" s="1275">
        <f>I194</f>
        <v>1050000</v>
      </c>
      <c r="J193" s="117"/>
    </row>
    <row r="194" spans="1:10" s="330" customFormat="1" ht="16.5" customHeight="1">
      <c r="A194" s="827"/>
      <c r="B194" s="316"/>
      <c r="C194" s="807"/>
      <c r="D194" s="828" t="s">
        <v>667</v>
      </c>
      <c r="E194" s="927"/>
      <c r="F194" s="927"/>
      <c r="G194" s="927"/>
      <c r="H194" s="927"/>
      <c r="I194" s="927">
        <f>SUM(I195:I197)</f>
        <v>1050000</v>
      </c>
      <c r="J194" s="329"/>
    </row>
    <row r="195" spans="1:10" s="330" customFormat="1" ht="19.5" customHeight="1">
      <c r="A195" s="145"/>
      <c r="B195" s="125"/>
      <c r="C195" s="231">
        <v>4300</v>
      </c>
      <c r="D195" s="232" t="s">
        <v>664</v>
      </c>
      <c r="E195" s="116"/>
      <c r="F195" s="116"/>
      <c r="G195" s="116"/>
      <c r="H195" s="116"/>
      <c r="I195" s="116">
        <f>350000+640000</f>
        <v>990000</v>
      </c>
      <c r="J195" s="329"/>
    </row>
    <row r="196" spans="1:10" s="330" customFormat="1" ht="19.5" customHeight="1">
      <c r="A196" s="145"/>
      <c r="B196" s="125"/>
      <c r="C196" s="231">
        <v>4410</v>
      </c>
      <c r="D196" s="232" t="s">
        <v>834</v>
      </c>
      <c r="E196" s="310"/>
      <c r="F196" s="121"/>
      <c r="G196" s="121"/>
      <c r="H196" s="116"/>
      <c r="I196" s="116">
        <v>20000</v>
      </c>
      <c r="J196" s="329"/>
    </row>
    <row r="197" spans="1:10" s="330" customFormat="1" ht="19.5" customHeight="1">
      <c r="A197" s="145"/>
      <c r="B197" s="125"/>
      <c r="C197" s="231">
        <v>4430</v>
      </c>
      <c r="D197" s="232" t="s">
        <v>733</v>
      </c>
      <c r="E197" s="310"/>
      <c r="F197" s="121"/>
      <c r="G197" s="121"/>
      <c r="H197" s="116"/>
      <c r="I197" s="116">
        <v>40000</v>
      </c>
      <c r="J197" s="329"/>
    </row>
    <row r="198" spans="1:10" s="330" customFormat="1" ht="16.5" customHeight="1">
      <c r="A198" s="827"/>
      <c r="B198" s="316"/>
      <c r="C198" s="807"/>
      <c r="D198" s="828" t="s">
        <v>130</v>
      </c>
      <c r="E198" s="927"/>
      <c r="F198" s="927"/>
      <c r="G198" s="927"/>
      <c r="H198" s="927">
        <f>H201</f>
        <v>700000</v>
      </c>
      <c r="I198" s="927"/>
      <c r="J198" s="329"/>
    </row>
    <row r="199" spans="1:10" s="330" customFormat="1" ht="19.5" customHeight="1">
      <c r="A199" s="145"/>
      <c r="B199" s="125"/>
      <c r="C199" s="115"/>
      <c r="D199" s="1555" t="s">
        <v>835</v>
      </c>
      <c r="E199" s="331"/>
      <c r="F199" s="331"/>
      <c r="G199" s="331"/>
      <c r="H199" s="331">
        <v>22000</v>
      </c>
      <c r="I199" s="331"/>
      <c r="J199" s="329"/>
    </row>
    <row r="200" spans="1:10" s="330" customFormat="1" ht="19.5" customHeight="1">
      <c r="A200" s="145"/>
      <c r="B200" s="125"/>
      <c r="C200" s="125"/>
      <c r="D200" s="1277" t="s">
        <v>836</v>
      </c>
      <c r="E200" s="623"/>
      <c r="F200" s="1099"/>
      <c r="G200" s="1099"/>
      <c r="H200" s="624">
        <v>678000</v>
      </c>
      <c r="I200" s="624"/>
      <c r="J200" s="329"/>
    </row>
    <row r="201" spans="1:10" s="330" customFormat="1" ht="19.5" customHeight="1">
      <c r="A201" s="145"/>
      <c r="B201" s="125"/>
      <c r="C201" s="231">
        <v>6050</v>
      </c>
      <c r="D201" s="232" t="s">
        <v>125</v>
      </c>
      <c r="E201" s="310"/>
      <c r="F201" s="121"/>
      <c r="G201" s="121"/>
      <c r="H201" s="235">
        <f>SUM(H199:H200)</f>
        <v>700000</v>
      </c>
      <c r="I201" s="235"/>
      <c r="J201" s="329"/>
    </row>
    <row r="202" spans="1:13" s="330" customFormat="1" ht="16.5" customHeight="1">
      <c r="A202" s="799">
        <v>801</v>
      </c>
      <c r="B202" s="800"/>
      <c r="C202" s="801"/>
      <c r="D202" s="850" t="s">
        <v>647</v>
      </c>
      <c r="E202" s="850"/>
      <c r="F202" s="820"/>
      <c r="G202" s="820"/>
      <c r="H202" s="820">
        <f>H203+H207</f>
        <v>470035</v>
      </c>
      <c r="I202" s="820">
        <f>I203+I207</f>
        <v>25456</v>
      </c>
      <c r="J202" s="329"/>
      <c r="K202" s="329"/>
      <c r="M202" s="329"/>
    </row>
    <row r="203" spans="1:13" s="826" customFormat="1" ht="18" customHeight="1">
      <c r="A203" s="954"/>
      <c r="B203" s="822">
        <v>80101</v>
      </c>
      <c r="C203" s="822"/>
      <c r="D203" s="822" t="s">
        <v>202</v>
      </c>
      <c r="E203" s="822"/>
      <c r="F203" s="823"/>
      <c r="G203" s="823"/>
      <c r="H203" s="823">
        <f>H204</f>
        <v>470035</v>
      </c>
      <c r="I203" s="823"/>
      <c r="J203" s="797"/>
      <c r="K203" s="797"/>
      <c r="M203" s="825"/>
    </row>
    <row r="204" spans="1:13" s="826" customFormat="1" ht="18" customHeight="1">
      <c r="A204" s="827"/>
      <c r="B204" s="316"/>
      <c r="C204" s="316"/>
      <c r="D204" s="955" t="s">
        <v>360</v>
      </c>
      <c r="E204" s="955"/>
      <c r="F204" s="956"/>
      <c r="G204" s="956"/>
      <c r="H204" s="956">
        <f>H206</f>
        <v>470035</v>
      </c>
      <c r="I204" s="956"/>
      <c r="J204" s="797"/>
      <c r="K204" s="797"/>
      <c r="M204" s="825"/>
    </row>
    <row r="205" spans="1:13" s="403" customFormat="1" ht="18" customHeight="1">
      <c r="A205" s="145"/>
      <c r="B205" s="125"/>
      <c r="C205" s="125"/>
      <c r="D205" s="957" t="s">
        <v>308</v>
      </c>
      <c r="E205" s="957"/>
      <c r="F205" s="332"/>
      <c r="G205" s="332"/>
      <c r="H205" s="332">
        <v>470035</v>
      </c>
      <c r="I205" s="466"/>
      <c r="J205" s="117"/>
      <c r="K205" s="117"/>
      <c r="M205" s="404"/>
    </row>
    <row r="206" spans="1:13" s="403" customFormat="1" ht="18" customHeight="1">
      <c r="A206" s="870"/>
      <c r="B206" s="233"/>
      <c r="C206" s="233">
        <v>6050</v>
      </c>
      <c r="D206" s="958" t="s">
        <v>125</v>
      </c>
      <c r="E206" s="958"/>
      <c r="F206" s="959"/>
      <c r="G206" s="959"/>
      <c r="H206" s="959">
        <f>H205</f>
        <v>470035</v>
      </c>
      <c r="I206" s="959"/>
      <c r="J206" s="117"/>
      <c r="K206" s="117"/>
      <c r="M206" s="404"/>
    </row>
    <row r="207" spans="1:13" s="826" customFormat="1" ht="18" customHeight="1">
      <c r="A207" s="960"/>
      <c r="B207" s="852">
        <v>80104</v>
      </c>
      <c r="C207" s="852"/>
      <c r="D207" s="852" t="s">
        <v>694</v>
      </c>
      <c r="E207" s="852"/>
      <c r="F207" s="933"/>
      <c r="G207" s="933"/>
      <c r="H207" s="933"/>
      <c r="I207" s="933">
        <f>I208</f>
        <v>25456</v>
      </c>
      <c r="J207" s="797"/>
      <c r="K207" s="797"/>
      <c r="M207" s="825"/>
    </row>
    <row r="208" spans="1:13" s="826" customFormat="1" ht="18" customHeight="1">
      <c r="A208" s="827"/>
      <c r="B208" s="316"/>
      <c r="C208" s="316"/>
      <c r="D208" s="955" t="s">
        <v>130</v>
      </c>
      <c r="E208" s="955"/>
      <c r="F208" s="956"/>
      <c r="G208" s="956"/>
      <c r="H208" s="956"/>
      <c r="I208" s="956">
        <f>I210</f>
        <v>25456</v>
      </c>
      <c r="J208" s="797"/>
      <c r="K208" s="797"/>
      <c r="M208" s="825"/>
    </row>
    <row r="209" spans="1:13" s="403" customFormat="1" ht="18" customHeight="1">
      <c r="A209" s="145"/>
      <c r="B209" s="125"/>
      <c r="C209" s="125"/>
      <c r="D209" s="473" t="s">
        <v>871</v>
      </c>
      <c r="E209" s="957"/>
      <c r="F209" s="332"/>
      <c r="G209" s="332"/>
      <c r="H209" s="332"/>
      <c r="I209" s="466">
        <v>25456</v>
      </c>
      <c r="J209" s="117"/>
      <c r="K209" s="117"/>
      <c r="M209" s="404"/>
    </row>
    <row r="210" spans="1:13" s="403" customFormat="1" ht="18" customHeight="1">
      <c r="A210" s="145"/>
      <c r="B210" s="233"/>
      <c r="C210" s="231">
        <v>6050</v>
      </c>
      <c r="D210" s="232" t="s">
        <v>125</v>
      </c>
      <c r="E210" s="958"/>
      <c r="F210" s="959"/>
      <c r="G210" s="959"/>
      <c r="H210" s="959"/>
      <c r="I210" s="959">
        <f>I209</f>
        <v>25456</v>
      </c>
      <c r="J210" s="117"/>
      <c r="K210" s="117"/>
      <c r="M210" s="404"/>
    </row>
    <row r="211" spans="1:13" s="330" customFormat="1" ht="18" customHeight="1">
      <c r="A211" s="799">
        <v>852</v>
      </c>
      <c r="B211" s="800"/>
      <c r="C211" s="801"/>
      <c r="D211" s="850" t="s">
        <v>648</v>
      </c>
      <c r="E211" s="850"/>
      <c r="F211" s="820"/>
      <c r="G211" s="820"/>
      <c r="H211" s="820">
        <f>H216+H212</f>
        <v>118214</v>
      </c>
      <c r="I211" s="820"/>
      <c r="J211" s="329"/>
      <c r="K211" s="329"/>
      <c r="M211" s="329"/>
    </row>
    <row r="212" spans="1:13" s="826" customFormat="1" ht="18" customHeight="1">
      <c r="A212" s="954"/>
      <c r="B212" s="822">
        <v>85201</v>
      </c>
      <c r="C212" s="822"/>
      <c r="D212" s="822" t="s">
        <v>298</v>
      </c>
      <c r="E212" s="822"/>
      <c r="F212" s="823"/>
      <c r="G212" s="823"/>
      <c r="H212" s="823">
        <f>H213</f>
        <v>32000</v>
      </c>
      <c r="I212" s="823"/>
      <c r="J212" s="797"/>
      <c r="K212" s="797"/>
      <c r="M212" s="825"/>
    </row>
    <row r="213" spans="1:13" s="826" customFormat="1" ht="18" customHeight="1">
      <c r="A213" s="827"/>
      <c r="B213" s="316"/>
      <c r="C213" s="316"/>
      <c r="D213" s="955" t="s">
        <v>360</v>
      </c>
      <c r="E213" s="955"/>
      <c r="F213" s="956"/>
      <c r="G213" s="956"/>
      <c r="H213" s="956">
        <f>H214</f>
        <v>32000</v>
      </c>
      <c r="I213" s="956"/>
      <c r="J213" s="797"/>
      <c r="K213" s="797"/>
      <c r="M213" s="825"/>
    </row>
    <row r="214" spans="1:13" s="403" customFormat="1" ht="20.25" customHeight="1">
      <c r="A214" s="145"/>
      <c r="B214" s="125"/>
      <c r="C214" s="125"/>
      <c r="D214" s="961" t="s">
        <v>83</v>
      </c>
      <c r="E214" s="957"/>
      <c r="F214" s="332"/>
      <c r="G214" s="332"/>
      <c r="H214" s="332">
        <v>32000</v>
      </c>
      <c r="I214" s="466"/>
      <c r="J214" s="117"/>
      <c r="K214" s="117"/>
      <c r="M214" s="404"/>
    </row>
    <row r="215" spans="1:13" s="403" customFormat="1" ht="18" customHeight="1">
      <c r="A215" s="145"/>
      <c r="B215" s="233"/>
      <c r="C215" s="231">
        <v>6050</v>
      </c>
      <c r="D215" s="232" t="s">
        <v>125</v>
      </c>
      <c r="E215" s="958"/>
      <c r="F215" s="959"/>
      <c r="G215" s="959"/>
      <c r="H215" s="959">
        <f>H214</f>
        <v>32000</v>
      </c>
      <c r="I215" s="959"/>
      <c r="J215" s="117"/>
      <c r="K215" s="117"/>
      <c r="M215" s="404"/>
    </row>
    <row r="216" spans="1:13" s="826" customFormat="1" ht="18" customHeight="1">
      <c r="A216" s="960"/>
      <c r="B216" s="822">
        <v>85202</v>
      </c>
      <c r="C216" s="822"/>
      <c r="D216" s="822" t="s">
        <v>220</v>
      </c>
      <c r="E216" s="822"/>
      <c r="F216" s="823"/>
      <c r="G216" s="823"/>
      <c r="H216" s="823">
        <f>H217</f>
        <v>86214</v>
      </c>
      <c r="I216" s="823"/>
      <c r="J216" s="797"/>
      <c r="K216" s="797"/>
      <c r="M216" s="825"/>
    </row>
    <row r="217" spans="1:13" s="826" customFormat="1" ht="18" customHeight="1">
      <c r="A217" s="827"/>
      <c r="B217" s="316"/>
      <c r="C217" s="316"/>
      <c r="D217" s="955" t="s">
        <v>130</v>
      </c>
      <c r="E217" s="955"/>
      <c r="F217" s="956"/>
      <c r="G217" s="956"/>
      <c r="H217" s="956">
        <f>H219</f>
        <v>86214</v>
      </c>
      <c r="I217" s="956"/>
      <c r="J217" s="797"/>
      <c r="K217" s="797"/>
      <c r="M217" s="825"/>
    </row>
    <row r="218" spans="1:13" s="403" customFormat="1" ht="25.5" customHeight="1">
      <c r="A218" s="145"/>
      <c r="B218" s="125"/>
      <c r="C218" s="125"/>
      <c r="D218" s="961" t="s">
        <v>878</v>
      </c>
      <c r="E218" s="957"/>
      <c r="F218" s="332"/>
      <c r="G218" s="332"/>
      <c r="H218" s="332">
        <v>86214</v>
      </c>
      <c r="I218" s="466"/>
      <c r="J218" s="117"/>
      <c r="K218" s="117"/>
      <c r="M218" s="404"/>
    </row>
    <row r="219" spans="1:13" s="403" customFormat="1" ht="18" customHeight="1">
      <c r="A219" s="145"/>
      <c r="B219" s="125"/>
      <c r="C219" s="231">
        <v>6050</v>
      </c>
      <c r="D219" s="232" t="s">
        <v>125</v>
      </c>
      <c r="E219" s="234"/>
      <c r="F219" s="235"/>
      <c r="G219" s="235"/>
      <c r="H219" s="235">
        <f>SUM(H218:H218)</f>
        <v>86214</v>
      </c>
      <c r="I219" s="235"/>
      <c r="J219" s="117"/>
      <c r="K219" s="117"/>
      <c r="M219" s="404"/>
    </row>
    <row r="220" spans="1:13" s="403" customFormat="1" ht="18" customHeight="1">
      <c r="A220" s="74">
        <v>853</v>
      </c>
      <c r="B220" s="74"/>
      <c r="C220" s="74"/>
      <c r="D220" s="74" t="s">
        <v>691</v>
      </c>
      <c r="E220" s="234"/>
      <c r="F220" s="381"/>
      <c r="G220" s="381"/>
      <c r="H220" s="381">
        <f>H221</f>
        <v>20000</v>
      </c>
      <c r="I220" s="381"/>
      <c r="J220" s="117"/>
      <c r="K220" s="117"/>
      <c r="M220" s="404"/>
    </row>
    <row r="221" spans="1:13" s="403" customFormat="1" ht="18" customHeight="1">
      <c r="A221" s="145"/>
      <c r="B221" s="62">
        <v>85334</v>
      </c>
      <c r="C221" s="62"/>
      <c r="D221" s="62" t="s">
        <v>908</v>
      </c>
      <c r="E221" s="234"/>
      <c r="F221" s="64"/>
      <c r="G221" s="64"/>
      <c r="H221" s="64">
        <f>H222</f>
        <v>20000</v>
      </c>
      <c r="I221" s="64"/>
      <c r="J221" s="117"/>
      <c r="K221" s="117"/>
      <c r="M221" s="404"/>
    </row>
    <row r="222" spans="1:13" s="403" customFormat="1" ht="18" customHeight="1">
      <c r="A222" s="145"/>
      <c r="B222" s="151"/>
      <c r="C222" s="83"/>
      <c r="D222" s="80" t="s">
        <v>435</v>
      </c>
      <c r="E222" s="234"/>
      <c r="F222" s="380"/>
      <c r="G222" s="380"/>
      <c r="H222" s="380">
        <f>H223</f>
        <v>20000</v>
      </c>
      <c r="I222" s="380"/>
      <c r="J222" s="117"/>
      <c r="K222" s="117"/>
      <c r="M222" s="404"/>
    </row>
    <row r="223" spans="1:13" s="403" customFormat="1" ht="18" customHeight="1">
      <c r="A223" s="145"/>
      <c r="B223" s="125"/>
      <c r="C223" s="231">
        <v>4300</v>
      </c>
      <c r="D223" s="232" t="s">
        <v>664</v>
      </c>
      <c r="E223" s="234"/>
      <c r="F223" s="121"/>
      <c r="G223" s="121"/>
      <c r="H223" s="121">
        <v>20000</v>
      </c>
      <c r="I223" s="121"/>
      <c r="J223" s="117"/>
      <c r="K223" s="117"/>
      <c r="M223" s="404"/>
    </row>
    <row r="224" spans="1:13" s="330" customFormat="1" ht="18" customHeight="1">
      <c r="A224" s="799">
        <v>854</v>
      </c>
      <c r="B224" s="800"/>
      <c r="C224" s="801"/>
      <c r="D224" s="850" t="s">
        <v>649</v>
      </c>
      <c r="E224" s="850" t="s">
        <v>649</v>
      </c>
      <c r="F224" s="802"/>
      <c r="G224" s="802"/>
      <c r="H224" s="802">
        <f>H225</f>
        <v>10000</v>
      </c>
      <c r="I224" s="802"/>
      <c r="J224" s="329"/>
      <c r="K224" s="329"/>
      <c r="M224" s="329"/>
    </row>
    <row r="225" spans="1:13" s="403" customFormat="1" ht="18" customHeight="1">
      <c r="A225" s="145"/>
      <c r="B225" s="63">
        <v>85417</v>
      </c>
      <c r="C225" s="63"/>
      <c r="D225" s="63" t="s">
        <v>294</v>
      </c>
      <c r="E225" s="1302"/>
      <c r="F225" s="379"/>
      <c r="G225" s="379"/>
      <c r="H225" s="379">
        <f>H226</f>
        <v>10000</v>
      </c>
      <c r="I225" s="379"/>
      <c r="J225" s="117"/>
      <c r="K225" s="117"/>
      <c r="M225" s="404"/>
    </row>
    <row r="226" spans="1:13" s="403" customFormat="1" ht="18" customHeight="1">
      <c r="A226" s="145"/>
      <c r="B226" s="52"/>
      <c r="C226" s="333"/>
      <c r="D226" s="1303" t="s">
        <v>667</v>
      </c>
      <c r="E226" s="1302"/>
      <c r="F226" s="406"/>
      <c r="G226" s="406"/>
      <c r="H226" s="406">
        <f>H227</f>
        <v>10000</v>
      </c>
      <c r="I226" s="406"/>
      <c r="J226" s="117"/>
      <c r="K226" s="117"/>
      <c r="M226" s="404"/>
    </row>
    <row r="227" spans="1:13" s="403" customFormat="1" ht="18" customHeight="1">
      <c r="A227" s="145"/>
      <c r="B227" s="66"/>
      <c r="C227" s="67">
        <v>4270</v>
      </c>
      <c r="D227" s="67" t="s">
        <v>837</v>
      </c>
      <c r="E227" s="1302"/>
      <c r="F227" s="395"/>
      <c r="G227" s="395"/>
      <c r="H227" s="395">
        <v>10000</v>
      </c>
      <c r="I227" s="395"/>
      <c r="J227" s="117"/>
      <c r="K227" s="117"/>
      <c r="M227" s="404"/>
    </row>
    <row r="228" spans="1:11" s="118" customFormat="1" ht="24.75" customHeight="1" thickBot="1">
      <c r="A228" s="233"/>
      <c r="B228" s="233"/>
      <c r="C228" s="233"/>
      <c r="D228" s="124" t="s">
        <v>678</v>
      </c>
      <c r="E228" s="124"/>
      <c r="F228" s="123"/>
      <c r="G228" s="123"/>
      <c r="H228" s="133"/>
      <c r="I228" s="133">
        <f>I229+I233</f>
        <v>16967</v>
      </c>
      <c r="J228" s="117"/>
      <c r="K228" s="117"/>
    </row>
    <row r="229" spans="1:13" s="330" customFormat="1" ht="18" customHeight="1" thickTop="1">
      <c r="A229" s="799">
        <v>750</v>
      </c>
      <c r="B229" s="800"/>
      <c r="C229" s="801"/>
      <c r="D229" s="850" t="s">
        <v>651</v>
      </c>
      <c r="E229" s="850"/>
      <c r="F229" s="820"/>
      <c r="G229" s="820"/>
      <c r="H229" s="820"/>
      <c r="I229" s="820">
        <f>I230</f>
        <v>15269</v>
      </c>
      <c r="J229" s="329"/>
      <c r="K229" s="329"/>
      <c r="M229" s="329"/>
    </row>
    <row r="230" spans="1:13" s="826" customFormat="1" ht="18" customHeight="1">
      <c r="A230" s="960"/>
      <c r="B230" s="822">
        <v>75011</v>
      </c>
      <c r="C230" s="822"/>
      <c r="D230" s="822" t="s">
        <v>77</v>
      </c>
      <c r="E230" s="822"/>
      <c r="F230" s="823"/>
      <c r="G230" s="823"/>
      <c r="H230" s="823"/>
      <c r="I230" s="823">
        <f>I231</f>
        <v>15269</v>
      </c>
      <c r="J230" s="797"/>
      <c r="K230" s="797"/>
      <c r="M230" s="825"/>
    </row>
    <row r="231" spans="1:13" s="826" customFormat="1" ht="18" customHeight="1">
      <c r="A231" s="827"/>
      <c r="B231" s="316"/>
      <c r="C231" s="147"/>
      <c r="D231" s="860" t="s">
        <v>667</v>
      </c>
      <c r="E231" s="955"/>
      <c r="F231" s="956"/>
      <c r="G231" s="956"/>
      <c r="H231" s="956"/>
      <c r="I231" s="956">
        <f>I232</f>
        <v>15269</v>
      </c>
      <c r="J231" s="797"/>
      <c r="K231" s="797"/>
      <c r="M231" s="825"/>
    </row>
    <row r="232" spans="1:13" s="403" customFormat="1" ht="18" customHeight="1">
      <c r="A232" s="145"/>
      <c r="B232" s="125"/>
      <c r="C232" s="115">
        <v>4300</v>
      </c>
      <c r="D232" s="1288" t="s">
        <v>664</v>
      </c>
      <c r="E232" s="508"/>
      <c r="F232" s="443"/>
      <c r="G232" s="443"/>
      <c r="H232" s="443"/>
      <c r="I232" s="443">
        <v>15269</v>
      </c>
      <c r="J232" s="117"/>
      <c r="K232" s="117"/>
      <c r="M232" s="404"/>
    </row>
    <row r="233" spans="1:13" s="770" customFormat="1" ht="18.75" customHeight="1">
      <c r="A233" s="57">
        <v>853</v>
      </c>
      <c r="B233" s="74"/>
      <c r="C233" s="74"/>
      <c r="D233" s="74" t="s">
        <v>691</v>
      </c>
      <c r="E233" s="778"/>
      <c r="F233" s="381"/>
      <c r="G233" s="381"/>
      <c r="H233" s="381"/>
      <c r="I233" s="381">
        <f>I234</f>
        <v>1698</v>
      </c>
      <c r="J233" s="656"/>
      <c r="K233" s="656"/>
      <c r="M233" s="656"/>
    </row>
    <row r="234" spans="1:13" s="770" customFormat="1" ht="18.75" customHeight="1">
      <c r="A234" s="109"/>
      <c r="B234" s="105">
        <v>85334</v>
      </c>
      <c r="C234" s="63"/>
      <c r="D234" s="75" t="s">
        <v>908</v>
      </c>
      <c r="E234" s="778"/>
      <c r="F234" s="379"/>
      <c r="G234" s="379"/>
      <c r="H234" s="379"/>
      <c r="I234" s="379">
        <f>I235</f>
        <v>1698</v>
      </c>
      <c r="J234" s="656"/>
      <c r="K234" s="656"/>
      <c r="M234" s="656"/>
    </row>
    <row r="235" spans="1:13" s="770" customFormat="1" ht="18.75" customHeight="1">
      <c r="A235" s="151"/>
      <c r="B235" s="151"/>
      <c r="C235" s="147"/>
      <c r="D235" s="860" t="s">
        <v>910</v>
      </c>
      <c r="E235" s="1231"/>
      <c r="F235" s="864"/>
      <c r="G235" s="864"/>
      <c r="H235" s="864"/>
      <c r="I235" s="864">
        <f>I236</f>
        <v>1698</v>
      </c>
      <c r="J235" s="656"/>
      <c r="K235" s="656"/>
      <c r="M235" s="656"/>
    </row>
    <row r="236" spans="1:13" s="770" customFormat="1" ht="18.75" customHeight="1">
      <c r="A236" s="145"/>
      <c r="B236" s="125"/>
      <c r="C236" s="231">
        <v>4300</v>
      </c>
      <c r="D236" s="232" t="s">
        <v>664</v>
      </c>
      <c r="E236" s="1396"/>
      <c r="F236" s="121"/>
      <c r="G236" s="121"/>
      <c r="H236" s="121"/>
      <c r="I236" s="121">
        <v>1698</v>
      </c>
      <c r="J236" s="656"/>
      <c r="K236" s="656"/>
      <c r="M236" s="656"/>
    </row>
    <row r="237" spans="1:10" s="835" customFormat="1" ht="18" customHeight="1">
      <c r="A237" s="151"/>
      <c r="B237" s="839"/>
      <c r="C237" s="840"/>
      <c r="D237" s="837" t="s">
        <v>598</v>
      </c>
      <c r="E237" s="837"/>
      <c r="F237" s="1001"/>
      <c r="G237" s="1001"/>
      <c r="H237" s="838">
        <f>H238+H276</f>
        <v>1387309</v>
      </c>
      <c r="I237" s="838">
        <f>I238+I276</f>
        <v>100722</v>
      </c>
      <c r="J237" s="834"/>
    </row>
    <row r="238" spans="1:10" s="330" customFormat="1" ht="18.75" customHeight="1" thickBot="1">
      <c r="A238" s="1286"/>
      <c r="B238" s="1286"/>
      <c r="C238" s="1286"/>
      <c r="D238" s="1002" t="s">
        <v>662</v>
      </c>
      <c r="E238" s="1002"/>
      <c r="F238" s="976"/>
      <c r="G238" s="976"/>
      <c r="H238" s="976">
        <f>H239+H268</f>
        <v>990529</v>
      </c>
      <c r="I238" s="976">
        <f>I239+I268</f>
        <v>99337</v>
      </c>
      <c r="J238" s="329"/>
    </row>
    <row r="239" spans="1:10" ht="18.75" customHeight="1" thickTop="1">
      <c r="A239" s="57">
        <v>801</v>
      </c>
      <c r="B239" s="74"/>
      <c r="C239" s="58"/>
      <c r="D239" s="77" t="s">
        <v>647</v>
      </c>
      <c r="E239" s="777"/>
      <c r="F239" s="77"/>
      <c r="G239" s="77"/>
      <c r="H239" s="432">
        <f>H240+H257+H262</f>
        <v>68326</v>
      </c>
      <c r="I239" s="432">
        <f>I240+I257+I262</f>
        <v>96737</v>
      </c>
      <c r="J239" s="757"/>
    </row>
    <row r="240" spans="1:10" ht="18.75" customHeight="1">
      <c r="A240" s="131"/>
      <c r="B240" s="62">
        <v>80104</v>
      </c>
      <c r="C240" s="62"/>
      <c r="D240" s="62" t="s">
        <v>694</v>
      </c>
      <c r="E240" s="1556"/>
      <c r="F240" s="62"/>
      <c r="G240" s="62"/>
      <c r="H240" s="1283">
        <f>H241+H243</f>
        <v>65326</v>
      </c>
      <c r="I240" s="1283">
        <f>I241+I243</f>
        <v>59326</v>
      </c>
      <c r="J240" s="757"/>
    </row>
    <row r="241" spans="1:10" ht="18.75" customHeight="1">
      <c r="A241" s="65"/>
      <c r="B241" s="52"/>
      <c r="C241" s="52"/>
      <c r="D241" s="438" t="s">
        <v>667</v>
      </c>
      <c r="E241" s="1000"/>
      <c r="F241" s="438"/>
      <c r="G241" s="438"/>
      <c r="H241" s="1062">
        <f>H242</f>
        <v>6000</v>
      </c>
      <c r="I241" s="438"/>
      <c r="J241" s="757"/>
    </row>
    <row r="242" spans="1:10" ht="18.75" customHeight="1">
      <c r="A242" s="65"/>
      <c r="B242" s="52"/>
      <c r="C242" s="231">
        <v>4300</v>
      </c>
      <c r="D242" s="232" t="s">
        <v>664</v>
      </c>
      <c r="E242" s="1000"/>
      <c r="F242" s="232"/>
      <c r="G242" s="232"/>
      <c r="H242" s="1281">
        <v>6000</v>
      </c>
      <c r="I242" s="232"/>
      <c r="J242" s="757"/>
    </row>
    <row r="243" spans="1:10" ht="18.75" customHeight="1">
      <c r="A243" s="146"/>
      <c r="B243" s="151"/>
      <c r="C243" s="83"/>
      <c r="D243" s="80" t="s">
        <v>743</v>
      </c>
      <c r="E243" s="1000"/>
      <c r="F243" s="1285"/>
      <c r="G243" s="1285"/>
      <c r="H243" s="1285">
        <f>H252+H256</f>
        <v>59326</v>
      </c>
      <c r="I243" s="1285">
        <f>I252</f>
        <v>59326</v>
      </c>
      <c r="J243" s="757"/>
    </row>
    <row r="244" spans="1:10" ht="28.5" customHeight="1">
      <c r="A244" s="146"/>
      <c r="B244" s="151"/>
      <c r="C244" s="83"/>
      <c r="D244" s="961" t="s">
        <v>741</v>
      </c>
      <c r="E244" s="1448"/>
      <c r="F244" s="622"/>
      <c r="G244" s="622"/>
      <c r="H244" s="622"/>
      <c r="I244" s="622">
        <v>15238</v>
      </c>
      <c r="J244" s="757"/>
    </row>
    <row r="245" spans="1:10" ht="28.5" customHeight="1">
      <c r="A245" s="146"/>
      <c r="B245" s="151"/>
      <c r="C245" s="83"/>
      <c r="D245" s="961" t="s">
        <v>744</v>
      </c>
      <c r="E245" s="1448"/>
      <c r="F245" s="622"/>
      <c r="G245" s="622"/>
      <c r="H245" s="622"/>
      <c r="I245" s="622">
        <v>7348</v>
      </c>
      <c r="J245" s="757"/>
    </row>
    <row r="246" spans="1:10" ht="28.5" customHeight="1">
      <c r="A246" s="146"/>
      <c r="B246" s="151"/>
      <c r="C246" s="83"/>
      <c r="D246" s="961" t="s">
        <v>742</v>
      </c>
      <c r="E246" s="1448"/>
      <c r="F246" s="622"/>
      <c r="G246" s="622"/>
      <c r="H246" s="622"/>
      <c r="I246" s="622">
        <v>15364</v>
      </c>
      <c r="J246" s="757"/>
    </row>
    <row r="247" spans="1:10" ht="28.5" customHeight="1">
      <c r="A247" s="146"/>
      <c r="B247" s="151"/>
      <c r="C247" s="83"/>
      <c r="D247" s="961" t="s">
        <v>465</v>
      </c>
      <c r="E247" s="1448"/>
      <c r="F247" s="622"/>
      <c r="G247" s="622"/>
      <c r="H247" s="622"/>
      <c r="I247" s="622">
        <v>21376</v>
      </c>
      <c r="J247" s="757"/>
    </row>
    <row r="248" spans="1:10" ht="28.5" customHeight="1">
      <c r="A248" s="146"/>
      <c r="B248" s="151"/>
      <c r="C248" s="83"/>
      <c r="D248" s="961" t="s">
        <v>466</v>
      </c>
      <c r="E248" s="1448"/>
      <c r="F248" s="622"/>
      <c r="G248" s="622"/>
      <c r="H248" s="622">
        <v>12420</v>
      </c>
      <c r="I248" s="622"/>
      <c r="J248" s="757"/>
    </row>
    <row r="249" spans="1:10" ht="28.5" customHeight="1">
      <c r="A249" s="146"/>
      <c r="B249" s="151"/>
      <c r="C249" s="83"/>
      <c r="D249" s="961" t="s">
        <v>467</v>
      </c>
      <c r="E249" s="1448"/>
      <c r="F249" s="622"/>
      <c r="G249" s="622"/>
      <c r="H249" s="622">
        <v>19329</v>
      </c>
      <c r="I249" s="622"/>
      <c r="J249" s="757"/>
    </row>
    <row r="250" spans="1:10" ht="28.5" customHeight="1">
      <c r="A250" s="146"/>
      <c r="B250" s="151"/>
      <c r="C250" s="83"/>
      <c r="D250" s="961" t="s">
        <v>468</v>
      </c>
      <c r="E250" s="1448"/>
      <c r="F250" s="622"/>
      <c r="G250" s="622"/>
      <c r="H250" s="622">
        <v>6732</v>
      </c>
      <c r="I250" s="622"/>
      <c r="J250" s="757"/>
    </row>
    <row r="251" spans="1:10" ht="21" customHeight="1">
      <c r="A251" s="146"/>
      <c r="B251" s="151"/>
      <c r="C251" s="83"/>
      <c r="D251" s="961" t="s">
        <v>745</v>
      </c>
      <c r="E251" s="1448"/>
      <c r="F251" s="622"/>
      <c r="G251" s="622"/>
      <c r="H251" s="622">
        <v>7000</v>
      </c>
      <c r="I251" s="622"/>
      <c r="J251" s="757"/>
    </row>
    <row r="252" spans="1:10" ht="18.75" customHeight="1">
      <c r="A252" s="145"/>
      <c r="B252" s="125"/>
      <c r="C252" s="231">
        <v>2540</v>
      </c>
      <c r="D252" s="232" t="s">
        <v>740</v>
      </c>
      <c r="E252" s="1000"/>
      <c r="F252" s="1281"/>
      <c r="G252" s="1281"/>
      <c r="H252" s="1281">
        <f>SUM(H244:H251)</f>
        <v>45481</v>
      </c>
      <c r="I252" s="1281">
        <f>SUM(I244:I251)</f>
        <v>59326</v>
      </c>
      <c r="J252" s="757"/>
    </row>
    <row r="253" spans="1:10" ht="28.5" customHeight="1">
      <c r="A253" s="146"/>
      <c r="B253" s="151"/>
      <c r="C253" s="83"/>
      <c r="D253" s="961" t="s">
        <v>469</v>
      </c>
      <c r="E253" s="1448"/>
      <c r="F253" s="622"/>
      <c r="G253" s="622"/>
      <c r="H253" s="622">
        <v>9961</v>
      </c>
      <c r="I253" s="622"/>
      <c r="J253" s="757"/>
    </row>
    <row r="254" spans="1:10" ht="28.5" customHeight="1">
      <c r="A254" s="146"/>
      <c r="B254" s="151"/>
      <c r="C254" s="83"/>
      <c r="D254" s="961" t="s">
        <v>470</v>
      </c>
      <c r="E254" s="1448"/>
      <c r="F254" s="622"/>
      <c r="G254" s="622"/>
      <c r="H254" s="622">
        <v>890</v>
      </c>
      <c r="I254" s="622"/>
      <c r="J254" s="757"/>
    </row>
    <row r="255" spans="1:10" ht="28.5" customHeight="1">
      <c r="A255" s="146"/>
      <c r="B255" s="151"/>
      <c r="C255" s="83"/>
      <c r="D255" s="961" t="s">
        <v>746</v>
      </c>
      <c r="E255" s="1448"/>
      <c r="F255" s="622"/>
      <c r="G255" s="622"/>
      <c r="H255" s="622">
        <v>2994</v>
      </c>
      <c r="I255" s="622"/>
      <c r="J255" s="757"/>
    </row>
    <row r="256" spans="1:10" ht="39.75" customHeight="1">
      <c r="A256" s="145"/>
      <c r="B256" s="233"/>
      <c r="C256" s="231">
        <v>2590</v>
      </c>
      <c r="D256" s="232" t="s">
        <v>462</v>
      </c>
      <c r="E256" s="1000"/>
      <c r="F256" s="1281"/>
      <c r="G256" s="1281"/>
      <c r="H256" s="1281">
        <f>SUM(H253:H255)</f>
        <v>13845</v>
      </c>
      <c r="I256" s="1281"/>
      <c r="J256" s="757"/>
    </row>
    <row r="257" spans="1:10" ht="18.75" customHeight="1">
      <c r="A257" s="61"/>
      <c r="B257" s="62">
        <v>80130</v>
      </c>
      <c r="C257" s="62"/>
      <c r="D257" s="62" t="s">
        <v>747</v>
      </c>
      <c r="E257" s="1000"/>
      <c r="F257" s="62"/>
      <c r="G257" s="62"/>
      <c r="H257" s="1283">
        <f>H258</f>
        <v>3000</v>
      </c>
      <c r="I257" s="1283">
        <f>I258</f>
        <v>3000</v>
      </c>
      <c r="J257" s="757"/>
    </row>
    <row r="258" spans="1:10" ht="18.75" customHeight="1">
      <c r="A258" s="65"/>
      <c r="B258" s="52"/>
      <c r="C258" s="333"/>
      <c r="D258" s="387" t="s">
        <v>748</v>
      </c>
      <c r="E258" s="1000"/>
      <c r="F258" s="387"/>
      <c r="G258" s="387"/>
      <c r="H258" s="1282">
        <f>H261</f>
        <v>3000</v>
      </c>
      <c r="I258" s="1282">
        <f>I261</f>
        <v>3000</v>
      </c>
      <c r="J258" s="757"/>
    </row>
    <row r="259" spans="1:10" ht="28.5" customHeight="1">
      <c r="A259" s="146"/>
      <c r="B259" s="151"/>
      <c r="C259" s="83"/>
      <c r="D259" s="961" t="s">
        <v>749</v>
      </c>
      <c r="E259" s="1448"/>
      <c r="F259" s="622"/>
      <c r="G259" s="622"/>
      <c r="H259" s="622">
        <v>3000</v>
      </c>
      <c r="I259" s="622"/>
      <c r="J259" s="757"/>
    </row>
    <row r="260" spans="1:10" ht="28.5" customHeight="1">
      <c r="A260" s="146"/>
      <c r="B260" s="151"/>
      <c r="C260" s="83"/>
      <c r="D260" s="961" t="s">
        <v>471</v>
      </c>
      <c r="E260" s="1448"/>
      <c r="F260" s="622"/>
      <c r="G260" s="622"/>
      <c r="H260" s="622"/>
      <c r="I260" s="622">
        <v>3000</v>
      </c>
      <c r="J260" s="757"/>
    </row>
    <row r="261" spans="1:10" ht="39.75" customHeight="1">
      <c r="A261" s="145"/>
      <c r="B261" s="233"/>
      <c r="C261" s="231">
        <v>2590</v>
      </c>
      <c r="D261" s="232" t="s">
        <v>462</v>
      </c>
      <c r="E261" s="1000"/>
      <c r="F261" s="1281"/>
      <c r="G261" s="1281"/>
      <c r="H261" s="1281">
        <f>SUM(H259:H260)</f>
        <v>3000</v>
      </c>
      <c r="I261" s="1281">
        <f>SUM(I259:I260)</f>
        <v>3000</v>
      </c>
      <c r="J261" s="757"/>
    </row>
    <row r="262" spans="1:10" ht="18.75" customHeight="1">
      <c r="A262" s="61"/>
      <c r="B262" s="63">
        <v>80195</v>
      </c>
      <c r="C262" s="63"/>
      <c r="D262" s="63" t="s">
        <v>646</v>
      </c>
      <c r="E262" s="1000"/>
      <c r="F262" s="63"/>
      <c r="G262" s="63"/>
      <c r="H262" s="63"/>
      <c r="I262" s="75">
        <f>I263+I266</f>
        <v>34411</v>
      </c>
      <c r="J262" s="757"/>
    </row>
    <row r="263" spans="1:10" ht="18.75" customHeight="1">
      <c r="A263" s="65"/>
      <c r="B263" s="333"/>
      <c r="C263" s="333"/>
      <c r="D263" s="621" t="s">
        <v>429</v>
      </c>
      <c r="E263" s="1000"/>
      <c r="F263" s="621"/>
      <c r="G263" s="621"/>
      <c r="H263" s="621"/>
      <c r="I263" s="1280">
        <f>I264</f>
        <v>28200</v>
      </c>
      <c r="J263" s="757"/>
    </row>
    <row r="264" spans="1:10" ht="18.75" customHeight="1">
      <c r="A264" s="145"/>
      <c r="B264" s="125"/>
      <c r="C264" s="125">
        <v>4170</v>
      </c>
      <c r="D264" s="1557" t="s">
        <v>674</v>
      </c>
      <c r="E264" s="1000"/>
      <c r="F264" s="1557"/>
      <c r="G264" s="1557"/>
      <c r="H264" s="1557"/>
      <c r="I264" s="1558">
        <f>13600+3000+11600</f>
        <v>28200</v>
      </c>
      <c r="J264" s="757"/>
    </row>
    <row r="265" spans="1:10" ht="18.75" customHeight="1">
      <c r="A265" s="1338"/>
      <c r="B265" s="1339"/>
      <c r="C265" s="1339"/>
      <c r="D265" s="1559"/>
      <c r="E265" s="1560"/>
      <c r="F265" s="1559"/>
      <c r="G265" s="1559"/>
      <c r="H265" s="1559"/>
      <c r="I265" s="1561"/>
      <c r="J265" s="757"/>
    </row>
    <row r="266" spans="1:10" ht="29.25" customHeight="1">
      <c r="A266" s="145"/>
      <c r="B266" s="52"/>
      <c r="C266" s="52"/>
      <c r="D266" s="1340" t="s">
        <v>428</v>
      </c>
      <c r="E266" s="1000"/>
      <c r="F266" s="1601"/>
      <c r="G266" s="1601"/>
      <c r="H266" s="1601"/>
      <c r="I266" s="1602">
        <f>I267</f>
        <v>6211</v>
      </c>
      <c r="J266" s="757"/>
    </row>
    <row r="267" spans="1:10" ht="18.75" customHeight="1">
      <c r="A267" s="145"/>
      <c r="B267" s="67"/>
      <c r="C267" s="233">
        <v>4300</v>
      </c>
      <c r="D267" s="234" t="s">
        <v>664</v>
      </c>
      <c r="E267" s="1000"/>
      <c r="F267" s="234"/>
      <c r="G267" s="234"/>
      <c r="H267" s="234"/>
      <c r="I267" s="1446">
        <v>6211</v>
      </c>
      <c r="J267" s="757"/>
    </row>
    <row r="268" spans="1:10" ht="18.75" customHeight="1">
      <c r="A268" s="74">
        <v>854</v>
      </c>
      <c r="B268" s="74"/>
      <c r="C268" s="74"/>
      <c r="D268" s="74" t="s">
        <v>649</v>
      </c>
      <c r="E268" s="1000"/>
      <c r="F268" s="1284"/>
      <c r="G268" s="1284"/>
      <c r="H268" s="1284">
        <f>H269</f>
        <v>922203</v>
      </c>
      <c r="I268" s="1284">
        <f>I269</f>
        <v>2600</v>
      </c>
      <c r="J268" s="757"/>
    </row>
    <row r="269" spans="1:10" ht="18.75" customHeight="1">
      <c r="A269" s="66"/>
      <c r="B269" s="62">
        <v>85415</v>
      </c>
      <c r="C269" s="62"/>
      <c r="D269" s="62" t="s">
        <v>201</v>
      </c>
      <c r="E269" s="1000"/>
      <c r="F269" s="1283"/>
      <c r="G269" s="1283"/>
      <c r="H269" s="1283">
        <f>H270</f>
        <v>922203</v>
      </c>
      <c r="I269" s="1283">
        <f>I270+I273</f>
        <v>2600</v>
      </c>
      <c r="J269" s="757"/>
    </row>
    <row r="270" spans="1:10" ht="18.75" customHeight="1">
      <c r="A270" s="146"/>
      <c r="B270" s="151"/>
      <c r="C270" s="83"/>
      <c r="D270" s="80" t="s">
        <v>131</v>
      </c>
      <c r="E270" s="1000"/>
      <c r="F270" s="1285"/>
      <c r="G270" s="1285"/>
      <c r="H270" s="1285">
        <f>SUM(H271:H272)</f>
        <v>922203</v>
      </c>
      <c r="I270" s="1285"/>
      <c r="J270" s="757"/>
    </row>
    <row r="271" spans="1:10" ht="18.75" customHeight="1">
      <c r="A271" s="145"/>
      <c r="B271" s="125"/>
      <c r="C271" s="231">
        <v>3240</v>
      </c>
      <c r="D271" s="232" t="s">
        <v>917</v>
      </c>
      <c r="E271" s="1000"/>
      <c r="F271" s="1281"/>
      <c r="G271" s="1281"/>
      <c r="H271" s="1281">
        <f>925163-50000</f>
        <v>875163</v>
      </c>
      <c r="I271" s="1281"/>
      <c r="J271" s="757"/>
    </row>
    <row r="272" spans="1:10" ht="18.75" customHeight="1">
      <c r="A272" s="145"/>
      <c r="B272" s="125"/>
      <c r="C272" s="231">
        <v>3260</v>
      </c>
      <c r="D272" s="232" t="s">
        <v>1</v>
      </c>
      <c r="E272" s="1000"/>
      <c r="F272" s="1281"/>
      <c r="G272" s="1281"/>
      <c r="H272" s="1281">
        <f>48000-960</f>
        <v>47040</v>
      </c>
      <c r="I272" s="1281"/>
      <c r="J272" s="757"/>
    </row>
    <row r="273" spans="1:10" ht="27" customHeight="1">
      <c r="A273" s="146"/>
      <c r="B273" s="151"/>
      <c r="C273" s="945"/>
      <c r="D273" s="80" t="s">
        <v>916</v>
      </c>
      <c r="E273" s="1000"/>
      <c r="F273" s="1285"/>
      <c r="G273" s="1285"/>
      <c r="H273" s="1285"/>
      <c r="I273" s="1285">
        <f>I275</f>
        <v>2600</v>
      </c>
      <c r="J273" s="757"/>
    </row>
    <row r="274" spans="1:10" ht="27" customHeight="1">
      <c r="A274" s="145"/>
      <c r="B274" s="125"/>
      <c r="C274" s="115"/>
      <c r="D274" s="1064" t="s">
        <v>769</v>
      </c>
      <c r="E274" s="1451"/>
      <c r="F274" s="1452"/>
      <c r="G274" s="1452"/>
      <c r="H274" s="1452"/>
      <c r="I274" s="1452">
        <v>2600</v>
      </c>
      <c r="J274" s="757"/>
    </row>
    <row r="275" spans="1:10" ht="39.75" customHeight="1">
      <c r="A275" s="145"/>
      <c r="B275" s="125"/>
      <c r="C275" s="231">
        <v>2590</v>
      </c>
      <c r="D275" s="232" t="s">
        <v>462</v>
      </c>
      <c r="E275" s="1448"/>
      <c r="F275" s="1473"/>
      <c r="G275" s="1473"/>
      <c r="H275" s="1473"/>
      <c r="I275" s="1473">
        <f>I274</f>
        <v>2600</v>
      </c>
      <c r="J275" s="757"/>
    </row>
    <row r="276" spans="1:10" s="330" customFormat="1" ht="18.75" customHeight="1" thickBot="1">
      <c r="A276" s="1286"/>
      <c r="B276" s="1286"/>
      <c r="C276" s="1286"/>
      <c r="D276" s="1002" t="s">
        <v>321</v>
      </c>
      <c r="E276" s="1002"/>
      <c r="F276" s="976"/>
      <c r="G276" s="976"/>
      <c r="H276" s="976">
        <f>H277+H283</f>
        <v>396780</v>
      </c>
      <c r="I276" s="976">
        <f>I277+I283</f>
        <v>1385</v>
      </c>
      <c r="J276" s="329"/>
    </row>
    <row r="277" spans="1:10" ht="18.75" customHeight="1" thickTop="1">
      <c r="A277" s="57">
        <v>801</v>
      </c>
      <c r="B277" s="74"/>
      <c r="C277" s="58"/>
      <c r="D277" s="77" t="s">
        <v>647</v>
      </c>
      <c r="E277" s="777"/>
      <c r="F277" s="77"/>
      <c r="G277" s="77"/>
      <c r="H277" s="432">
        <f>H278</f>
        <v>1002</v>
      </c>
      <c r="I277" s="432">
        <f>I278</f>
        <v>1002</v>
      </c>
      <c r="J277" s="757"/>
    </row>
    <row r="278" spans="1:10" ht="18.75" customHeight="1">
      <c r="A278" s="61"/>
      <c r="B278" s="62">
        <v>80104</v>
      </c>
      <c r="C278" s="62"/>
      <c r="D278" s="62" t="s">
        <v>694</v>
      </c>
      <c r="E278" s="1000"/>
      <c r="F278" s="62"/>
      <c r="G278" s="62"/>
      <c r="H278" s="1283">
        <f>H279</f>
        <v>1002</v>
      </c>
      <c r="I278" s="1283">
        <f>I279</f>
        <v>1002</v>
      </c>
      <c r="J278" s="757"/>
    </row>
    <row r="279" spans="1:10" ht="18.75" customHeight="1">
      <c r="A279" s="65"/>
      <c r="B279" s="333"/>
      <c r="C279" s="333"/>
      <c r="D279" s="621" t="s">
        <v>743</v>
      </c>
      <c r="E279" s="1000"/>
      <c r="F279" s="621"/>
      <c r="G279" s="621"/>
      <c r="H279" s="1280">
        <f>H282</f>
        <v>1002</v>
      </c>
      <c r="I279" s="1280">
        <f>I282</f>
        <v>1002</v>
      </c>
      <c r="J279" s="757"/>
    </row>
    <row r="280" spans="1:10" s="776" customFormat="1" ht="27" customHeight="1">
      <c r="A280" s="145"/>
      <c r="B280" s="125"/>
      <c r="C280" s="125"/>
      <c r="D280" s="1095" t="s">
        <v>742</v>
      </c>
      <c r="E280" s="1447"/>
      <c r="F280" s="1449"/>
      <c r="G280" s="1449"/>
      <c r="H280" s="1450"/>
      <c r="I280" s="1450">
        <v>1002</v>
      </c>
      <c r="J280" s="775"/>
    </row>
    <row r="281" spans="1:10" s="776" customFormat="1" ht="27" customHeight="1">
      <c r="A281" s="145"/>
      <c r="B281" s="125"/>
      <c r="C281" s="125"/>
      <c r="D281" s="1095" t="s">
        <v>468</v>
      </c>
      <c r="E281" s="1447"/>
      <c r="F281" s="1449"/>
      <c r="G281" s="1449"/>
      <c r="H281" s="1450">
        <v>1002</v>
      </c>
      <c r="I281" s="1450"/>
      <c r="J281" s="775"/>
    </row>
    <row r="282" spans="1:10" ht="18.75" customHeight="1">
      <c r="A282" s="145"/>
      <c r="B282" s="125"/>
      <c r="C282" s="233">
        <v>2540</v>
      </c>
      <c r="D282" s="234" t="s">
        <v>740</v>
      </c>
      <c r="E282" s="1000"/>
      <c r="F282" s="234"/>
      <c r="G282" s="234"/>
      <c r="H282" s="1446">
        <f>SUM(H280:H281)</f>
        <v>1002</v>
      </c>
      <c r="I282" s="1446">
        <f>SUM(I280:I281)</f>
        <v>1002</v>
      </c>
      <c r="J282" s="757"/>
    </row>
    <row r="283" spans="1:10" ht="18.75" customHeight="1">
      <c r="A283" s="74">
        <v>854</v>
      </c>
      <c r="B283" s="74"/>
      <c r="C283" s="74"/>
      <c r="D283" s="74" t="s">
        <v>649</v>
      </c>
      <c r="E283" s="1000"/>
      <c r="F283" s="1284"/>
      <c r="G283" s="1284"/>
      <c r="H283" s="1284">
        <f>H284</f>
        <v>395778</v>
      </c>
      <c r="I283" s="1284">
        <f>I284</f>
        <v>383</v>
      </c>
      <c r="J283" s="757"/>
    </row>
    <row r="284" spans="1:10" ht="18.75" customHeight="1">
      <c r="A284" s="66"/>
      <c r="B284" s="62">
        <v>85415</v>
      </c>
      <c r="C284" s="62"/>
      <c r="D284" s="62" t="s">
        <v>201</v>
      </c>
      <c r="E284" s="1000"/>
      <c r="F284" s="1283"/>
      <c r="G284" s="1283"/>
      <c r="H284" s="1283">
        <f>H285</f>
        <v>395778</v>
      </c>
      <c r="I284" s="1283">
        <f>I285</f>
        <v>383</v>
      </c>
      <c r="J284" s="757"/>
    </row>
    <row r="285" spans="1:10" ht="29.25" customHeight="1">
      <c r="A285" s="146"/>
      <c r="B285" s="151"/>
      <c r="C285" s="52"/>
      <c r="D285" s="1340" t="s">
        <v>850</v>
      </c>
      <c r="E285" s="1000"/>
      <c r="F285" s="1563"/>
      <c r="G285" s="1563"/>
      <c r="H285" s="576">
        <f>SUM(H286:H299)</f>
        <v>395778</v>
      </c>
      <c r="I285" s="576">
        <f>SUM(I286:I299)</f>
        <v>383</v>
      </c>
      <c r="J285" s="757"/>
    </row>
    <row r="286" spans="1:10" ht="18.75" customHeight="1">
      <c r="A286" s="145"/>
      <c r="B286" s="125"/>
      <c r="C286" s="231">
        <v>3248</v>
      </c>
      <c r="D286" s="232" t="s">
        <v>917</v>
      </c>
      <c r="E286" s="1000"/>
      <c r="F286" s="1281"/>
      <c r="G286" s="1281"/>
      <c r="H286" s="116">
        <v>259029</v>
      </c>
      <c r="I286" s="116"/>
      <c r="J286" s="757"/>
    </row>
    <row r="287" spans="1:10" ht="18.75" customHeight="1">
      <c r="A287" s="145"/>
      <c r="B287" s="125"/>
      <c r="C287" s="231">
        <v>3249</v>
      </c>
      <c r="D287" s="232" t="s">
        <v>917</v>
      </c>
      <c r="E287" s="1000"/>
      <c r="F287" s="1281"/>
      <c r="G287" s="1281"/>
      <c r="H287" s="116">
        <v>121616</v>
      </c>
      <c r="I287" s="116"/>
      <c r="J287" s="757"/>
    </row>
    <row r="288" spans="1:10" ht="18.75" customHeight="1">
      <c r="A288" s="145"/>
      <c r="B288" s="125"/>
      <c r="C288" s="231">
        <v>4118</v>
      </c>
      <c r="D288" s="232" t="s">
        <v>729</v>
      </c>
      <c r="E288" s="1000"/>
      <c r="F288" s="1281"/>
      <c r="G288" s="1281"/>
      <c r="H288" s="116">
        <v>2018</v>
      </c>
      <c r="I288" s="116"/>
      <c r="J288" s="757"/>
    </row>
    <row r="289" spans="1:10" ht="18.75" customHeight="1">
      <c r="A289" s="145"/>
      <c r="B289" s="125"/>
      <c r="C289" s="231">
        <v>4119</v>
      </c>
      <c r="D289" s="232" t="s">
        <v>729</v>
      </c>
      <c r="E289" s="1000"/>
      <c r="F289" s="1281"/>
      <c r="G289" s="1281"/>
      <c r="H289" s="116">
        <v>948</v>
      </c>
      <c r="I289" s="116"/>
      <c r="J289" s="757"/>
    </row>
    <row r="290" spans="1:10" ht="18.75" customHeight="1">
      <c r="A290" s="145"/>
      <c r="B290" s="125"/>
      <c r="C290" s="231">
        <v>4128</v>
      </c>
      <c r="D290" s="232" t="s">
        <v>730</v>
      </c>
      <c r="E290" s="1000"/>
      <c r="F290" s="1281"/>
      <c r="G290" s="1281"/>
      <c r="H290" s="116">
        <v>283</v>
      </c>
      <c r="I290" s="116"/>
      <c r="J290" s="757"/>
    </row>
    <row r="291" spans="1:10" ht="18.75" customHeight="1">
      <c r="A291" s="145"/>
      <c r="B291" s="125"/>
      <c r="C291" s="231">
        <v>4129</v>
      </c>
      <c r="D291" s="232" t="s">
        <v>730</v>
      </c>
      <c r="E291" s="1000"/>
      <c r="F291" s="1281"/>
      <c r="G291" s="1281"/>
      <c r="H291" s="116">
        <v>133</v>
      </c>
      <c r="I291" s="116"/>
      <c r="J291" s="757"/>
    </row>
    <row r="292" spans="1:10" ht="18.75" customHeight="1">
      <c r="A292" s="145"/>
      <c r="B292" s="125"/>
      <c r="C292" s="231">
        <v>4178</v>
      </c>
      <c r="D292" s="232" t="s">
        <v>674</v>
      </c>
      <c r="E292" s="1000"/>
      <c r="F292" s="1281"/>
      <c r="G292" s="1281"/>
      <c r="H292" s="116">
        <v>7702</v>
      </c>
      <c r="I292" s="116"/>
      <c r="J292" s="757"/>
    </row>
    <row r="293" spans="1:10" ht="18.75" customHeight="1">
      <c r="A293" s="145"/>
      <c r="B293" s="125"/>
      <c r="C293" s="231">
        <v>4179</v>
      </c>
      <c r="D293" s="232" t="s">
        <v>674</v>
      </c>
      <c r="E293" s="1000"/>
      <c r="F293" s="1281"/>
      <c r="G293" s="1281"/>
      <c r="H293" s="116">
        <v>3616</v>
      </c>
      <c r="I293" s="116"/>
      <c r="J293" s="757"/>
    </row>
    <row r="294" spans="1:10" ht="18.75" customHeight="1">
      <c r="A294" s="145"/>
      <c r="B294" s="125"/>
      <c r="C294" s="231">
        <v>4218</v>
      </c>
      <c r="D294" s="232" t="s">
        <v>663</v>
      </c>
      <c r="E294" s="1000"/>
      <c r="F294" s="1281"/>
      <c r="G294" s="1281"/>
      <c r="H294" s="116"/>
      <c r="I294" s="116">
        <v>261</v>
      </c>
      <c r="J294" s="757"/>
    </row>
    <row r="295" spans="1:10" ht="18.75" customHeight="1">
      <c r="A295" s="870"/>
      <c r="B295" s="233"/>
      <c r="C295" s="231">
        <v>4219</v>
      </c>
      <c r="D295" s="232" t="s">
        <v>663</v>
      </c>
      <c r="E295" s="1564"/>
      <c r="F295" s="1281"/>
      <c r="G295" s="1281"/>
      <c r="H295" s="116"/>
      <c r="I295" s="116">
        <v>122</v>
      </c>
      <c r="J295" s="757"/>
    </row>
    <row r="296" spans="1:10" ht="18.75" customHeight="1">
      <c r="A296" s="145"/>
      <c r="B296" s="125"/>
      <c r="C296" s="231">
        <v>4308</v>
      </c>
      <c r="D296" s="232" t="s">
        <v>664</v>
      </c>
      <c r="E296" s="1000"/>
      <c r="F296" s="1281"/>
      <c r="G296" s="1281"/>
      <c r="H296" s="310">
        <v>34</v>
      </c>
      <c r="I296" s="310"/>
      <c r="J296" s="757"/>
    </row>
    <row r="297" spans="1:10" ht="18.75" customHeight="1">
      <c r="A297" s="145"/>
      <c r="B297" s="125"/>
      <c r="C297" s="231">
        <v>4309</v>
      </c>
      <c r="D297" s="232" t="s">
        <v>664</v>
      </c>
      <c r="E297" s="1000"/>
      <c r="F297" s="1281"/>
      <c r="G297" s="1281"/>
      <c r="H297" s="116">
        <v>16</v>
      </c>
      <c r="I297" s="116"/>
      <c r="J297" s="757"/>
    </row>
    <row r="298" spans="1:10" ht="18.75" customHeight="1">
      <c r="A298" s="145"/>
      <c r="B298" s="125"/>
      <c r="C298" s="231">
        <v>6068</v>
      </c>
      <c r="D298" s="232" t="s">
        <v>895</v>
      </c>
      <c r="E298" s="1000"/>
      <c r="F298" s="1281"/>
      <c r="G298" s="1281"/>
      <c r="H298" s="116">
        <v>261</v>
      </c>
      <c r="I298" s="116"/>
      <c r="J298" s="757"/>
    </row>
    <row r="299" spans="1:10" ht="18.75" customHeight="1">
      <c r="A299" s="145"/>
      <c r="B299" s="125"/>
      <c r="C299" s="231">
        <v>6069</v>
      </c>
      <c r="D299" s="232" t="s">
        <v>895</v>
      </c>
      <c r="E299" s="1000"/>
      <c r="F299" s="1281"/>
      <c r="G299" s="1281"/>
      <c r="H299" s="116">
        <v>122</v>
      </c>
      <c r="I299" s="116"/>
      <c r="J299" s="757"/>
    </row>
    <row r="300" spans="1:10" s="835" customFormat="1" ht="18" customHeight="1">
      <c r="A300" s="151"/>
      <c r="B300" s="839"/>
      <c r="C300" s="840"/>
      <c r="D300" s="837" t="s">
        <v>890</v>
      </c>
      <c r="E300" s="837"/>
      <c r="F300" s="1001"/>
      <c r="G300" s="1001"/>
      <c r="H300" s="838">
        <f>H301</f>
        <v>15269</v>
      </c>
      <c r="I300" s="838"/>
      <c r="J300" s="834"/>
    </row>
    <row r="301" spans="1:10" s="330" customFormat="1" ht="29.25" customHeight="1" thickBot="1">
      <c r="A301" s="233"/>
      <c r="B301" s="233"/>
      <c r="C301" s="233"/>
      <c r="D301" s="124" t="s">
        <v>678</v>
      </c>
      <c r="E301" s="1002"/>
      <c r="F301" s="976"/>
      <c r="G301" s="976"/>
      <c r="H301" s="976">
        <f>H302</f>
        <v>15269</v>
      </c>
      <c r="I301" s="976"/>
      <c r="J301" s="329"/>
    </row>
    <row r="302" spans="1:10" s="330" customFormat="1" ht="18.75" customHeight="1" thickTop="1">
      <c r="A302" s="799">
        <v>750</v>
      </c>
      <c r="B302" s="800"/>
      <c r="C302" s="800"/>
      <c r="D302" s="800" t="s">
        <v>651</v>
      </c>
      <c r="E302" s="850"/>
      <c r="F302" s="802"/>
      <c r="G302" s="802"/>
      <c r="H302" s="802">
        <f>H303</f>
        <v>15269</v>
      </c>
      <c r="I302" s="802"/>
      <c r="J302" s="329"/>
    </row>
    <row r="303" spans="1:10" s="330" customFormat="1" ht="18.75" customHeight="1">
      <c r="A303" s="803"/>
      <c r="B303" s="932">
        <v>75045</v>
      </c>
      <c r="C303" s="852"/>
      <c r="D303" s="854" t="s">
        <v>886</v>
      </c>
      <c r="E303" s="822"/>
      <c r="F303" s="823"/>
      <c r="G303" s="823"/>
      <c r="H303" s="823">
        <f>H304</f>
        <v>15269</v>
      </c>
      <c r="I303" s="823"/>
      <c r="J303" s="329"/>
    </row>
    <row r="304" spans="1:10" s="330" customFormat="1" ht="18.75" customHeight="1">
      <c r="A304" s="316"/>
      <c r="B304" s="316"/>
      <c r="C304" s="904"/>
      <c r="D304" s="808" t="s">
        <v>889</v>
      </c>
      <c r="E304" s="1003"/>
      <c r="F304" s="1004"/>
      <c r="G304" s="1004"/>
      <c r="H304" s="1004">
        <f>H305</f>
        <v>15269</v>
      </c>
      <c r="I304" s="1004"/>
      <c r="J304" s="329"/>
    </row>
    <row r="305" spans="1:10" s="330" customFormat="1" ht="18.75" customHeight="1">
      <c r="A305" s="145"/>
      <c r="B305" s="125"/>
      <c r="C305" s="231">
        <v>4300</v>
      </c>
      <c r="D305" s="232" t="s">
        <v>664</v>
      </c>
      <c r="E305" s="232"/>
      <c r="F305" s="121"/>
      <c r="G305" s="121"/>
      <c r="H305" s="121">
        <v>15269</v>
      </c>
      <c r="I305" s="121"/>
      <c r="J305" s="329"/>
    </row>
    <row r="306" spans="1:10" s="819" customFormat="1" ht="18.75" customHeight="1">
      <c r="A306" s="813"/>
      <c r="B306" s="814"/>
      <c r="C306" s="815"/>
      <c r="D306" s="816" t="s">
        <v>91</v>
      </c>
      <c r="E306" s="816"/>
      <c r="F306" s="817"/>
      <c r="G306" s="817"/>
      <c r="H306" s="817">
        <f>H307</f>
        <v>145514</v>
      </c>
      <c r="I306" s="817">
        <f>I307</f>
        <v>158514</v>
      </c>
      <c r="J306" s="818"/>
    </row>
    <row r="307" spans="1:10" s="118" customFormat="1" ht="18.75" customHeight="1" thickBot="1">
      <c r="A307" s="233"/>
      <c r="B307" s="233"/>
      <c r="C307" s="233"/>
      <c r="D307" s="124" t="s">
        <v>640</v>
      </c>
      <c r="E307" s="124"/>
      <c r="F307" s="123"/>
      <c r="G307" s="123"/>
      <c r="H307" s="133">
        <f>H315+H308+H326+H355+H348+H360</f>
        <v>145514</v>
      </c>
      <c r="I307" s="133">
        <f>I315+I308+I326+I355+I348+I360</f>
        <v>158514</v>
      </c>
      <c r="J307" s="117"/>
    </row>
    <row r="308" spans="1:10" s="118" customFormat="1" ht="18.75" customHeight="1" thickTop="1">
      <c r="A308" s="74">
        <v>700</v>
      </c>
      <c r="B308" s="74"/>
      <c r="C308" s="74"/>
      <c r="D308" s="74" t="s">
        <v>679</v>
      </c>
      <c r="E308" s="923"/>
      <c r="F308" s="381"/>
      <c r="G308" s="381"/>
      <c r="H308" s="60">
        <f>H309</f>
        <v>58149</v>
      </c>
      <c r="I308" s="60">
        <f>I309</f>
        <v>58149</v>
      </c>
      <c r="J308" s="117"/>
    </row>
    <row r="309" spans="1:10" s="118" customFormat="1" ht="18.75" customHeight="1">
      <c r="A309" s="383"/>
      <c r="B309" s="62">
        <v>70001</v>
      </c>
      <c r="C309" s="62"/>
      <c r="D309" s="62" t="s">
        <v>821</v>
      </c>
      <c r="E309" s="923"/>
      <c r="F309" s="64"/>
      <c r="G309" s="64"/>
      <c r="H309" s="106">
        <f>H310</f>
        <v>58149</v>
      </c>
      <c r="I309" s="106">
        <f>I310</f>
        <v>58149</v>
      </c>
      <c r="J309" s="117"/>
    </row>
    <row r="310" spans="1:10" s="118" customFormat="1" ht="18.75" customHeight="1">
      <c r="A310" s="146"/>
      <c r="B310" s="151"/>
      <c r="C310" s="83"/>
      <c r="D310" s="80" t="s">
        <v>826</v>
      </c>
      <c r="E310" s="1222"/>
      <c r="F310" s="380"/>
      <c r="G310" s="380"/>
      <c r="H310" s="1606">
        <f>H314</f>
        <v>58149</v>
      </c>
      <c r="I310" s="1606">
        <f>I314</f>
        <v>58149</v>
      </c>
      <c r="J310" s="117"/>
    </row>
    <row r="311" spans="1:10" s="118" customFormat="1" ht="18.75" customHeight="1">
      <c r="A311" s="70"/>
      <c r="B311" s="70"/>
      <c r="C311" s="70"/>
      <c r="D311" s="1603" t="s">
        <v>823</v>
      </c>
      <c r="E311" s="923"/>
      <c r="F311" s="1604"/>
      <c r="G311" s="1604"/>
      <c r="H311" s="1605">
        <f>100000-50000</f>
        <v>50000</v>
      </c>
      <c r="I311" s="1605"/>
      <c r="J311" s="117"/>
    </row>
    <row r="312" spans="1:10" s="118" customFormat="1" ht="18.75" customHeight="1">
      <c r="A312" s="70"/>
      <c r="B312" s="70"/>
      <c r="C312" s="70"/>
      <c r="D312" s="911" t="s">
        <v>824</v>
      </c>
      <c r="E312" s="923"/>
      <c r="F312" s="924"/>
      <c r="G312" s="924"/>
      <c r="H312" s="912"/>
      <c r="I312" s="912">
        <f>59930-1781</f>
        <v>58149</v>
      </c>
      <c r="J312" s="117"/>
    </row>
    <row r="313" spans="1:10" s="118" customFormat="1" ht="18.75" customHeight="1">
      <c r="A313" s="70"/>
      <c r="B313" s="70"/>
      <c r="C313" s="70"/>
      <c r="D313" s="911" t="s">
        <v>825</v>
      </c>
      <c r="E313" s="923"/>
      <c r="F313" s="924"/>
      <c r="G313" s="924"/>
      <c r="H313" s="912">
        <v>8149</v>
      </c>
      <c r="I313" s="912"/>
      <c r="J313" s="117"/>
    </row>
    <row r="314" spans="1:10" s="118" customFormat="1" ht="18.75" customHeight="1">
      <c r="A314" s="870"/>
      <c r="B314" s="233"/>
      <c r="C314" s="231">
        <v>2650</v>
      </c>
      <c r="D314" s="232" t="s">
        <v>822</v>
      </c>
      <c r="E314" s="1397"/>
      <c r="F314" s="232"/>
      <c r="G314" s="232"/>
      <c r="H314" s="310">
        <f>SUM(H311:H313)</f>
        <v>58149</v>
      </c>
      <c r="I314" s="310">
        <f>SUM(I311:I313)</f>
        <v>58149</v>
      </c>
      <c r="J314" s="117"/>
    </row>
    <row r="315" spans="1:10" s="798" customFormat="1" ht="19.5" customHeight="1">
      <c r="A315" s="801">
        <v>758</v>
      </c>
      <c r="B315" s="801"/>
      <c r="C315" s="801"/>
      <c r="D315" s="801" t="s">
        <v>642</v>
      </c>
      <c r="E315" s="850"/>
      <c r="F315" s="902"/>
      <c r="G315" s="902"/>
      <c r="H315" s="902">
        <f>H316</f>
        <v>30287</v>
      </c>
      <c r="I315" s="902">
        <f>I316</f>
        <v>30287</v>
      </c>
      <c r="J315" s="797"/>
    </row>
    <row r="316" spans="1:10" s="762" customFormat="1" ht="19.5" customHeight="1">
      <c r="A316" s="766"/>
      <c r="B316" s="62">
        <v>75860</v>
      </c>
      <c r="C316" s="62"/>
      <c r="D316" s="62" t="s">
        <v>819</v>
      </c>
      <c r="E316" s="761"/>
      <c r="F316" s="769"/>
      <c r="G316" s="769"/>
      <c r="H316" s="106">
        <f>H317</f>
        <v>30287</v>
      </c>
      <c r="I316" s="106">
        <f>I317</f>
        <v>30287</v>
      </c>
      <c r="J316" s="631"/>
    </row>
    <row r="317" spans="1:10" ht="27" customHeight="1">
      <c r="A317" s="763"/>
      <c r="B317" s="151"/>
      <c r="C317" s="83"/>
      <c r="D317" s="80" t="s">
        <v>820</v>
      </c>
      <c r="E317" s="781"/>
      <c r="F317" s="380"/>
      <c r="G317" s="380"/>
      <c r="H317" s="112">
        <f>SUM(H318:H325)</f>
        <v>30287</v>
      </c>
      <c r="I317" s="112">
        <f>SUM(I318:I325)</f>
        <v>30287</v>
      </c>
      <c r="J317" s="757"/>
    </row>
    <row r="318" spans="1:10" s="776" customFormat="1" ht="19.5" customHeight="1">
      <c r="A318" s="765"/>
      <c r="B318" s="125"/>
      <c r="C318" s="231">
        <v>4110</v>
      </c>
      <c r="D318" s="232" t="s">
        <v>729</v>
      </c>
      <c r="E318" s="779"/>
      <c r="F318" s="121"/>
      <c r="G318" s="121"/>
      <c r="H318" s="116"/>
      <c r="I318" s="116">
        <v>181</v>
      </c>
      <c r="J318" s="775"/>
    </row>
    <row r="319" spans="1:10" s="776" customFormat="1" ht="19.5" customHeight="1">
      <c r="A319" s="789"/>
      <c r="B319" s="125"/>
      <c r="C319" s="231">
        <v>4120</v>
      </c>
      <c r="D319" s="232" t="s">
        <v>730</v>
      </c>
      <c r="E319" s="906"/>
      <c r="F319" s="121"/>
      <c r="G319" s="121"/>
      <c r="H319" s="116"/>
      <c r="I319" s="116">
        <v>26</v>
      </c>
      <c r="J319" s="775"/>
    </row>
    <row r="320" spans="1:10" s="776" customFormat="1" ht="19.5" customHeight="1">
      <c r="A320" s="789"/>
      <c r="B320" s="125"/>
      <c r="C320" s="231">
        <v>4170</v>
      </c>
      <c r="D320" s="232" t="s">
        <v>674</v>
      </c>
      <c r="E320" s="906"/>
      <c r="F320" s="121"/>
      <c r="G320" s="121"/>
      <c r="H320" s="116">
        <v>181</v>
      </c>
      <c r="I320" s="116"/>
      <c r="J320" s="775"/>
    </row>
    <row r="321" spans="1:10" s="776" customFormat="1" ht="19.5" customHeight="1">
      <c r="A321" s="789"/>
      <c r="B321" s="125"/>
      <c r="C321" s="231">
        <v>4178</v>
      </c>
      <c r="D321" s="232" t="s">
        <v>674</v>
      </c>
      <c r="E321" s="906"/>
      <c r="F321" s="121"/>
      <c r="G321" s="121"/>
      <c r="H321" s="310">
        <v>22560</v>
      </c>
      <c r="I321" s="310"/>
      <c r="J321" s="775"/>
    </row>
    <row r="322" spans="1:10" s="776" customFormat="1" ht="19.5" customHeight="1">
      <c r="A322" s="789"/>
      <c r="B322" s="125"/>
      <c r="C322" s="231">
        <v>4179</v>
      </c>
      <c r="D322" s="232" t="s">
        <v>674</v>
      </c>
      <c r="E322" s="906"/>
      <c r="F322" s="121"/>
      <c r="G322" s="121"/>
      <c r="H322" s="310">
        <v>7520</v>
      </c>
      <c r="I322" s="310"/>
      <c r="J322" s="775"/>
    </row>
    <row r="323" spans="1:10" s="776" customFormat="1" ht="19.5" customHeight="1">
      <c r="A323" s="789"/>
      <c r="B323" s="125"/>
      <c r="C323" s="231">
        <v>4308</v>
      </c>
      <c r="D323" s="232" t="s">
        <v>664</v>
      </c>
      <c r="E323" s="906"/>
      <c r="F323" s="121"/>
      <c r="G323" s="121"/>
      <c r="H323" s="310"/>
      <c r="I323" s="310">
        <v>22560</v>
      </c>
      <c r="J323" s="775"/>
    </row>
    <row r="324" spans="1:10" s="776" customFormat="1" ht="19.5" customHeight="1">
      <c r="A324" s="789"/>
      <c r="B324" s="125"/>
      <c r="C324" s="231">
        <v>4309</v>
      </c>
      <c r="D324" s="232" t="s">
        <v>664</v>
      </c>
      <c r="E324" s="906"/>
      <c r="F324" s="121"/>
      <c r="G324" s="121"/>
      <c r="H324" s="310"/>
      <c r="I324" s="310">
        <v>7520</v>
      </c>
      <c r="J324" s="775"/>
    </row>
    <row r="325" spans="1:10" s="776" customFormat="1" ht="19.5" customHeight="1">
      <c r="A325" s="789"/>
      <c r="B325" s="125"/>
      <c r="C325" s="231">
        <v>4420</v>
      </c>
      <c r="D325" s="232" t="s">
        <v>701</v>
      </c>
      <c r="E325" s="906"/>
      <c r="F325" s="121"/>
      <c r="G325" s="121"/>
      <c r="H325" s="310">
        <v>26</v>
      </c>
      <c r="I325" s="310"/>
      <c r="J325" s="775"/>
    </row>
    <row r="326" spans="1:10" s="776" customFormat="1" ht="19.5" customHeight="1">
      <c r="A326" s="74">
        <v>851</v>
      </c>
      <c r="B326" s="74"/>
      <c r="C326" s="74"/>
      <c r="D326" s="74" t="s">
        <v>650</v>
      </c>
      <c r="E326" s="906"/>
      <c r="F326" s="381"/>
      <c r="G326" s="381"/>
      <c r="H326" s="60">
        <f>H327+H339</f>
        <v>47400</v>
      </c>
      <c r="I326" s="60">
        <f>I327+I339</f>
        <v>40400</v>
      </c>
      <c r="J326" s="775"/>
    </row>
    <row r="327" spans="1:10" s="776" customFormat="1" ht="19.5" customHeight="1">
      <c r="A327" s="339"/>
      <c r="B327" s="62">
        <v>85153</v>
      </c>
      <c r="C327" s="62"/>
      <c r="D327" s="62" t="s">
        <v>832</v>
      </c>
      <c r="E327" s="779"/>
      <c r="F327" s="64"/>
      <c r="G327" s="64"/>
      <c r="H327" s="106">
        <f>H328</f>
        <v>17400</v>
      </c>
      <c r="I327" s="106">
        <f>I328</f>
        <v>10400</v>
      </c>
      <c r="J327" s="775"/>
    </row>
    <row r="328" spans="1:10" s="776" customFormat="1" ht="27" customHeight="1">
      <c r="A328" s="146"/>
      <c r="B328" s="151"/>
      <c r="C328" s="151"/>
      <c r="D328" s="1565" t="s">
        <v>833</v>
      </c>
      <c r="E328" s="906"/>
      <c r="F328" s="1566"/>
      <c r="G328" s="1566"/>
      <c r="H328" s="1567">
        <f>H329+H331+H335+H337</f>
        <v>17400</v>
      </c>
      <c r="I328" s="1567">
        <f>I329+I331+I335+I337</f>
        <v>10400</v>
      </c>
      <c r="J328" s="775"/>
    </row>
    <row r="329" spans="1:10" s="776" customFormat="1" ht="27" customHeight="1">
      <c r="A329" s="146"/>
      <c r="B329" s="151"/>
      <c r="C329" s="83"/>
      <c r="D329" s="80" t="s">
        <v>855</v>
      </c>
      <c r="E329" s="906"/>
      <c r="F329" s="380"/>
      <c r="G329" s="380"/>
      <c r="H329" s="576">
        <f>H330</f>
        <v>4800</v>
      </c>
      <c r="I329" s="576"/>
      <c r="J329" s="775"/>
    </row>
    <row r="330" spans="1:10" s="776" customFormat="1" ht="19.5" customHeight="1">
      <c r="A330" s="145"/>
      <c r="B330" s="125"/>
      <c r="C330" s="233">
        <v>4280</v>
      </c>
      <c r="D330" s="234" t="s">
        <v>732</v>
      </c>
      <c r="E330" s="906"/>
      <c r="F330" s="235"/>
      <c r="G330" s="235"/>
      <c r="H330" s="235">
        <v>4800</v>
      </c>
      <c r="I330" s="235"/>
      <c r="J330" s="775"/>
    </row>
    <row r="331" spans="1:10" s="776" customFormat="1" ht="27.75" customHeight="1">
      <c r="A331" s="146"/>
      <c r="B331" s="151"/>
      <c r="C331" s="83"/>
      <c r="D331" s="80" t="s">
        <v>856</v>
      </c>
      <c r="E331" s="906"/>
      <c r="F331" s="380"/>
      <c r="G331" s="380"/>
      <c r="H331" s="576">
        <f>SUM(H332:H334)</f>
        <v>12600</v>
      </c>
      <c r="I331" s="576">
        <f>SUM(I332:I334)</f>
        <v>5600</v>
      </c>
      <c r="J331" s="775"/>
    </row>
    <row r="332" spans="1:10" s="776" customFormat="1" ht="19.5" customHeight="1">
      <c r="A332" s="145"/>
      <c r="B332" s="125"/>
      <c r="C332" s="233">
        <v>4170</v>
      </c>
      <c r="D332" s="234" t="s">
        <v>674</v>
      </c>
      <c r="E332" s="906"/>
      <c r="F332" s="235"/>
      <c r="G332" s="235"/>
      <c r="H332" s="235"/>
      <c r="I332" s="235">
        <v>2100</v>
      </c>
      <c r="J332" s="775"/>
    </row>
    <row r="333" spans="1:10" s="776" customFormat="1" ht="19.5" customHeight="1">
      <c r="A333" s="145"/>
      <c r="B333" s="125"/>
      <c r="C333" s="122">
        <v>4210</v>
      </c>
      <c r="D333" s="591" t="s">
        <v>663</v>
      </c>
      <c r="E333" s="906"/>
      <c r="F333" s="501"/>
      <c r="G333" s="501"/>
      <c r="H333" s="235"/>
      <c r="I333" s="235">
        <f>3500</f>
        <v>3500</v>
      </c>
      <c r="J333" s="775"/>
    </row>
    <row r="334" spans="1:10" s="776" customFormat="1" ht="19.5" customHeight="1">
      <c r="A334" s="145"/>
      <c r="B334" s="125"/>
      <c r="C334" s="122">
        <v>4300</v>
      </c>
      <c r="D334" s="591" t="s">
        <v>664</v>
      </c>
      <c r="E334" s="906"/>
      <c r="F334" s="501"/>
      <c r="G334" s="501"/>
      <c r="H334" s="235">
        <f>12600</f>
        <v>12600</v>
      </c>
      <c r="I334" s="235"/>
      <c r="J334" s="775"/>
    </row>
    <row r="335" spans="1:10" s="776" customFormat="1" ht="50.25" customHeight="1">
      <c r="A335" s="146"/>
      <c r="B335" s="151"/>
      <c r="C335" s="945"/>
      <c r="D335" s="860" t="s">
        <v>857</v>
      </c>
      <c r="E335" s="906"/>
      <c r="F335" s="864"/>
      <c r="G335" s="864"/>
      <c r="H335" s="576"/>
      <c r="I335" s="576">
        <f>I336</f>
        <v>1800</v>
      </c>
      <c r="J335" s="775"/>
    </row>
    <row r="336" spans="1:10" s="776" customFormat="1" ht="19.5" customHeight="1">
      <c r="A336" s="145"/>
      <c r="B336" s="125"/>
      <c r="C336" s="233">
        <v>4300</v>
      </c>
      <c r="D336" s="234" t="s">
        <v>664</v>
      </c>
      <c r="E336" s="906"/>
      <c r="F336" s="235"/>
      <c r="G336" s="235"/>
      <c r="H336" s="235"/>
      <c r="I336" s="235">
        <v>1800</v>
      </c>
      <c r="J336" s="775"/>
    </row>
    <row r="337" spans="1:10" s="776" customFormat="1" ht="19.5" customHeight="1">
      <c r="A337" s="146"/>
      <c r="B337" s="151"/>
      <c r="C337" s="945"/>
      <c r="D337" s="860" t="s">
        <v>858</v>
      </c>
      <c r="E337" s="906"/>
      <c r="F337" s="864"/>
      <c r="G337" s="864"/>
      <c r="H337" s="576"/>
      <c r="I337" s="576">
        <f>I338</f>
        <v>3000</v>
      </c>
      <c r="J337" s="775"/>
    </row>
    <row r="338" spans="1:10" s="776" customFormat="1" ht="19.5" customHeight="1">
      <c r="A338" s="145"/>
      <c r="B338" s="125"/>
      <c r="C338" s="233">
        <v>4210</v>
      </c>
      <c r="D338" s="234" t="s">
        <v>663</v>
      </c>
      <c r="E338" s="906"/>
      <c r="F338" s="235"/>
      <c r="G338" s="235"/>
      <c r="H338" s="235"/>
      <c r="I338" s="235">
        <v>3000</v>
      </c>
      <c r="J338" s="775"/>
    </row>
    <row r="339" spans="1:10" s="776" customFormat="1" ht="19.5" customHeight="1">
      <c r="A339" s="66"/>
      <c r="B339" s="62">
        <v>85154</v>
      </c>
      <c r="C339" s="62"/>
      <c r="D339" s="62" t="s">
        <v>673</v>
      </c>
      <c r="E339" s="906"/>
      <c r="F339" s="64"/>
      <c r="G339" s="64"/>
      <c r="H339" s="106">
        <f>H340</f>
        <v>30000</v>
      </c>
      <c r="I339" s="106">
        <f>I340</f>
        <v>30000</v>
      </c>
      <c r="J339" s="775"/>
    </row>
    <row r="340" spans="1:10" s="776" customFormat="1" ht="27.75" customHeight="1">
      <c r="A340" s="146"/>
      <c r="B340" s="151"/>
      <c r="C340" s="147"/>
      <c r="D340" s="1568" t="s">
        <v>859</v>
      </c>
      <c r="E340" s="1569"/>
      <c r="F340" s="1570"/>
      <c r="G340" s="1570"/>
      <c r="H340" s="1571">
        <f>H341+H344</f>
        <v>30000</v>
      </c>
      <c r="I340" s="1571">
        <f>I341+I344</f>
        <v>30000</v>
      </c>
      <c r="J340" s="775"/>
    </row>
    <row r="341" spans="1:10" s="776" customFormat="1" ht="63.75" customHeight="1">
      <c r="A341" s="146"/>
      <c r="B341" s="151"/>
      <c r="C341" s="83"/>
      <c r="D341" s="80" t="s">
        <v>781</v>
      </c>
      <c r="E341" s="906"/>
      <c r="F341" s="380"/>
      <c r="G341" s="380"/>
      <c r="H341" s="576">
        <f>SUM(H342:H343)</f>
        <v>20000</v>
      </c>
      <c r="I341" s="576">
        <f>SUM(I342:I343)</f>
        <v>20000</v>
      </c>
      <c r="J341" s="775"/>
    </row>
    <row r="342" spans="1:10" s="776" customFormat="1" ht="19.5" customHeight="1">
      <c r="A342" s="145"/>
      <c r="B342" s="125"/>
      <c r="C342" s="233">
        <v>4210</v>
      </c>
      <c r="D342" s="234" t="s">
        <v>663</v>
      </c>
      <c r="E342" s="906"/>
      <c r="F342" s="235"/>
      <c r="G342" s="235"/>
      <c r="H342" s="235"/>
      <c r="I342" s="235">
        <v>20000</v>
      </c>
      <c r="J342" s="775"/>
    </row>
    <row r="343" spans="1:10" s="776" customFormat="1" ht="19.5" customHeight="1">
      <c r="A343" s="145"/>
      <c r="B343" s="125"/>
      <c r="C343" s="122">
        <v>4300</v>
      </c>
      <c r="D343" s="591" t="s">
        <v>664</v>
      </c>
      <c r="E343" s="906"/>
      <c r="F343" s="501"/>
      <c r="G343" s="501"/>
      <c r="H343" s="235">
        <v>20000</v>
      </c>
      <c r="I343" s="235"/>
      <c r="J343" s="775"/>
    </row>
    <row r="344" spans="1:10" s="776" customFormat="1" ht="19.5" customHeight="1">
      <c r="A344" s="146"/>
      <c r="B344" s="151"/>
      <c r="C344" s="83"/>
      <c r="D344" s="80" t="s">
        <v>858</v>
      </c>
      <c r="E344" s="906"/>
      <c r="F344" s="380"/>
      <c r="G344" s="380"/>
      <c r="H344" s="576">
        <f>SUM(H345:H347)</f>
        <v>10000</v>
      </c>
      <c r="I344" s="576">
        <f>SUM(I345:I347)</f>
        <v>10000</v>
      </c>
      <c r="J344" s="775"/>
    </row>
    <row r="345" spans="1:10" s="776" customFormat="1" ht="19.5" customHeight="1">
      <c r="A345" s="145"/>
      <c r="B345" s="125"/>
      <c r="C345" s="233">
        <v>4170</v>
      </c>
      <c r="D345" s="234" t="s">
        <v>674</v>
      </c>
      <c r="E345" s="906"/>
      <c r="F345" s="235"/>
      <c r="G345" s="235"/>
      <c r="H345" s="235">
        <v>3000</v>
      </c>
      <c r="I345" s="235"/>
      <c r="J345" s="775"/>
    </row>
    <row r="346" spans="1:10" s="776" customFormat="1" ht="19.5" customHeight="1">
      <c r="A346" s="145"/>
      <c r="B346" s="125"/>
      <c r="C346" s="122">
        <v>4210</v>
      </c>
      <c r="D346" s="591" t="s">
        <v>663</v>
      </c>
      <c r="E346" s="906"/>
      <c r="F346" s="501"/>
      <c r="G346" s="501"/>
      <c r="H346" s="235"/>
      <c r="I346" s="235">
        <v>10000</v>
      </c>
      <c r="J346" s="775"/>
    </row>
    <row r="347" spans="1:10" s="776" customFormat="1" ht="19.5" customHeight="1">
      <c r="A347" s="145"/>
      <c r="B347" s="125"/>
      <c r="C347" s="122">
        <v>4300</v>
      </c>
      <c r="D347" s="591" t="s">
        <v>664</v>
      </c>
      <c r="E347" s="906"/>
      <c r="F347" s="501"/>
      <c r="G347" s="501"/>
      <c r="H347" s="235">
        <v>7000</v>
      </c>
      <c r="I347" s="235"/>
      <c r="J347" s="775"/>
    </row>
    <row r="348" spans="1:10" s="776" customFormat="1" ht="19.5" customHeight="1">
      <c r="A348" s="74">
        <v>853</v>
      </c>
      <c r="B348" s="74"/>
      <c r="C348" s="74"/>
      <c r="D348" s="74" t="s">
        <v>691</v>
      </c>
      <c r="E348" s="906"/>
      <c r="F348" s="381"/>
      <c r="G348" s="381"/>
      <c r="H348" s="381">
        <f>H349</f>
        <v>6500</v>
      </c>
      <c r="I348" s="381">
        <f>I349</f>
        <v>26500</v>
      </c>
      <c r="J348" s="775"/>
    </row>
    <row r="349" spans="1:10" s="776" customFormat="1" ht="19.5" customHeight="1">
      <c r="A349" s="66"/>
      <c r="B349" s="62">
        <v>85321</v>
      </c>
      <c r="C349" s="62"/>
      <c r="D349" s="62" t="s">
        <v>434</v>
      </c>
      <c r="E349" s="906"/>
      <c r="F349" s="64"/>
      <c r="G349" s="64"/>
      <c r="H349" s="106">
        <f>H350+H352</f>
        <v>6500</v>
      </c>
      <c r="I349" s="106">
        <f>I350+I352</f>
        <v>26500</v>
      </c>
      <c r="J349" s="775"/>
    </row>
    <row r="350" spans="1:10" s="776" customFormat="1" ht="19.5" customHeight="1">
      <c r="A350" s="146"/>
      <c r="B350" s="151"/>
      <c r="C350" s="83"/>
      <c r="D350" s="80" t="s">
        <v>127</v>
      </c>
      <c r="E350" s="906"/>
      <c r="F350" s="380"/>
      <c r="G350" s="380"/>
      <c r="H350" s="112"/>
      <c r="I350" s="112">
        <f>I351</f>
        <v>26500</v>
      </c>
      <c r="J350" s="775"/>
    </row>
    <row r="351" spans="1:10" s="776" customFormat="1" ht="19.5" customHeight="1">
      <c r="A351" s="145"/>
      <c r="B351" s="125"/>
      <c r="C351" s="231">
        <v>4010</v>
      </c>
      <c r="D351" s="232" t="s">
        <v>603</v>
      </c>
      <c r="E351" s="906"/>
      <c r="F351" s="121"/>
      <c r="G351" s="121"/>
      <c r="H351" s="116"/>
      <c r="I351" s="116">
        <v>26500</v>
      </c>
      <c r="J351" s="775"/>
    </row>
    <row r="352" spans="1:10" s="776" customFormat="1" ht="19.5" customHeight="1">
      <c r="A352" s="65"/>
      <c r="B352" s="52"/>
      <c r="C352" s="52"/>
      <c r="D352" s="438" t="s">
        <v>667</v>
      </c>
      <c r="E352" s="906"/>
      <c r="F352" s="439"/>
      <c r="G352" s="439"/>
      <c r="H352" s="439">
        <f>H353</f>
        <v>6500</v>
      </c>
      <c r="I352" s="439"/>
      <c r="J352" s="775"/>
    </row>
    <row r="353" spans="1:10" s="776" customFormat="1" ht="19.5" customHeight="1">
      <c r="A353" s="145"/>
      <c r="B353" s="125"/>
      <c r="C353" s="115">
        <v>4300</v>
      </c>
      <c r="D353" s="1288" t="s">
        <v>664</v>
      </c>
      <c r="E353" s="906"/>
      <c r="F353" s="936"/>
      <c r="G353" s="936"/>
      <c r="H353" s="601">
        <v>6500</v>
      </c>
      <c r="I353" s="601"/>
      <c r="J353" s="775"/>
    </row>
    <row r="354" spans="1:10" s="776" customFormat="1" ht="19.5" customHeight="1">
      <c r="A354" s="1338"/>
      <c r="B354" s="1339"/>
      <c r="C354" s="1334"/>
      <c r="D354" s="1335"/>
      <c r="E354" s="1572"/>
      <c r="F354" s="1395"/>
      <c r="G354" s="1395"/>
      <c r="H354" s="1336"/>
      <c r="I354" s="1336"/>
      <c r="J354" s="775"/>
    </row>
    <row r="355" spans="1:10" s="776" customFormat="1" ht="19.5" customHeight="1">
      <c r="A355" s="58">
        <v>921</v>
      </c>
      <c r="B355" s="58"/>
      <c r="C355" s="58"/>
      <c r="D355" s="58" t="s">
        <v>265</v>
      </c>
      <c r="E355" s="906"/>
      <c r="F355" s="59"/>
      <c r="G355" s="59"/>
      <c r="H355" s="60">
        <f>H356</f>
        <v>878</v>
      </c>
      <c r="I355" s="60">
        <f>I356</f>
        <v>878</v>
      </c>
      <c r="J355" s="775"/>
    </row>
    <row r="356" spans="1:10" s="776" customFormat="1" ht="19.5" customHeight="1">
      <c r="A356" s="383"/>
      <c r="B356" s="62">
        <v>92105</v>
      </c>
      <c r="C356" s="62"/>
      <c r="D356" s="62" t="s">
        <v>883</v>
      </c>
      <c r="E356" s="906"/>
      <c r="F356" s="64"/>
      <c r="G356" s="64"/>
      <c r="H356" s="106">
        <f>H357</f>
        <v>878</v>
      </c>
      <c r="I356" s="106">
        <f>I357</f>
        <v>878</v>
      </c>
      <c r="J356" s="775"/>
    </row>
    <row r="357" spans="1:10" s="776" customFormat="1" ht="19.5" customHeight="1">
      <c r="A357" s="146"/>
      <c r="B357" s="151"/>
      <c r="C357" s="83"/>
      <c r="D357" s="80" t="s">
        <v>884</v>
      </c>
      <c r="E357" s="906"/>
      <c r="F357" s="380"/>
      <c r="G357" s="380"/>
      <c r="H357" s="112">
        <f>SUM(H358:H359)</f>
        <v>878</v>
      </c>
      <c r="I357" s="112">
        <f>SUM(I358:I359)</f>
        <v>878</v>
      </c>
      <c r="J357" s="775"/>
    </row>
    <row r="358" spans="1:10" s="776" customFormat="1" ht="19.5" customHeight="1">
      <c r="A358" s="145"/>
      <c r="B358" s="125"/>
      <c r="C358" s="231">
        <v>4170</v>
      </c>
      <c r="D358" s="232" t="s">
        <v>885</v>
      </c>
      <c r="E358" s="906"/>
      <c r="F358" s="121"/>
      <c r="G358" s="121"/>
      <c r="H358" s="116"/>
      <c r="I358" s="116">
        <v>878</v>
      </c>
      <c r="J358" s="775"/>
    </row>
    <row r="359" spans="1:10" s="776" customFormat="1" ht="19.5" customHeight="1">
      <c r="A359" s="145"/>
      <c r="B359" s="125"/>
      <c r="C359" s="231">
        <v>4300</v>
      </c>
      <c r="D359" s="232" t="s">
        <v>664</v>
      </c>
      <c r="E359" s="906"/>
      <c r="F359" s="121"/>
      <c r="G359" s="121"/>
      <c r="H359" s="116">
        <v>878</v>
      </c>
      <c r="I359" s="116"/>
      <c r="J359" s="775"/>
    </row>
    <row r="360" spans="1:10" s="776" customFormat="1" ht="19.5" customHeight="1">
      <c r="A360" s="74">
        <v>926</v>
      </c>
      <c r="B360" s="74"/>
      <c r="C360" s="74"/>
      <c r="D360" s="74" t="s">
        <v>266</v>
      </c>
      <c r="E360" s="906"/>
      <c r="F360" s="381"/>
      <c r="G360" s="381"/>
      <c r="H360" s="381">
        <f>H361</f>
        <v>2300</v>
      </c>
      <c r="I360" s="381">
        <f>I361</f>
        <v>2300</v>
      </c>
      <c r="J360" s="775"/>
    </row>
    <row r="361" spans="1:10" s="776" customFormat="1" ht="19.5" customHeight="1">
      <c r="A361" s="856"/>
      <c r="B361" s="62">
        <v>92605</v>
      </c>
      <c r="C361" s="62"/>
      <c r="D361" s="62" t="s">
        <v>290</v>
      </c>
      <c r="E361" s="906"/>
      <c r="F361" s="64"/>
      <c r="G361" s="64"/>
      <c r="H361" s="64">
        <f>H362</f>
        <v>2300</v>
      </c>
      <c r="I361" s="64">
        <f>I362</f>
        <v>2300</v>
      </c>
      <c r="J361" s="775"/>
    </row>
    <row r="362" spans="1:10" s="776" customFormat="1" ht="19.5" customHeight="1">
      <c r="A362" s="856"/>
      <c r="B362" s="151"/>
      <c r="C362" s="83"/>
      <c r="D362" s="80" t="s">
        <v>445</v>
      </c>
      <c r="E362" s="906"/>
      <c r="F362" s="380"/>
      <c r="G362" s="380"/>
      <c r="H362" s="112">
        <f>SUM(H363:H364)</f>
        <v>2300</v>
      </c>
      <c r="I362" s="112">
        <f>SUM(I363:I364)</f>
        <v>2300</v>
      </c>
      <c r="J362" s="775"/>
    </row>
    <row r="363" spans="1:10" s="776" customFormat="1" ht="19.5" customHeight="1">
      <c r="A363" s="856"/>
      <c r="B363" s="125"/>
      <c r="C363" s="231">
        <v>4210</v>
      </c>
      <c r="D363" s="232" t="s">
        <v>663</v>
      </c>
      <c r="E363" s="906"/>
      <c r="F363" s="121"/>
      <c r="G363" s="121"/>
      <c r="H363" s="116">
        <v>2300</v>
      </c>
      <c r="I363" s="116"/>
      <c r="J363" s="775"/>
    </row>
    <row r="364" spans="1:10" s="776" customFormat="1" ht="19.5" customHeight="1">
      <c r="A364" s="856"/>
      <c r="B364" s="125"/>
      <c r="C364" s="67">
        <v>4300</v>
      </c>
      <c r="D364" s="382" t="s">
        <v>664</v>
      </c>
      <c r="E364" s="906"/>
      <c r="F364" s="869"/>
      <c r="G364" s="869"/>
      <c r="H364" s="116"/>
      <c r="I364" s="116">
        <v>2300</v>
      </c>
      <c r="J364" s="775"/>
    </row>
    <row r="365" spans="1:10" s="819" customFormat="1" ht="18.75" customHeight="1">
      <c r="A365" s="813"/>
      <c r="B365" s="814"/>
      <c r="C365" s="815"/>
      <c r="D365" s="865" t="s">
        <v>92</v>
      </c>
      <c r="E365" s="865"/>
      <c r="F365" s="866"/>
      <c r="G365" s="866"/>
      <c r="H365" s="866">
        <f>H366</f>
        <v>2384000</v>
      </c>
      <c r="I365" s="866">
        <f>I366</f>
        <v>2384000</v>
      </c>
      <c r="J365" s="818"/>
    </row>
    <row r="366" spans="1:10" s="118" customFormat="1" ht="18.75" customHeight="1" thickBot="1">
      <c r="A366" s="125"/>
      <c r="B366" s="125"/>
      <c r="C366" s="233"/>
      <c r="D366" s="124" t="s">
        <v>640</v>
      </c>
      <c r="E366" s="124"/>
      <c r="F366" s="123"/>
      <c r="G366" s="123"/>
      <c r="H366" s="133">
        <f>H367+H383+H392+H410</f>
        <v>2384000</v>
      </c>
      <c r="I366" s="133">
        <f>I367+I383+I392+I410</f>
        <v>2384000</v>
      </c>
      <c r="J366" s="117"/>
    </row>
    <row r="367" spans="1:10" s="118" customFormat="1" ht="18.75" customHeight="1" thickTop="1">
      <c r="A367" s="800">
        <v>600</v>
      </c>
      <c r="B367" s="800"/>
      <c r="C367" s="800"/>
      <c r="D367" s="800" t="s">
        <v>644</v>
      </c>
      <c r="E367" s="820"/>
      <c r="F367" s="820"/>
      <c r="G367" s="820"/>
      <c r="H367" s="820">
        <f>H368+H377</f>
        <v>1348000</v>
      </c>
      <c r="I367" s="820">
        <f>I368+I377</f>
        <v>1348000</v>
      </c>
      <c r="J367" s="117"/>
    </row>
    <row r="368" spans="1:10" s="118" customFormat="1" ht="18.75" customHeight="1">
      <c r="A368" s="125"/>
      <c r="B368" s="822">
        <v>60015</v>
      </c>
      <c r="C368" s="822"/>
      <c r="D368" s="822" t="s">
        <v>208</v>
      </c>
      <c r="E368" s="1084"/>
      <c r="F368" s="1084"/>
      <c r="G368" s="1084"/>
      <c r="H368" s="1084">
        <f>H369</f>
        <v>830000</v>
      </c>
      <c r="I368" s="1084">
        <f>I369</f>
        <v>1348000</v>
      </c>
      <c r="J368" s="117"/>
    </row>
    <row r="369" spans="1:10" s="770" customFormat="1" ht="18.75" customHeight="1">
      <c r="A369" s="763"/>
      <c r="B369" s="764"/>
      <c r="C369" s="52"/>
      <c r="D369" s="438" t="s">
        <v>130</v>
      </c>
      <c r="E369" s="773"/>
      <c r="F369" s="773"/>
      <c r="G369" s="773"/>
      <c r="H369" s="439">
        <f>H374+H376</f>
        <v>830000</v>
      </c>
      <c r="I369" s="439">
        <f>I374</f>
        <v>1348000</v>
      </c>
      <c r="J369" s="656"/>
    </row>
    <row r="370" spans="1:10" s="770" customFormat="1" ht="18.75" customHeight="1">
      <c r="A370" s="767"/>
      <c r="B370" s="767"/>
      <c r="C370" s="125"/>
      <c r="D370" s="400" t="s">
        <v>16</v>
      </c>
      <c r="E370" s="783"/>
      <c r="F370" s="1080"/>
      <c r="G370" s="1080"/>
      <c r="H370" s="466"/>
      <c r="I370" s="466">
        <v>1248000</v>
      </c>
      <c r="J370" s="656"/>
    </row>
    <row r="371" spans="1:10" s="770" customFormat="1" ht="26.25" customHeight="1">
      <c r="A371" s="767"/>
      <c r="B371" s="767"/>
      <c r="C371" s="125"/>
      <c r="D371" s="400" t="s">
        <v>17</v>
      </c>
      <c r="E371" s="784"/>
      <c r="F371" s="1080"/>
      <c r="G371" s="1080"/>
      <c r="H371" s="466"/>
      <c r="I371" s="466">
        <v>100000</v>
      </c>
      <c r="J371" s="656"/>
    </row>
    <row r="372" spans="1:10" s="770" customFormat="1" ht="18.75" customHeight="1">
      <c r="A372" s="767"/>
      <c r="B372" s="767"/>
      <c r="C372" s="125"/>
      <c r="D372" s="400" t="s">
        <v>901</v>
      </c>
      <c r="E372" s="785"/>
      <c r="F372" s="1080"/>
      <c r="G372" s="1080"/>
      <c r="H372" s="466">
        <v>570000</v>
      </c>
      <c r="I372" s="466"/>
      <c r="J372" s="656"/>
    </row>
    <row r="373" spans="1:10" s="770" customFormat="1" ht="18.75" customHeight="1">
      <c r="A373" s="1078"/>
      <c r="B373" s="767"/>
      <c r="C373" s="125"/>
      <c r="D373" s="400" t="s">
        <v>18</v>
      </c>
      <c r="E373" s="1079"/>
      <c r="F373" s="1080"/>
      <c r="G373" s="1080"/>
      <c r="H373" s="466">
        <v>80000</v>
      </c>
      <c r="I373" s="466"/>
      <c r="J373" s="656"/>
    </row>
    <row r="374" spans="1:10" s="770" customFormat="1" ht="18.75" customHeight="1">
      <c r="A374" s="1078"/>
      <c r="B374" s="767"/>
      <c r="C374" s="231">
        <v>6050</v>
      </c>
      <c r="D374" s="232" t="s">
        <v>125</v>
      </c>
      <c r="E374" s="1079"/>
      <c r="F374" s="121"/>
      <c r="G374" s="121"/>
      <c r="H374" s="235">
        <f>SUM(H370:H373)</f>
        <v>650000</v>
      </c>
      <c r="I374" s="235">
        <f>SUM(I370:I373)</f>
        <v>1348000</v>
      </c>
      <c r="J374" s="656"/>
    </row>
    <row r="375" spans="1:10" s="770" customFormat="1" ht="18.75" customHeight="1">
      <c r="A375" s="1078"/>
      <c r="B375" s="767"/>
      <c r="C375" s="125"/>
      <c r="D375" s="1064" t="s">
        <v>19</v>
      </c>
      <c r="E375" s="1079"/>
      <c r="F375" s="1081"/>
      <c r="G375" s="1081"/>
      <c r="H375" s="624">
        <v>180000</v>
      </c>
      <c r="I375" s="624"/>
      <c r="J375" s="656"/>
    </row>
    <row r="376" spans="1:10" s="770" customFormat="1" ht="18.75" customHeight="1">
      <c r="A376" s="1078"/>
      <c r="B376" s="767"/>
      <c r="C376" s="231">
        <v>6052</v>
      </c>
      <c r="D376" s="232" t="s">
        <v>125</v>
      </c>
      <c r="E376" s="1079"/>
      <c r="F376" s="121"/>
      <c r="G376" s="121"/>
      <c r="H376" s="235">
        <f>H375</f>
        <v>180000</v>
      </c>
      <c r="I376" s="235"/>
      <c r="J376" s="656"/>
    </row>
    <row r="377" spans="1:10" s="770" customFormat="1" ht="18.75" customHeight="1">
      <c r="A377" s="1078"/>
      <c r="B377" s="62">
        <v>60016</v>
      </c>
      <c r="C377" s="62"/>
      <c r="D377" s="62" t="s">
        <v>257</v>
      </c>
      <c r="E377" s="1079"/>
      <c r="F377" s="64"/>
      <c r="G377" s="64"/>
      <c r="H377" s="64">
        <f>H378</f>
        <v>518000</v>
      </c>
      <c r="I377" s="64"/>
      <c r="J377" s="656"/>
    </row>
    <row r="378" spans="1:10" s="770" customFormat="1" ht="18.75" customHeight="1">
      <c r="A378" s="1078"/>
      <c r="B378" s="767"/>
      <c r="C378" s="52"/>
      <c r="D378" s="438" t="s">
        <v>130</v>
      </c>
      <c r="E378" s="1079"/>
      <c r="F378" s="439"/>
      <c r="G378" s="439"/>
      <c r="H378" s="439">
        <f>H382</f>
        <v>518000</v>
      </c>
      <c r="I378" s="439"/>
      <c r="J378" s="656"/>
    </row>
    <row r="379" spans="1:10" s="770" customFormat="1" ht="18.75" customHeight="1">
      <c r="A379" s="1078"/>
      <c r="B379" s="767"/>
      <c r="C379" s="125"/>
      <c r="D379" s="473" t="s">
        <v>904</v>
      </c>
      <c r="E379" s="1079"/>
      <c r="F379" s="1082"/>
      <c r="G379" s="1082"/>
      <c r="H379" s="594">
        <v>14000</v>
      </c>
      <c r="I379" s="1082"/>
      <c r="J379" s="656"/>
    </row>
    <row r="380" spans="1:10" s="770" customFormat="1" ht="18.75" customHeight="1">
      <c r="A380" s="1078"/>
      <c r="B380" s="767"/>
      <c r="C380" s="125"/>
      <c r="D380" s="400" t="s">
        <v>903</v>
      </c>
      <c r="E380" s="1079"/>
      <c r="F380" s="1080"/>
      <c r="G380" s="1080"/>
      <c r="H380" s="466">
        <v>495000</v>
      </c>
      <c r="I380" s="1080"/>
      <c r="J380" s="656"/>
    </row>
    <row r="381" spans="1:10" s="770" customFormat="1" ht="18.75" customHeight="1">
      <c r="A381" s="1078"/>
      <c r="B381" s="767"/>
      <c r="C381" s="125"/>
      <c r="D381" s="622" t="s">
        <v>905</v>
      </c>
      <c r="E381" s="1079"/>
      <c r="F381" s="1083"/>
      <c r="G381" s="1083"/>
      <c r="H381" s="466">
        <v>9000</v>
      </c>
      <c r="I381" s="1083"/>
      <c r="J381" s="656"/>
    </row>
    <row r="382" spans="1:10" s="770" customFormat="1" ht="18.75" customHeight="1">
      <c r="A382" s="1398"/>
      <c r="B382" s="768"/>
      <c r="C382" s="231">
        <v>6050</v>
      </c>
      <c r="D382" s="232" t="s">
        <v>125</v>
      </c>
      <c r="E382" s="1399"/>
      <c r="F382" s="121"/>
      <c r="G382" s="121"/>
      <c r="H382" s="235">
        <f>SUM(H379:H381)</f>
        <v>518000</v>
      </c>
      <c r="I382" s="121"/>
      <c r="J382" s="656"/>
    </row>
    <row r="383" spans="1:10" s="770" customFormat="1" ht="18.75" customHeight="1">
      <c r="A383" s="317">
        <v>801</v>
      </c>
      <c r="B383" s="58"/>
      <c r="C383" s="58"/>
      <c r="D383" s="77" t="s">
        <v>647</v>
      </c>
      <c r="E383" s="1079"/>
      <c r="F383" s="72"/>
      <c r="G383" s="72"/>
      <c r="H383" s="72">
        <f>H384+H388</f>
        <v>5000</v>
      </c>
      <c r="I383" s="72">
        <f>I384+I388</f>
        <v>5000</v>
      </c>
      <c r="J383" s="656"/>
    </row>
    <row r="384" spans="1:10" s="770" customFormat="1" ht="18.75" customHeight="1">
      <c r="A384" s="61"/>
      <c r="B384" s="63">
        <v>80101</v>
      </c>
      <c r="C384" s="63"/>
      <c r="D384" s="63" t="s">
        <v>202</v>
      </c>
      <c r="E384" s="1079"/>
      <c r="F384" s="379"/>
      <c r="G384" s="379"/>
      <c r="H384" s="379"/>
      <c r="I384" s="379">
        <f>I385</f>
        <v>5000</v>
      </c>
      <c r="J384" s="656"/>
    </row>
    <row r="385" spans="1:10" s="770" customFormat="1" ht="18.75" customHeight="1">
      <c r="A385" s="1078"/>
      <c r="B385" s="767"/>
      <c r="C385" s="52"/>
      <c r="D385" s="438" t="s">
        <v>130</v>
      </c>
      <c r="E385" s="1079"/>
      <c r="F385" s="439"/>
      <c r="G385" s="439"/>
      <c r="H385" s="439"/>
      <c r="I385" s="439">
        <f>I387</f>
        <v>5000</v>
      </c>
      <c r="J385" s="656"/>
    </row>
    <row r="386" spans="1:10" s="770" customFormat="1" ht="18.75" customHeight="1">
      <c r="A386" s="1078"/>
      <c r="B386" s="767"/>
      <c r="C386" s="125"/>
      <c r="D386" s="473" t="s">
        <v>21</v>
      </c>
      <c r="E386" s="1079"/>
      <c r="F386" s="1082"/>
      <c r="G386" s="1082"/>
      <c r="H386" s="1082"/>
      <c r="I386" s="1082">
        <v>5000</v>
      </c>
      <c r="J386" s="656"/>
    </row>
    <row r="387" spans="1:10" s="770" customFormat="1" ht="18.75" customHeight="1">
      <c r="A387" s="1398"/>
      <c r="B387" s="768"/>
      <c r="C387" s="231">
        <v>6050</v>
      </c>
      <c r="D387" s="232" t="s">
        <v>125</v>
      </c>
      <c r="E387" s="1399"/>
      <c r="F387" s="121"/>
      <c r="G387" s="121"/>
      <c r="H387" s="121"/>
      <c r="I387" s="121">
        <f>I386</f>
        <v>5000</v>
      </c>
      <c r="J387" s="656"/>
    </row>
    <row r="388" spans="1:10" s="770" customFormat="1" ht="18.75" customHeight="1">
      <c r="A388" s="1078"/>
      <c r="B388" s="63">
        <v>80110</v>
      </c>
      <c r="C388" s="63"/>
      <c r="D388" s="63" t="s">
        <v>203</v>
      </c>
      <c r="E388" s="1079"/>
      <c r="F388" s="379"/>
      <c r="G388" s="379"/>
      <c r="H388" s="379">
        <f>H389</f>
        <v>5000</v>
      </c>
      <c r="I388" s="379"/>
      <c r="J388" s="656"/>
    </row>
    <row r="389" spans="1:10" s="770" customFormat="1" ht="18.75" customHeight="1">
      <c r="A389" s="1078"/>
      <c r="B389" s="767"/>
      <c r="C389" s="52"/>
      <c r="D389" s="438" t="s">
        <v>130</v>
      </c>
      <c r="E389" s="1079"/>
      <c r="F389" s="439"/>
      <c r="G389" s="439"/>
      <c r="H389" s="439">
        <f>H391</f>
        <v>5000</v>
      </c>
      <c r="I389" s="439"/>
      <c r="J389" s="656"/>
    </row>
    <row r="390" spans="1:10" s="770" customFormat="1" ht="18.75" customHeight="1">
      <c r="A390" s="1078"/>
      <c r="B390" s="767"/>
      <c r="C390" s="125"/>
      <c r="D390" s="473" t="s">
        <v>20</v>
      </c>
      <c r="E390" s="1079"/>
      <c r="F390" s="1082"/>
      <c r="G390" s="1082"/>
      <c r="H390" s="1082">
        <v>5000</v>
      </c>
      <c r="I390" s="1082"/>
      <c r="J390" s="656"/>
    </row>
    <row r="391" spans="1:10" s="770" customFormat="1" ht="18.75" customHeight="1">
      <c r="A391" s="1078"/>
      <c r="B391" s="767"/>
      <c r="C391" s="231">
        <v>6050</v>
      </c>
      <c r="D391" s="232" t="s">
        <v>125</v>
      </c>
      <c r="E391" s="1079"/>
      <c r="F391" s="121"/>
      <c r="G391" s="121"/>
      <c r="H391" s="121">
        <f>H390</f>
        <v>5000</v>
      </c>
      <c r="I391" s="121"/>
      <c r="J391" s="656"/>
    </row>
    <row r="392" spans="1:10" s="770" customFormat="1" ht="18.75" customHeight="1">
      <c r="A392" s="74">
        <v>900</v>
      </c>
      <c r="B392" s="74"/>
      <c r="C392" s="74"/>
      <c r="D392" s="74" t="s">
        <v>801</v>
      </c>
      <c r="E392" s="1079"/>
      <c r="F392" s="381"/>
      <c r="G392" s="381"/>
      <c r="H392" s="381">
        <f>H393+H403</f>
        <v>905000</v>
      </c>
      <c r="I392" s="381">
        <f>I393+I403</f>
        <v>905000</v>
      </c>
      <c r="J392" s="656"/>
    </row>
    <row r="393" spans="1:10" s="770" customFormat="1" ht="18.75" customHeight="1">
      <c r="A393" s="383"/>
      <c r="B393" s="62">
        <v>90001</v>
      </c>
      <c r="C393" s="62"/>
      <c r="D393" s="62" t="s">
        <v>263</v>
      </c>
      <c r="E393" s="1079"/>
      <c r="F393" s="64"/>
      <c r="G393" s="64"/>
      <c r="H393" s="106">
        <f>H394</f>
        <v>635000</v>
      </c>
      <c r="I393" s="106">
        <f>I394</f>
        <v>15000</v>
      </c>
      <c r="J393" s="656"/>
    </row>
    <row r="394" spans="1:10" s="770" customFormat="1" ht="18.75" customHeight="1">
      <c r="A394" s="65"/>
      <c r="B394" s="52"/>
      <c r="C394" s="52"/>
      <c r="D394" s="438" t="s">
        <v>130</v>
      </c>
      <c r="E394" s="1079"/>
      <c r="F394" s="439"/>
      <c r="G394" s="439"/>
      <c r="H394" s="439">
        <f>H402</f>
        <v>635000</v>
      </c>
      <c r="I394" s="439">
        <f>I402</f>
        <v>15000</v>
      </c>
      <c r="J394" s="656"/>
    </row>
    <row r="395" spans="1:10" s="770" customFormat="1" ht="28.5" customHeight="1">
      <c r="A395" s="145"/>
      <c r="B395" s="125"/>
      <c r="C395" s="125"/>
      <c r="D395" s="1095" t="s">
        <v>22</v>
      </c>
      <c r="E395" s="1079"/>
      <c r="F395" s="1082"/>
      <c r="G395" s="1082"/>
      <c r="H395" s="331">
        <v>70000</v>
      </c>
      <c r="I395" s="331"/>
      <c r="J395" s="656"/>
    </row>
    <row r="396" spans="1:10" s="770" customFormat="1" ht="18.75" customHeight="1">
      <c r="A396" s="145"/>
      <c r="B396" s="125"/>
      <c r="C396" s="125"/>
      <c r="D396" s="1096" t="s">
        <v>23</v>
      </c>
      <c r="E396" s="1079"/>
      <c r="F396" s="1080"/>
      <c r="G396" s="1080"/>
      <c r="H396" s="332">
        <v>130000</v>
      </c>
      <c r="I396" s="332"/>
      <c r="J396" s="656"/>
    </row>
    <row r="397" spans="1:10" s="770" customFormat="1" ht="18.75" customHeight="1">
      <c r="A397" s="145"/>
      <c r="B397" s="125"/>
      <c r="C397" s="125"/>
      <c r="D397" s="1096" t="s">
        <v>30</v>
      </c>
      <c r="E397" s="1079"/>
      <c r="F397" s="1080"/>
      <c r="G397" s="1080"/>
      <c r="H397" s="332"/>
      <c r="I397" s="332">
        <v>15000</v>
      </c>
      <c r="J397" s="656"/>
    </row>
    <row r="398" spans="1:10" s="770" customFormat="1" ht="26.25" customHeight="1">
      <c r="A398" s="145"/>
      <c r="B398" s="125"/>
      <c r="C398" s="125"/>
      <c r="D398" s="1096" t="s">
        <v>24</v>
      </c>
      <c r="E398" s="1079"/>
      <c r="F398" s="1080"/>
      <c r="G398" s="1080"/>
      <c r="H398" s="332">
        <v>230000</v>
      </c>
      <c r="I398" s="332"/>
      <c r="J398" s="656"/>
    </row>
    <row r="399" spans="1:10" s="770" customFormat="1" ht="27" customHeight="1">
      <c r="A399" s="145"/>
      <c r="B399" s="125"/>
      <c r="C399" s="125"/>
      <c r="D399" s="1096" t="s">
        <v>25</v>
      </c>
      <c r="E399" s="1079"/>
      <c r="F399" s="1080"/>
      <c r="G399" s="1080"/>
      <c r="H399" s="332">
        <v>100000</v>
      </c>
      <c r="I399" s="332"/>
      <c r="J399" s="656"/>
    </row>
    <row r="400" spans="1:10" s="770" customFormat="1" ht="18.75" customHeight="1">
      <c r="A400" s="145"/>
      <c r="B400" s="125"/>
      <c r="C400" s="125"/>
      <c r="D400" s="1096" t="s">
        <v>26</v>
      </c>
      <c r="E400" s="1079"/>
      <c r="F400" s="1080"/>
      <c r="G400" s="1080"/>
      <c r="H400" s="332">
        <v>100000</v>
      </c>
      <c r="I400" s="332"/>
      <c r="J400" s="656"/>
    </row>
    <row r="401" spans="1:10" s="770" customFormat="1" ht="18.75" customHeight="1">
      <c r="A401" s="145"/>
      <c r="B401" s="125"/>
      <c r="C401" s="125"/>
      <c r="D401" s="1096" t="s">
        <v>27</v>
      </c>
      <c r="E401" s="1079"/>
      <c r="F401" s="1080"/>
      <c r="G401" s="1080"/>
      <c r="H401" s="332">
        <v>5000</v>
      </c>
      <c r="I401" s="332"/>
      <c r="J401" s="656"/>
    </row>
    <row r="402" spans="1:10" s="770" customFormat="1" ht="18.75" customHeight="1">
      <c r="A402" s="65"/>
      <c r="B402" s="55"/>
      <c r="C402" s="231">
        <v>6050</v>
      </c>
      <c r="D402" s="232" t="s">
        <v>125</v>
      </c>
      <c r="E402" s="1079"/>
      <c r="F402" s="121"/>
      <c r="G402" s="121"/>
      <c r="H402" s="235">
        <f>SUM(H395:H401)</f>
        <v>635000</v>
      </c>
      <c r="I402" s="235">
        <f>SUM(I395:I401)</f>
        <v>15000</v>
      </c>
      <c r="J402" s="656"/>
    </row>
    <row r="403" spans="1:10" s="770" customFormat="1" ht="18.75" customHeight="1">
      <c r="A403" s="1078"/>
      <c r="B403" s="62">
        <v>90095</v>
      </c>
      <c r="C403" s="62"/>
      <c r="D403" s="62" t="s">
        <v>646</v>
      </c>
      <c r="E403" s="1079"/>
      <c r="F403" s="64"/>
      <c r="G403" s="64"/>
      <c r="H403" s="106">
        <f>H404</f>
        <v>270000</v>
      </c>
      <c r="I403" s="106">
        <f>I404</f>
        <v>890000</v>
      </c>
      <c r="J403" s="656"/>
    </row>
    <row r="404" spans="1:10" s="770" customFormat="1" ht="18.75" customHeight="1">
      <c r="A404" s="1078"/>
      <c r="B404" s="52"/>
      <c r="C404" s="52"/>
      <c r="D404" s="438" t="s">
        <v>130</v>
      </c>
      <c r="E404" s="1079"/>
      <c r="F404" s="439"/>
      <c r="G404" s="439"/>
      <c r="H404" s="439">
        <f>H409</f>
        <v>270000</v>
      </c>
      <c r="I404" s="439">
        <f>I409</f>
        <v>890000</v>
      </c>
      <c r="J404" s="656"/>
    </row>
    <row r="405" spans="1:10" s="770" customFormat="1" ht="18.75" customHeight="1">
      <c r="A405" s="1078"/>
      <c r="B405" s="125"/>
      <c r="C405" s="125"/>
      <c r="D405" s="1096" t="s">
        <v>31</v>
      </c>
      <c r="E405" s="1079"/>
      <c r="F405" s="1080"/>
      <c r="G405" s="1080"/>
      <c r="H405" s="332"/>
      <c r="I405" s="332">
        <v>787512</v>
      </c>
      <c r="J405" s="656"/>
    </row>
    <row r="406" spans="1:10" s="770" customFormat="1" ht="18.75" customHeight="1">
      <c r="A406" s="1078"/>
      <c r="B406" s="125"/>
      <c r="C406" s="125"/>
      <c r="D406" s="1096" t="s">
        <v>32</v>
      </c>
      <c r="E406" s="1079"/>
      <c r="F406" s="1080"/>
      <c r="G406" s="1080"/>
      <c r="H406" s="332"/>
      <c r="I406" s="332">
        <v>102488</v>
      </c>
      <c r="J406" s="656"/>
    </row>
    <row r="407" spans="1:10" s="770" customFormat="1" ht="18.75" customHeight="1">
      <c r="A407" s="1078"/>
      <c r="B407" s="125"/>
      <c r="C407" s="125"/>
      <c r="D407" s="1096" t="s">
        <v>443</v>
      </c>
      <c r="E407" s="1079"/>
      <c r="F407" s="1080"/>
      <c r="G407" s="1080"/>
      <c r="H407" s="332">
        <v>179000</v>
      </c>
      <c r="I407" s="332"/>
      <c r="J407" s="656"/>
    </row>
    <row r="408" spans="1:10" s="770" customFormat="1" ht="26.25" customHeight="1">
      <c r="A408" s="1078"/>
      <c r="B408" s="125"/>
      <c r="C408" s="125"/>
      <c r="D408" s="1096" t="s">
        <v>28</v>
      </c>
      <c r="E408" s="1079"/>
      <c r="F408" s="1080"/>
      <c r="G408" s="1080"/>
      <c r="H408" s="332">
        <v>91000</v>
      </c>
      <c r="I408" s="332"/>
      <c r="J408" s="656"/>
    </row>
    <row r="409" spans="1:10" s="770" customFormat="1" ht="18.75" customHeight="1">
      <c r="A409" s="1078"/>
      <c r="B409" s="55"/>
      <c r="C409" s="231">
        <v>6050</v>
      </c>
      <c r="D409" s="232" t="s">
        <v>125</v>
      </c>
      <c r="E409" s="1079"/>
      <c r="F409" s="121"/>
      <c r="G409" s="121"/>
      <c r="H409" s="235">
        <f>SUM(H405:H408)</f>
        <v>270000</v>
      </c>
      <c r="I409" s="235">
        <f>SUM(I405:I408)</f>
        <v>890000</v>
      </c>
      <c r="J409" s="656"/>
    </row>
    <row r="410" spans="1:10" s="770" customFormat="1" ht="18.75" customHeight="1">
      <c r="A410" s="74">
        <v>926</v>
      </c>
      <c r="B410" s="74"/>
      <c r="C410" s="74"/>
      <c r="D410" s="74" t="s">
        <v>266</v>
      </c>
      <c r="E410" s="1079"/>
      <c r="F410" s="381"/>
      <c r="G410" s="381"/>
      <c r="H410" s="60">
        <f>H420+H411</f>
        <v>126000</v>
      </c>
      <c r="I410" s="60">
        <f>I420+I411</f>
        <v>126000</v>
      </c>
      <c r="J410" s="656"/>
    </row>
    <row r="411" spans="1:10" s="770" customFormat="1" ht="18.75" customHeight="1">
      <c r="A411" s="383"/>
      <c r="B411" s="62">
        <v>92604</v>
      </c>
      <c r="C411" s="62"/>
      <c r="D411" s="62" t="s">
        <v>268</v>
      </c>
      <c r="E411" s="1079"/>
      <c r="F411" s="64"/>
      <c r="G411" s="64"/>
      <c r="H411" s="106">
        <f>H412</f>
        <v>94000</v>
      </c>
      <c r="I411" s="106">
        <f>I412</f>
        <v>94000</v>
      </c>
      <c r="J411" s="656"/>
    </row>
    <row r="412" spans="1:10" s="770" customFormat="1" ht="18.75" customHeight="1">
      <c r="A412" s="65"/>
      <c r="B412" s="52"/>
      <c r="C412" s="52"/>
      <c r="D412" s="1102" t="s">
        <v>35</v>
      </c>
      <c r="E412" s="1079"/>
      <c r="F412" s="1103"/>
      <c r="G412" s="1103"/>
      <c r="H412" s="1103">
        <f>H413</f>
        <v>94000</v>
      </c>
      <c r="I412" s="1103">
        <f>I413</f>
        <v>94000</v>
      </c>
      <c r="J412" s="656"/>
    </row>
    <row r="413" spans="1:10" s="770" customFormat="1" ht="18.75" customHeight="1">
      <c r="A413" s="146"/>
      <c r="B413" s="151"/>
      <c r="C413" s="151"/>
      <c r="D413" s="1104" t="s">
        <v>36</v>
      </c>
      <c r="E413" s="1079"/>
      <c r="F413" s="1110"/>
      <c r="G413" s="1110"/>
      <c r="H413" s="1105">
        <f>H418</f>
        <v>94000</v>
      </c>
      <c r="I413" s="1105">
        <f>I418</f>
        <v>94000</v>
      </c>
      <c r="J413" s="656"/>
    </row>
    <row r="414" spans="1:10" s="770" customFormat="1" ht="18.75" customHeight="1">
      <c r="A414" s="1078"/>
      <c r="B414" s="125"/>
      <c r="C414" s="125"/>
      <c r="D414" s="1096" t="s">
        <v>38</v>
      </c>
      <c r="E414" s="1079"/>
      <c r="F414" s="1080"/>
      <c r="G414" s="1080"/>
      <c r="H414" s="332">
        <v>44000</v>
      </c>
      <c r="I414" s="332"/>
      <c r="J414" s="656"/>
    </row>
    <row r="415" spans="1:10" s="770" customFormat="1" ht="18.75" customHeight="1">
      <c r="A415" s="145"/>
      <c r="B415" s="125"/>
      <c r="C415" s="125"/>
      <c r="D415" s="1097" t="s">
        <v>40</v>
      </c>
      <c r="E415" s="1079"/>
      <c r="F415" s="1099"/>
      <c r="G415" s="1099"/>
      <c r="H415" s="623"/>
      <c r="I415" s="623">
        <v>44000</v>
      </c>
      <c r="J415" s="656"/>
    </row>
    <row r="416" spans="1:10" s="770" customFormat="1" ht="18.75" customHeight="1">
      <c r="A416" s="145"/>
      <c r="B416" s="125"/>
      <c r="C416" s="125"/>
      <c r="D416" s="1096" t="s">
        <v>39</v>
      </c>
      <c r="E416" s="1079"/>
      <c r="F416" s="1080"/>
      <c r="G416" s="1080"/>
      <c r="H416" s="332">
        <v>50000</v>
      </c>
      <c r="I416" s="332"/>
      <c r="J416" s="656"/>
    </row>
    <row r="417" spans="1:10" s="770" customFormat="1" ht="18.75" customHeight="1">
      <c r="A417" s="145"/>
      <c r="B417" s="125"/>
      <c r="C417" s="125"/>
      <c r="D417" s="1096" t="s">
        <v>444</v>
      </c>
      <c r="E417" s="1079"/>
      <c r="F417" s="1080"/>
      <c r="G417" s="1080"/>
      <c r="H417" s="332"/>
      <c r="I417" s="332">
        <v>50000</v>
      </c>
      <c r="J417" s="656"/>
    </row>
    <row r="418" spans="1:10" s="770" customFormat="1" ht="26.25" customHeight="1">
      <c r="A418" s="595"/>
      <c r="B418" s="55"/>
      <c r="C418" s="231">
        <v>6210</v>
      </c>
      <c r="D418" s="232" t="s">
        <v>37</v>
      </c>
      <c r="E418" s="1399"/>
      <c r="F418" s="121"/>
      <c r="G418" s="121"/>
      <c r="H418" s="235">
        <f>SUM(H414:H417)</f>
        <v>94000</v>
      </c>
      <c r="I418" s="235">
        <f>SUM(I414:I417)</f>
        <v>94000</v>
      </c>
      <c r="J418" s="656"/>
    </row>
    <row r="419" spans="1:10" s="770" customFormat="1" ht="18.75" customHeight="1">
      <c r="A419" s="1332"/>
      <c r="B419" s="1333"/>
      <c r="C419" s="1334"/>
      <c r="D419" s="1335"/>
      <c r="E419" s="1573"/>
      <c r="F419" s="1395"/>
      <c r="G419" s="1395"/>
      <c r="H419" s="1337"/>
      <c r="I419" s="1337"/>
      <c r="J419" s="656"/>
    </row>
    <row r="420" spans="1:10" s="770" customFormat="1" ht="18.75" customHeight="1">
      <c r="A420" s="66"/>
      <c r="B420" s="63">
        <v>92605</v>
      </c>
      <c r="C420" s="63"/>
      <c r="D420" s="63" t="s">
        <v>290</v>
      </c>
      <c r="E420" s="1079"/>
      <c r="F420" s="379"/>
      <c r="G420" s="379"/>
      <c r="H420" s="405">
        <f>H421</f>
        <v>32000</v>
      </c>
      <c r="I420" s="405">
        <f>I421</f>
        <v>32000</v>
      </c>
      <c r="J420" s="656"/>
    </row>
    <row r="421" spans="1:10" s="762" customFormat="1" ht="18.75" customHeight="1">
      <c r="A421" s="146"/>
      <c r="B421" s="151"/>
      <c r="C421" s="151"/>
      <c r="D421" s="1108" t="s">
        <v>130</v>
      </c>
      <c r="E421" s="1107"/>
      <c r="F421" s="1111"/>
      <c r="G421" s="1111"/>
      <c r="H421" s="439">
        <f>H424</f>
        <v>32000</v>
      </c>
      <c r="I421" s="439">
        <f>I424</f>
        <v>32000</v>
      </c>
      <c r="J421" s="631"/>
    </row>
    <row r="422" spans="1:10" s="770" customFormat="1" ht="18.75" customHeight="1">
      <c r="A422" s="145"/>
      <c r="B422" s="125"/>
      <c r="C422" s="125"/>
      <c r="D422" s="1097" t="s">
        <v>33</v>
      </c>
      <c r="E422" s="1079"/>
      <c r="F422" s="1099"/>
      <c r="G422" s="1099"/>
      <c r="H422" s="332">
        <v>32000</v>
      </c>
      <c r="I422" s="332"/>
      <c r="J422" s="656"/>
    </row>
    <row r="423" spans="1:10" s="770" customFormat="1" ht="18.75" customHeight="1">
      <c r="A423" s="145"/>
      <c r="B423" s="125"/>
      <c r="C423" s="125"/>
      <c r="D423" s="1096" t="s">
        <v>34</v>
      </c>
      <c r="E423" s="1079"/>
      <c r="F423" s="1080"/>
      <c r="G423" s="1080"/>
      <c r="H423" s="332"/>
      <c r="I423" s="332">
        <v>32000</v>
      </c>
      <c r="J423" s="656"/>
    </row>
    <row r="424" spans="1:10" s="770" customFormat="1" ht="18.75" customHeight="1">
      <c r="A424" s="145"/>
      <c r="B424" s="125"/>
      <c r="C424" s="233">
        <v>6050</v>
      </c>
      <c r="D424" s="1109" t="s">
        <v>125</v>
      </c>
      <c r="E424" s="1079"/>
      <c r="F424" s="1112"/>
      <c r="G424" s="1112"/>
      <c r="H424" s="235">
        <f>SUM(H422:H423)</f>
        <v>32000</v>
      </c>
      <c r="I424" s="235">
        <f>SUM(I422:I423)</f>
        <v>32000</v>
      </c>
      <c r="J424" s="656"/>
    </row>
    <row r="425" spans="1:10" s="819" customFormat="1" ht="19.5" customHeight="1">
      <c r="A425" s="813"/>
      <c r="B425" s="814"/>
      <c r="C425" s="815"/>
      <c r="D425" s="848" t="s">
        <v>8</v>
      </c>
      <c r="E425" s="816"/>
      <c r="F425" s="817"/>
      <c r="G425" s="817"/>
      <c r="H425" s="817"/>
      <c r="I425" s="817">
        <f>I426</f>
        <v>150000</v>
      </c>
      <c r="J425" s="818"/>
    </row>
    <row r="426" spans="1:10" s="118" customFormat="1" ht="19.5" customHeight="1" thickBot="1">
      <c r="A426" s="233"/>
      <c r="B426" s="233"/>
      <c r="C426" s="233"/>
      <c r="D426" s="849" t="s">
        <v>640</v>
      </c>
      <c r="E426" s="124"/>
      <c r="F426" s="123"/>
      <c r="G426" s="123"/>
      <c r="H426" s="133"/>
      <c r="I426" s="133">
        <f>I427</f>
        <v>150000</v>
      </c>
      <c r="J426" s="117"/>
    </row>
    <row r="427" spans="1:10" s="826" customFormat="1" ht="19.5" customHeight="1" thickTop="1">
      <c r="A427" s="800">
        <v>750</v>
      </c>
      <c r="B427" s="800"/>
      <c r="C427" s="800"/>
      <c r="D427" s="801" t="s">
        <v>651</v>
      </c>
      <c r="E427" s="850"/>
      <c r="F427" s="851"/>
      <c r="G427" s="851"/>
      <c r="H427" s="851"/>
      <c r="I427" s="851">
        <f>I428</f>
        <v>150000</v>
      </c>
      <c r="J427" s="825"/>
    </row>
    <row r="428" spans="1:10" s="798" customFormat="1" ht="19.5" customHeight="1">
      <c r="A428" s="125"/>
      <c r="B428" s="822">
        <v>75075</v>
      </c>
      <c r="C428" s="822"/>
      <c r="D428" s="852" t="s">
        <v>514</v>
      </c>
      <c r="E428" s="853"/>
      <c r="F428" s="854"/>
      <c r="G428" s="854"/>
      <c r="H428" s="854"/>
      <c r="I428" s="854">
        <f>I429</f>
        <v>150000</v>
      </c>
      <c r="J428" s="797"/>
    </row>
    <row r="429" spans="1:13" s="798" customFormat="1" ht="19.5" customHeight="1">
      <c r="A429" s="827"/>
      <c r="B429" s="316"/>
      <c r="C429" s="807"/>
      <c r="D429" s="828" t="s">
        <v>800</v>
      </c>
      <c r="E429" s="855"/>
      <c r="F429" s="855"/>
      <c r="G429" s="855"/>
      <c r="H429" s="855"/>
      <c r="I429" s="855">
        <f>I430</f>
        <v>150000</v>
      </c>
      <c r="J429" s="797"/>
      <c r="K429" s="797"/>
      <c r="M429" s="797"/>
    </row>
    <row r="430" spans="1:10" s="798" customFormat="1" ht="19.5" customHeight="1">
      <c r="A430" s="856"/>
      <c r="B430" s="125"/>
      <c r="C430" s="231">
        <v>4300</v>
      </c>
      <c r="D430" s="232" t="s">
        <v>664</v>
      </c>
      <c r="E430" s="857"/>
      <c r="F430" s="857"/>
      <c r="G430" s="857"/>
      <c r="H430" s="116"/>
      <c r="I430" s="116">
        <v>150000</v>
      </c>
      <c r="J430" s="797"/>
    </row>
    <row r="431" spans="1:10" s="819" customFormat="1" ht="19.5" customHeight="1">
      <c r="A431" s="813"/>
      <c r="B431" s="814"/>
      <c r="C431" s="815"/>
      <c r="D431" s="848" t="s">
        <v>128</v>
      </c>
      <c r="E431" s="865"/>
      <c r="F431" s="866"/>
      <c r="G431" s="866"/>
      <c r="H431" s="866"/>
      <c r="I431" s="866">
        <f>I432</f>
        <v>44000</v>
      </c>
      <c r="J431" s="818"/>
    </row>
    <row r="432" spans="1:10" s="118" customFormat="1" ht="19.5" customHeight="1" thickBot="1">
      <c r="A432" s="233"/>
      <c r="B432" s="233"/>
      <c r="C432" s="233"/>
      <c r="D432" s="124" t="s">
        <v>640</v>
      </c>
      <c r="E432" s="124"/>
      <c r="F432" s="123"/>
      <c r="G432" s="123"/>
      <c r="H432" s="133"/>
      <c r="I432" s="133">
        <f>I433</f>
        <v>44000</v>
      </c>
      <c r="J432" s="117"/>
    </row>
    <row r="433" spans="1:10" s="826" customFormat="1" ht="19.5" customHeight="1" thickTop="1">
      <c r="A433" s="799">
        <v>754</v>
      </c>
      <c r="B433" s="800"/>
      <c r="C433" s="801"/>
      <c r="D433" s="850" t="s">
        <v>641</v>
      </c>
      <c r="E433" s="850"/>
      <c r="F433" s="851"/>
      <c r="G433" s="851"/>
      <c r="H433" s="851"/>
      <c r="I433" s="851">
        <f>I434</f>
        <v>44000</v>
      </c>
      <c r="J433" s="825"/>
    </row>
    <row r="434" spans="1:10" s="798" customFormat="1" ht="19.5" customHeight="1">
      <c r="A434" s="960"/>
      <c r="B434" s="852">
        <v>75416</v>
      </c>
      <c r="C434" s="852"/>
      <c r="D434" s="972" t="s">
        <v>129</v>
      </c>
      <c r="E434" s="926"/>
      <c r="F434" s="854"/>
      <c r="G434" s="854"/>
      <c r="H434" s="854"/>
      <c r="I434" s="854">
        <f>I435</f>
        <v>44000</v>
      </c>
      <c r="J434" s="797"/>
    </row>
    <row r="435" spans="1:13" s="798" customFormat="1" ht="19.5" customHeight="1">
      <c r="A435" s="827"/>
      <c r="B435" s="904"/>
      <c r="C435" s="904"/>
      <c r="D435" s="904" t="s">
        <v>692</v>
      </c>
      <c r="E435" s="855"/>
      <c r="F435" s="855"/>
      <c r="G435" s="855"/>
      <c r="H435" s="855"/>
      <c r="I435" s="855">
        <f>I436</f>
        <v>44000</v>
      </c>
      <c r="J435" s="797"/>
      <c r="K435" s="797"/>
      <c r="M435" s="797"/>
    </row>
    <row r="436" spans="1:13" s="118" customFormat="1" ht="19.5" customHeight="1">
      <c r="A436" s="856"/>
      <c r="B436" s="125"/>
      <c r="C436" s="233">
        <v>4110</v>
      </c>
      <c r="D436" s="1276" t="s">
        <v>729</v>
      </c>
      <c r="E436" s="116"/>
      <c r="F436" s="116"/>
      <c r="G436" s="116"/>
      <c r="H436" s="116"/>
      <c r="I436" s="116">
        <v>44000</v>
      </c>
      <c r="J436" s="117"/>
      <c r="K436" s="117"/>
      <c r="M436" s="117"/>
    </row>
    <row r="437" spans="1:10" s="819" customFormat="1" ht="19.5" customHeight="1">
      <c r="A437" s="813"/>
      <c r="B437" s="814"/>
      <c r="C437" s="815"/>
      <c r="D437" s="848" t="s">
        <v>595</v>
      </c>
      <c r="E437" s="865"/>
      <c r="F437" s="866"/>
      <c r="G437" s="866"/>
      <c r="H437" s="866"/>
      <c r="I437" s="866">
        <f>I438</f>
        <v>35000</v>
      </c>
      <c r="J437" s="818"/>
    </row>
    <row r="438" spans="1:10" s="118" customFormat="1" ht="19.5" customHeight="1" thickBot="1">
      <c r="A438" s="233"/>
      <c r="B438" s="233"/>
      <c r="C438" s="233"/>
      <c r="D438" s="124" t="s">
        <v>640</v>
      </c>
      <c r="E438" s="124"/>
      <c r="F438" s="123"/>
      <c r="G438" s="123"/>
      <c r="H438" s="133"/>
      <c r="I438" s="133">
        <f>I439</f>
        <v>35000</v>
      </c>
      <c r="J438" s="117"/>
    </row>
    <row r="439" spans="1:10" s="826" customFormat="1" ht="19.5" customHeight="1" thickTop="1">
      <c r="A439" s="799">
        <v>852</v>
      </c>
      <c r="B439" s="800"/>
      <c r="C439" s="801"/>
      <c r="D439" s="850" t="s">
        <v>648</v>
      </c>
      <c r="E439" s="850"/>
      <c r="F439" s="851"/>
      <c r="G439" s="851"/>
      <c r="H439" s="851"/>
      <c r="I439" s="851">
        <f>I440</f>
        <v>35000</v>
      </c>
      <c r="J439" s="825"/>
    </row>
    <row r="440" spans="1:10" s="798" customFormat="1" ht="19.5" customHeight="1">
      <c r="A440" s="960"/>
      <c r="B440" s="852">
        <v>85201</v>
      </c>
      <c r="C440" s="852"/>
      <c r="D440" s="972" t="s">
        <v>298</v>
      </c>
      <c r="E440" s="926"/>
      <c r="F440" s="854"/>
      <c r="G440" s="854"/>
      <c r="H440" s="854"/>
      <c r="I440" s="854">
        <f>I446+I441+I443</f>
        <v>35000</v>
      </c>
      <c r="J440" s="797"/>
    </row>
    <row r="441" spans="1:13" s="118" customFormat="1" ht="19.5" customHeight="1">
      <c r="A441" s="145"/>
      <c r="B441" s="316"/>
      <c r="C441" s="316"/>
      <c r="D441" s="1223" t="s">
        <v>127</v>
      </c>
      <c r="E441" s="927"/>
      <c r="F441" s="927"/>
      <c r="G441" s="927"/>
      <c r="H441" s="927"/>
      <c r="I441" s="927">
        <f>I442</f>
        <v>2500</v>
      </c>
      <c r="J441" s="117"/>
      <c r="K441" s="117"/>
      <c r="M441" s="117"/>
    </row>
    <row r="442" spans="1:13" s="118" customFormat="1" ht="19.5" customHeight="1">
      <c r="A442" s="145"/>
      <c r="B442" s="125"/>
      <c r="C442" s="231">
        <v>4010</v>
      </c>
      <c r="D442" s="232" t="s">
        <v>603</v>
      </c>
      <c r="E442" s="116"/>
      <c r="F442" s="116"/>
      <c r="G442" s="116"/>
      <c r="H442" s="116"/>
      <c r="I442" s="116">
        <v>2500</v>
      </c>
      <c r="J442" s="117"/>
      <c r="K442" s="117"/>
      <c r="M442" s="117"/>
    </row>
    <row r="443" spans="1:13" s="118" customFormat="1" ht="19.5" customHeight="1">
      <c r="A443" s="145"/>
      <c r="B443" s="316"/>
      <c r="C443" s="316"/>
      <c r="D443" s="1223" t="s">
        <v>692</v>
      </c>
      <c r="E443" s="927"/>
      <c r="F443" s="927"/>
      <c r="G443" s="927"/>
      <c r="H443" s="927"/>
      <c r="I443" s="927">
        <f>SUM(I444:I445)</f>
        <v>500</v>
      </c>
      <c r="J443" s="117"/>
      <c r="K443" s="117"/>
      <c r="M443" s="117"/>
    </row>
    <row r="444" spans="1:13" s="118" customFormat="1" ht="19.5" customHeight="1">
      <c r="A444" s="145"/>
      <c r="B444" s="125"/>
      <c r="C444" s="231">
        <v>4110</v>
      </c>
      <c r="D444" s="232" t="s">
        <v>729</v>
      </c>
      <c r="E444" s="116"/>
      <c r="F444" s="116"/>
      <c r="G444" s="116"/>
      <c r="H444" s="116"/>
      <c r="I444" s="116">
        <v>440</v>
      </c>
      <c r="J444" s="117"/>
      <c r="K444" s="117"/>
      <c r="M444" s="117"/>
    </row>
    <row r="445" spans="1:13" s="118" customFormat="1" ht="19.5" customHeight="1">
      <c r="A445" s="145"/>
      <c r="B445" s="125"/>
      <c r="C445" s="231">
        <v>4120</v>
      </c>
      <c r="D445" s="232" t="s">
        <v>730</v>
      </c>
      <c r="E445" s="310"/>
      <c r="F445" s="310"/>
      <c r="G445" s="310"/>
      <c r="H445" s="310"/>
      <c r="I445" s="310">
        <v>60</v>
      </c>
      <c r="J445" s="117"/>
      <c r="K445" s="117"/>
      <c r="M445" s="117"/>
    </row>
    <row r="446" spans="1:13" s="798" customFormat="1" ht="19.5" customHeight="1">
      <c r="A446" s="973"/>
      <c r="B446" s="316"/>
      <c r="C446" s="316"/>
      <c r="D446" s="971" t="s">
        <v>360</v>
      </c>
      <c r="E446" s="855"/>
      <c r="F446" s="855"/>
      <c r="G446" s="855"/>
      <c r="H446" s="855"/>
      <c r="I446" s="855">
        <f>I448</f>
        <v>32000</v>
      </c>
      <c r="J446" s="797"/>
      <c r="K446" s="797"/>
      <c r="M446" s="797"/>
    </row>
    <row r="447" spans="1:13" s="798" customFormat="1" ht="19.5" customHeight="1">
      <c r="A447" s="973"/>
      <c r="B447" s="316"/>
      <c r="C447" s="125"/>
      <c r="D447" s="1555" t="s">
        <v>83</v>
      </c>
      <c r="E447" s="1574"/>
      <c r="F447" s="1574"/>
      <c r="G447" s="1574"/>
      <c r="H447" s="1574"/>
      <c r="I447" s="1574">
        <v>32000</v>
      </c>
      <c r="J447" s="797"/>
      <c r="K447" s="797"/>
      <c r="M447" s="797"/>
    </row>
    <row r="448" spans="1:13" s="118" customFormat="1" ht="19.5" customHeight="1">
      <c r="A448" s="856"/>
      <c r="B448" s="125"/>
      <c r="C448" s="231">
        <v>6050</v>
      </c>
      <c r="D448" s="232" t="s">
        <v>125</v>
      </c>
      <c r="E448" s="310"/>
      <c r="F448" s="310"/>
      <c r="G448" s="310"/>
      <c r="H448" s="310"/>
      <c r="I448" s="310">
        <f>I447</f>
        <v>32000</v>
      </c>
      <c r="J448" s="117"/>
      <c r="K448" s="117"/>
      <c r="M448" s="117"/>
    </row>
    <row r="449" spans="1:10" s="819" customFormat="1" ht="24.75" customHeight="1">
      <c r="A449" s="813"/>
      <c r="B449" s="814"/>
      <c r="C449" s="815"/>
      <c r="D449" s="816" t="s">
        <v>95</v>
      </c>
      <c r="E449" s="816"/>
      <c r="F449" s="817"/>
      <c r="G449" s="817"/>
      <c r="H449" s="817"/>
      <c r="I449" s="817">
        <f>I450</f>
        <v>3000</v>
      </c>
      <c r="J449" s="818"/>
    </row>
    <row r="450" spans="1:10" s="118" customFormat="1" ht="21.75" customHeight="1" thickBot="1">
      <c r="A450" s="233"/>
      <c r="B450" s="233"/>
      <c r="C450" s="233"/>
      <c r="D450" s="124" t="s">
        <v>640</v>
      </c>
      <c r="E450" s="124"/>
      <c r="F450" s="123"/>
      <c r="G450" s="123"/>
      <c r="H450" s="133"/>
      <c r="I450" s="133">
        <f>I451</f>
        <v>3000</v>
      </c>
      <c r="J450" s="117"/>
    </row>
    <row r="451" spans="1:10" s="798" customFormat="1" ht="19.5" customHeight="1" thickTop="1">
      <c r="A451" s="799">
        <v>852</v>
      </c>
      <c r="B451" s="800"/>
      <c r="C451" s="801"/>
      <c r="D451" s="850" t="s">
        <v>648</v>
      </c>
      <c r="E451" s="850"/>
      <c r="F451" s="902"/>
      <c r="G451" s="902"/>
      <c r="H451" s="902"/>
      <c r="I451" s="902">
        <f>I452</f>
        <v>3000</v>
      </c>
      <c r="J451" s="797"/>
    </row>
    <row r="452" spans="1:10" s="798" customFormat="1" ht="22.5" customHeight="1">
      <c r="A452" s="125"/>
      <c r="B452" s="822">
        <v>85201</v>
      </c>
      <c r="C452" s="822"/>
      <c r="D452" s="903" t="s">
        <v>298</v>
      </c>
      <c r="E452" s="853"/>
      <c r="F452" s="854"/>
      <c r="G452" s="854"/>
      <c r="H452" s="854"/>
      <c r="I452" s="854">
        <f>I453+I455</f>
        <v>3000</v>
      </c>
      <c r="J452" s="797"/>
    </row>
    <row r="453" spans="1:13" s="118" customFormat="1" ht="19.5" customHeight="1">
      <c r="A453" s="145"/>
      <c r="B453" s="316"/>
      <c r="C453" s="316"/>
      <c r="D453" s="1223" t="s">
        <v>127</v>
      </c>
      <c r="E453" s="927"/>
      <c r="F453" s="927"/>
      <c r="G453" s="927"/>
      <c r="H453" s="927"/>
      <c r="I453" s="927">
        <f>I454</f>
        <v>2500</v>
      </c>
      <c r="J453" s="117"/>
      <c r="K453" s="117"/>
      <c r="M453" s="117"/>
    </row>
    <row r="454" spans="1:13" s="118" customFormat="1" ht="19.5" customHeight="1">
      <c r="A454" s="145"/>
      <c r="B454" s="125"/>
      <c r="C454" s="231">
        <v>4010</v>
      </c>
      <c r="D454" s="232" t="s">
        <v>603</v>
      </c>
      <c r="E454" s="116"/>
      <c r="F454" s="116"/>
      <c r="G454" s="116"/>
      <c r="H454" s="116"/>
      <c r="I454" s="116">
        <v>2500</v>
      </c>
      <c r="J454" s="117"/>
      <c r="K454" s="117"/>
      <c r="M454" s="117"/>
    </row>
    <row r="455" spans="1:13" s="118" customFormat="1" ht="19.5" customHeight="1">
      <c r="A455" s="145"/>
      <c r="B455" s="316"/>
      <c r="C455" s="316"/>
      <c r="D455" s="1223" t="s">
        <v>692</v>
      </c>
      <c r="E455" s="927"/>
      <c r="F455" s="927"/>
      <c r="G455" s="927"/>
      <c r="H455" s="927"/>
      <c r="I455" s="927">
        <f>SUM(I456:I457)</f>
        <v>500</v>
      </c>
      <c r="J455" s="117"/>
      <c r="K455" s="117"/>
      <c r="M455" s="117"/>
    </row>
    <row r="456" spans="1:13" s="118" customFormat="1" ht="19.5" customHeight="1">
      <c r="A456" s="145"/>
      <c r="B456" s="125"/>
      <c r="C456" s="231">
        <v>4110</v>
      </c>
      <c r="D456" s="232" t="s">
        <v>729</v>
      </c>
      <c r="E456" s="116"/>
      <c r="F456" s="116"/>
      <c r="G456" s="116"/>
      <c r="H456" s="116"/>
      <c r="I456" s="116">
        <v>440</v>
      </c>
      <c r="J456" s="117"/>
      <c r="K456" s="117"/>
      <c r="M456" s="117"/>
    </row>
    <row r="457" spans="1:13" s="118" customFormat="1" ht="19.5" customHeight="1">
      <c r="A457" s="145"/>
      <c r="B457" s="125"/>
      <c r="C457" s="231">
        <v>4120</v>
      </c>
      <c r="D457" s="232" t="s">
        <v>730</v>
      </c>
      <c r="E457" s="310"/>
      <c r="F457" s="310"/>
      <c r="G457" s="310"/>
      <c r="H457" s="310"/>
      <c r="I457" s="310">
        <v>60</v>
      </c>
      <c r="J457" s="117"/>
      <c r="K457" s="117"/>
      <c r="M457" s="117"/>
    </row>
    <row r="458" spans="1:10" s="819" customFormat="1" ht="24.75" customHeight="1">
      <c r="A458" s="813"/>
      <c r="B458" s="814"/>
      <c r="C458" s="815"/>
      <c r="D458" s="816" t="s">
        <v>146</v>
      </c>
      <c r="E458" s="816"/>
      <c r="F458" s="817"/>
      <c r="G458" s="817"/>
      <c r="H458" s="817">
        <f>H459</f>
        <v>9845</v>
      </c>
      <c r="I458" s="817">
        <f>I459</f>
        <v>57525</v>
      </c>
      <c r="J458" s="818"/>
    </row>
    <row r="459" spans="1:10" s="118" customFormat="1" ht="21.75" customHeight="1" thickBot="1">
      <c r="A459" s="233"/>
      <c r="B459" s="233"/>
      <c r="C459" s="233"/>
      <c r="D459" s="124" t="s">
        <v>640</v>
      </c>
      <c r="E459" s="124"/>
      <c r="F459" s="123"/>
      <c r="G459" s="123"/>
      <c r="H459" s="133">
        <f>H460</f>
        <v>9845</v>
      </c>
      <c r="I459" s="133">
        <f>I460</f>
        <v>57525</v>
      </c>
      <c r="J459" s="117"/>
    </row>
    <row r="460" spans="1:10" s="798" customFormat="1" ht="19.5" customHeight="1" thickTop="1">
      <c r="A460" s="799">
        <v>852</v>
      </c>
      <c r="B460" s="800"/>
      <c r="C460" s="801"/>
      <c r="D460" s="850" t="s">
        <v>648</v>
      </c>
      <c r="E460" s="850"/>
      <c r="F460" s="902"/>
      <c r="G460" s="902"/>
      <c r="H460" s="902">
        <f>H461+H473</f>
        <v>9845</v>
      </c>
      <c r="I460" s="902">
        <f>I461+I473</f>
        <v>57525</v>
      </c>
      <c r="J460" s="797"/>
    </row>
    <row r="461" spans="1:10" s="798" customFormat="1" ht="22.5" customHeight="1">
      <c r="A461" s="125"/>
      <c r="B461" s="822">
        <v>85201</v>
      </c>
      <c r="C461" s="822"/>
      <c r="D461" s="822" t="s">
        <v>817</v>
      </c>
      <c r="E461" s="853"/>
      <c r="F461" s="854"/>
      <c r="G461" s="854"/>
      <c r="H461" s="854">
        <f>H464+H468+H462</f>
        <v>9845</v>
      </c>
      <c r="I461" s="854">
        <f>I464+I468+I462</f>
        <v>57417</v>
      </c>
      <c r="J461" s="797"/>
    </row>
    <row r="462" spans="1:13" s="798" customFormat="1" ht="19.5" customHeight="1">
      <c r="A462" s="827"/>
      <c r="B462" s="316"/>
      <c r="C462" s="83"/>
      <c r="D462" s="80" t="s">
        <v>127</v>
      </c>
      <c r="E462" s="855"/>
      <c r="F462" s="855"/>
      <c r="G462" s="855"/>
      <c r="H462" s="855"/>
      <c r="I462" s="855">
        <f>I463</f>
        <v>1737</v>
      </c>
      <c r="J462" s="797"/>
      <c r="K462" s="797"/>
      <c r="M462" s="797"/>
    </row>
    <row r="463" spans="1:13" s="118" customFormat="1" ht="19.5" customHeight="1">
      <c r="A463" s="856"/>
      <c r="B463" s="125"/>
      <c r="C463" s="231">
        <v>4170</v>
      </c>
      <c r="D463" s="232" t="s">
        <v>674</v>
      </c>
      <c r="E463" s="116"/>
      <c r="F463" s="116"/>
      <c r="G463" s="116"/>
      <c r="H463" s="116"/>
      <c r="I463" s="116">
        <v>1737</v>
      </c>
      <c r="J463" s="117"/>
      <c r="K463" s="117"/>
      <c r="M463" s="117"/>
    </row>
    <row r="464" spans="1:13" s="798" customFormat="1" ht="19.5" customHeight="1">
      <c r="A464" s="827"/>
      <c r="B464" s="316"/>
      <c r="C464" s="807"/>
      <c r="D464" s="828" t="s">
        <v>667</v>
      </c>
      <c r="E464" s="855"/>
      <c r="F464" s="855"/>
      <c r="G464" s="855"/>
      <c r="H464" s="855">
        <f>SUM(H465:H467)</f>
        <v>1845</v>
      </c>
      <c r="I464" s="855"/>
      <c r="J464" s="797"/>
      <c r="K464" s="797"/>
      <c r="M464" s="797"/>
    </row>
    <row r="465" spans="1:13" s="118" customFormat="1" ht="19.5" customHeight="1">
      <c r="A465" s="856"/>
      <c r="B465" s="125"/>
      <c r="C465" s="231">
        <v>3110</v>
      </c>
      <c r="D465" s="232" t="s">
        <v>320</v>
      </c>
      <c r="E465" s="116"/>
      <c r="F465" s="116"/>
      <c r="G465" s="116"/>
      <c r="H465" s="116">
        <v>108</v>
      </c>
      <c r="I465" s="116"/>
      <c r="J465" s="117"/>
      <c r="K465" s="117"/>
      <c r="M465" s="117"/>
    </row>
    <row r="466" spans="1:13" s="118" customFormat="1" ht="19.5" customHeight="1">
      <c r="A466" s="856"/>
      <c r="B466" s="125"/>
      <c r="C466" s="66">
        <v>4210</v>
      </c>
      <c r="D466" s="383" t="s">
        <v>663</v>
      </c>
      <c r="E466" s="116"/>
      <c r="F466" s="116"/>
      <c r="G466" s="116"/>
      <c r="H466" s="116">
        <v>1008</v>
      </c>
      <c r="I466" s="116"/>
      <c r="J466" s="117"/>
      <c r="K466" s="117"/>
      <c r="M466" s="117"/>
    </row>
    <row r="467" spans="1:13" s="118" customFormat="1" ht="19.5" customHeight="1">
      <c r="A467" s="856"/>
      <c r="B467" s="125"/>
      <c r="C467" s="339">
        <v>4430</v>
      </c>
      <c r="D467" s="339" t="s">
        <v>733</v>
      </c>
      <c r="E467" s="116"/>
      <c r="F467" s="116"/>
      <c r="G467" s="116"/>
      <c r="H467" s="116">
        <v>729</v>
      </c>
      <c r="I467" s="116"/>
      <c r="J467" s="117"/>
      <c r="K467" s="117"/>
      <c r="M467" s="117"/>
    </row>
    <row r="468" spans="1:13" s="118" customFormat="1" ht="19.5" customHeight="1">
      <c r="A468" s="856"/>
      <c r="B468" s="125"/>
      <c r="C468" s="52"/>
      <c r="D468" s="438" t="s">
        <v>360</v>
      </c>
      <c r="E468" s="512"/>
      <c r="F468" s="438"/>
      <c r="G468" s="438"/>
      <c r="H468" s="1062">
        <f>H469+H471</f>
        <v>8000</v>
      </c>
      <c r="I468" s="1062">
        <f>I469+I471</f>
        <v>55680</v>
      </c>
      <c r="J468" s="117"/>
      <c r="K468" s="117"/>
      <c r="M468" s="117"/>
    </row>
    <row r="469" spans="1:13" s="118" customFormat="1" ht="19.5" customHeight="1">
      <c r="A469" s="856"/>
      <c r="B469" s="125"/>
      <c r="C469" s="66"/>
      <c r="D469" s="1050" t="s">
        <v>83</v>
      </c>
      <c r="E469" s="512"/>
      <c r="F469" s="1050"/>
      <c r="G469" s="1050"/>
      <c r="H469" s="1050">
        <v>8000</v>
      </c>
      <c r="I469" s="1050">
        <f>47680</f>
        <v>47680</v>
      </c>
      <c r="J469" s="117"/>
      <c r="K469" s="117"/>
      <c r="M469" s="117"/>
    </row>
    <row r="470" spans="1:13" s="118" customFormat="1" ht="19.5" customHeight="1">
      <c r="A470" s="856"/>
      <c r="B470" s="125"/>
      <c r="C470" s="67">
        <v>6050</v>
      </c>
      <c r="D470" s="1059" t="s">
        <v>125</v>
      </c>
      <c r="E470" s="512"/>
      <c r="F470" s="1059"/>
      <c r="G470" s="1059"/>
      <c r="H470" s="1059">
        <f>H469</f>
        <v>8000</v>
      </c>
      <c r="I470" s="1059">
        <f>I469</f>
        <v>47680</v>
      </c>
      <c r="J470" s="117"/>
      <c r="K470" s="117"/>
      <c r="M470" s="117"/>
    </row>
    <row r="471" spans="1:13" s="118" customFormat="1" ht="19.5" customHeight="1">
      <c r="A471" s="856"/>
      <c r="B471" s="125"/>
      <c r="C471" s="66"/>
      <c r="D471" s="1056" t="s">
        <v>894</v>
      </c>
      <c r="E471" s="512"/>
      <c r="F471" s="1056"/>
      <c r="G471" s="1056"/>
      <c r="H471" s="1056"/>
      <c r="I471" s="1056">
        <v>8000</v>
      </c>
      <c r="J471" s="117"/>
      <c r="K471" s="117"/>
      <c r="M471" s="117"/>
    </row>
    <row r="472" spans="1:13" s="118" customFormat="1" ht="19.5" customHeight="1">
      <c r="A472" s="856"/>
      <c r="B472" s="125"/>
      <c r="C472" s="67">
        <v>6060</v>
      </c>
      <c r="D472" s="1059" t="s">
        <v>895</v>
      </c>
      <c r="E472" s="310"/>
      <c r="F472" s="1059"/>
      <c r="G472" s="1059"/>
      <c r="H472" s="1059"/>
      <c r="I472" s="1059">
        <f>I471</f>
        <v>8000</v>
      </c>
      <c r="J472" s="117"/>
      <c r="K472" s="117"/>
      <c r="M472" s="117"/>
    </row>
    <row r="473" spans="1:10" s="798" customFormat="1" ht="22.5" customHeight="1">
      <c r="A473" s="125"/>
      <c r="B473" s="822">
        <v>85295</v>
      </c>
      <c r="C473" s="822"/>
      <c r="D473" s="903" t="s">
        <v>646</v>
      </c>
      <c r="E473" s="853"/>
      <c r="F473" s="854"/>
      <c r="G473" s="854"/>
      <c r="H473" s="854"/>
      <c r="I473" s="854">
        <f>I474</f>
        <v>108</v>
      </c>
      <c r="J473" s="797"/>
    </row>
    <row r="474" spans="1:13" s="798" customFormat="1" ht="19.5" customHeight="1">
      <c r="A474" s="827"/>
      <c r="B474" s="904"/>
      <c r="C474" s="807"/>
      <c r="D474" s="828" t="s">
        <v>818</v>
      </c>
      <c r="E474" s="855"/>
      <c r="F474" s="855"/>
      <c r="G474" s="855"/>
      <c r="H474" s="855"/>
      <c r="I474" s="855">
        <f>I475</f>
        <v>108</v>
      </c>
      <c r="J474" s="797"/>
      <c r="K474" s="797"/>
      <c r="M474" s="797"/>
    </row>
    <row r="475" spans="1:13" s="118" customFormat="1" ht="19.5" customHeight="1">
      <c r="A475" s="856"/>
      <c r="B475" s="125"/>
      <c r="C475" s="231">
        <v>3110</v>
      </c>
      <c r="D475" s="232" t="s">
        <v>320</v>
      </c>
      <c r="E475" s="116"/>
      <c r="F475" s="116"/>
      <c r="G475" s="116"/>
      <c r="H475" s="116"/>
      <c r="I475" s="116">
        <v>108</v>
      </c>
      <c r="J475" s="117"/>
      <c r="K475" s="117"/>
      <c r="M475" s="117"/>
    </row>
    <row r="476" spans="1:10" s="819" customFormat="1" ht="20.25" customHeight="1">
      <c r="A476" s="813"/>
      <c r="B476" s="814"/>
      <c r="C476" s="815"/>
      <c r="D476" s="816" t="s">
        <v>472</v>
      </c>
      <c r="E476" s="816"/>
      <c r="F476" s="817"/>
      <c r="G476" s="817"/>
      <c r="H476" s="817"/>
      <c r="I476" s="817">
        <f>I477</f>
        <v>4110</v>
      </c>
      <c r="J476" s="818"/>
    </row>
    <row r="477" spans="1:10" s="118" customFormat="1" ht="21.75" customHeight="1" thickBot="1">
      <c r="A477" s="233"/>
      <c r="B477" s="233"/>
      <c r="C477" s="233"/>
      <c r="D477" s="124" t="s">
        <v>640</v>
      </c>
      <c r="E477" s="124"/>
      <c r="F477" s="123"/>
      <c r="G477" s="123"/>
      <c r="H477" s="133"/>
      <c r="I477" s="133">
        <f>I478</f>
        <v>4110</v>
      </c>
      <c r="J477" s="117"/>
    </row>
    <row r="478" spans="1:10" s="798" customFormat="1" ht="19.5" customHeight="1" thickTop="1">
      <c r="A478" s="799">
        <v>852</v>
      </c>
      <c r="B478" s="800"/>
      <c r="C478" s="801"/>
      <c r="D478" s="850" t="s">
        <v>648</v>
      </c>
      <c r="E478" s="850"/>
      <c r="F478" s="902"/>
      <c r="G478" s="902"/>
      <c r="H478" s="902"/>
      <c r="I478" s="902">
        <f>I479</f>
        <v>4110</v>
      </c>
      <c r="J478" s="797"/>
    </row>
    <row r="479" spans="1:10" s="798" customFormat="1" ht="22.5" customHeight="1">
      <c r="A479" s="125"/>
      <c r="B479" s="822">
        <v>85201</v>
      </c>
      <c r="C479" s="822"/>
      <c r="D479" s="822" t="s">
        <v>817</v>
      </c>
      <c r="E479" s="853"/>
      <c r="F479" s="854"/>
      <c r="G479" s="854"/>
      <c r="H479" s="854"/>
      <c r="I479" s="854">
        <f>I480+I483</f>
        <v>4110</v>
      </c>
      <c r="J479" s="797"/>
    </row>
    <row r="480" spans="1:13" s="798" customFormat="1" ht="19.5" customHeight="1">
      <c r="A480" s="827"/>
      <c r="B480" s="316"/>
      <c r="C480" s="83"/>
      <c r="D480" s="80" t="s">
        <v>127</v>
      </c>
      <c r="E480" s="855"/>
      <c r="F480" s="855"/>
      <c r="G480" s="855"/>
      <c r="H480" s="855"/>
      <c r="I480" s="855">
        <f>I481</f>
        <v>3650</v>
      </c>
      <c r="J480" s="797"/>
      <c r="K480" s="797"/>
      <c r="M480" s="797"/>
    </row>
    <row r="481" spans="1:13" s="118" customFormat="1" ht="19.5" customHeight="1">
      <c r="A481" s="856"/>
      <c r="B481" s="125"/>
      <c r="C481" s="115">
        <v>4010</v>
      </c>
      <c r="D481" s="1288" t="s">
        <v>603</v>
      </c>
      <c r="E481" s="601"/>
      <c r="F481" s="601"/>
      <c r="G481" s="601"/>
      <c r="H481" s="601"/>
      <c r="I481" s="601">
        <v>3650</v>
      </c>
      <c r="J481" s="117"/>
      <c r="K481" s="117"/>
      <c r="M481" s="117"/>
    </row>
    <row r="482" spans="1:13" s="118" customFormat="1" ht="19.5" customHeight="1">
      <c r="A482" s="1338"/>
      <c r="B482" s="1339"/>
      <c r="C482" s="1334"/>
      <c r="D482" s="1335"/>
      <c r="E482" s="1336"/>
      <c r="F482" s="1336"/>
      <c r="G482" s="1336"/>
      <c r="H482" s="1336"/>
      <c r="I482" s="1336"/>
      <c r="J482" s="117"/>
      <c r="K482" s="117"/>
      <c r="M482" s="117"/>
    </row>
    <row r="483" spans="1:13" s="798" customFormat="1" ht="19.5" customHeight="1">
      <c r="A483" s="827"/>
      <c r="B483" s="316"/>
      <c r="C483" s="52"/>
      <c r="D483" s="438" t="s">
        <v>692</v>
      </c>
      <c r="E483" s="927"/>
      <c r="F483" s="927"/>
      <c r="G483" s="927"/>
      <c r="H483" s="927"/>
      <c r="I483" s="927">
        <f>SUM(I484:I485)</f>
        <v>460</v>
      </c>
      <c r="J483" s="797"/>
      <c r="K483" s="797"/>
      <c r="M483" s="797"/>
    </row>
    <row r="484" spans="1:13" s="118" customFormat="1" ht="19.5" customHeight="1">
      <c r="A484" s="856"/>
      <c r="B484" s="125"/>
      <c r="C484" s="67">
        <v>4110</v>
      </c>
      <c r="D484" s="385" t="s">
        <v>729</v>
      </c>
      <c r="E484" s="116"/>
      <c r="F484" s="116"/>
      <c r="G484" s="116"/>
      <c r="H484" s="116"/>
      <c r="I484" s="116">
        <v>430</v>
      </c>
      <c r="J484" s="117"/>
      <c r="K484" s="117"/>
      <c r="M484" s="117"/>
    </row>
    <row r="485" spans="1:13" s="118" customFormat="1" ht="19.5" customHeight="1">
      <c r="A485" s="856"/>
      <c r="B485" s="125"/>
      <c r="C485" s="67">
        <v>4120</v>
      </c>
      <c r="D485" s="385" t="s">
        <v>730</v>
      </c>
      <c r="E485" s="116"/>
      <c r="F485" s="116"/>
      <c r="G485" s="116"/>
      <c r="H485" s="116"/>
      <c r="I485" s="116">
        <v>30</v>
      </c>
      <c r="J485" s="117"/>
      <c r="K485" s="117"/>
      <c r="M485" s="117"/>
    </row>
    <row r="486" spans="1:10" s="819" customFormat="1" ht="19.5" customHeight="1">
      <c r="A486" s="813"/>
      <c r="B486" s="814"/>
      <c r="C486" s="815"/>
      <c r="D486" s="848" t="s">
        <v>473</v>
      </c>
      <c r="E486" s="865"/>
      <c r="F486" s="866"/>
      <c r="G486" s="866"/>
      <c r="H486" s="866"/>
      <c r="I486" s="866">
        <f>I487</f>
        <v>60000</v>
      </c>
      <c r="J486" s="818"/>
    </row>
    <row r="487" spans="1:10" s="118" customFormat="1" ht="19.5" customHeight="1" thickBot="1">
      <c r="A487" s="233"/>
      <c r="B487" s="233"/>
      <c r="C487" s="233"/>
      <c r="D487" s="124" t="s">
        <v>640</v>
      </c>
      <c r="E487" s="124"/>
      <c r="F487" s="123"/>
      <c r="G487" s="123"/>
      <c r="H487" s="133"/>
      <c r="I487" s="133">
        <f>I488</f>
        <v>60000</v>
      </c>
      <c r="J487" s="117"/>
    </row>
    <row r="488" spans="1:10" s="826" customFormat="1" ht="19.5" customHeight="1" thickTop="1">
      <c r="A488" s="925">
        <v>852</v>
      </c>
      <c r="B488" s="801"/>
      <c r="C488" s="801"/>
      <c r="D488" s="850" t="s">
        <v>648</v>
      </c>
      <c r="E488" s="850"/>
      <c r="F488" s="851"/>
      <c r="G488" s="851"/>
      <c r="H488" s="851"/>
      <c r="I488" s="851">
        <f>I489</f>
        <v>60000</v>
      </c>
      <c r="J488" s="825"/>
    </row>
    <row r="489" spans="1:10" s="798" customFormat="1" ht="19.5" customHeight="1">
      <c r="A489" s="125"/>
      <c r="B489" s="822">
        <v>85201</v>
      </c>
      <c r="C489" s="822"/>
      <c r="D489" s="903" t="s">
        <v>298</v>
      </c>
      <c r="E489" s="853"/>
      <c r="F489" s="854"/>
      <c r="G489" s="854"/>
      <c r="H489" s="854"/>
      <c r="I489" s="854">
        <f>I490</f>
        <v>60000</v>
      </c>
      <c r="J489" s="797"/>
    </row>
    <row r="490" spans="1:13" s="798" customFormat="1" ht="19.5" customHeight="1">
      <c r="A490" s="827"/>
      <c r="B490" s="316"/>
      <c r="C490" s="316"/>
      <c r="D490" s="971" t="s">
        <v>360</v>
      </c>
      <c r="E490" s="927"/>
      <c r="F490" s="927"/>
      <c r="G490" s="927"/>
      <c r="H490" s="927"/>
      <c r="I490" s="927">
        <f>I491+I494</f>
        <v>60000</v>
      </c>
      <c r="J490" s="797"/>
      <c r="K490" s="797"/>
      <c r="M490" s="797"/>
    </row>
    <row r="491" spans="1:13" s="118" customFormat="1" ht="19.5" customHeight="1">
      <c r="A491" s="145"/>
      <c r="B491" s="125"/>
      <c r="C491" s="125"/>
      <c r="D491" s="1278" t="s">
        <v>797</v>
      </c>
      <c r="E491" s="601"/>
      <c r="F491" s="601"/>
      <c r="G491" s="601"/>
      <c r="H491" s="601"/>
      <c r="I491" s="601">
        <v>38100</v>
      </c>
      <c r="J491" s="117"/>
      <c r="K491" s="117"/>
      <c r="M491" s="117"/>
    </row>
    <row r="492" spans="1:13" s="118" customFormat="1" ht="19.5" customHeight="1">
      <c r="A492" s="145"/>
      <c r="B492" s="125"/>
      <c r="C492" s="233">
        <v>6050</v>
      </c>
      <c r="D492" s="958" t="s">
        <v>125</v>
      </c>
      <c r="E492" s="962"/>
      <c r="F492" s="962"/>
      <c r="G492" s="962"/>
      <c r="H492" s="962"/>
      <c r="I492" s="962">
        <f>I491</f>
        <v>38100</v>
      </c>
      <c r="J492" s="117"/>
      <c r="K492" s="117"/>
      <c r="M492" s="117"/>
    </row>
    <row r="493" spans="1:13" s="118" customFormat="1" ht="19.5" customHeight="1">
      <c r="A493" s="856"/>
      <c r="B493" s="125"/>
      <c r="C493" s="66"/>
      <c r="D493" s="1056" t="s">
        <v>894</v>
      </c>
      <c r="E493" s="512"/>
      <c r="F493" s="1056"/>
      <c r="G493" s="1056"/>
      <c r="H493" s="1056"/>
      <c r="I493" s="1056">
        <v>21900</v>
      </c>
      <c r="J493" s="117"/>
      <c r="K493" s="117"/>
      <c r="M493" s="117"/>
    </row>
    <row r="494" spans="1:13" s="118" customFormat="1" ht="19.5" customHeight="1">
      <c r="A494" s="856"/>
      <c r="B494" s="125"/>
      <c r="C494" s="67">
        <v>6060</v>
      </c>
      <c r="D494" s="1059" t="s">
        <v>895</v>
      </c>
      <c r="E494" s="310"/>
      <c r="F494" s="1059"/>
      <c r="G494" s="1059"/>
      <c r="H494" s="1059"/>
      <c r="I494" s="1059">
        <f>I493</f>
        <v>21900</v>
      </c>
      <c r="J494" s="117"/>
      <c r="K494" s="117"/>
      <c r="M494" s="117"/>
    </row>
    <row r="495" spans="1:10" s="819" customFormat="1" ht="17.25" customHeight="1">
      <c r="A495" s="813"/>
      <c r="B495" s="814"/>
      <c r="C495" s="815"/>
      <c r="D495" s="816" t="s">
        <v>474</v>
      </c>
      <c r="E495" s="816"/>
      <c r="F495" s="817"/>
      <c r="G495" s="817"/>
      <c r="H495" s="817"/>
      <c r="I495" s="817">
        <f>I496</f>
        <v>7400</v>
      </c>
      <c r="J495" s="818"/>
    </row>
    <row r="496" spans="1:10" s="118" customFormat="1" ht="19.5" customHeight="1" thickBot="1">
      <c r="A496" s="233"/>
      <c r="B496" s="233"/>
      <c r="C496" s="233"/>
      <c r="D496" s="124" t="s">
        <v>640</v>
      </c>
      <c r="E496" s="124"/>
      <c r="F496" s="123"/>
      <c r="G496" s="123"/>
      <c r="H496" s="133"/>
      <c r="I496" s="133">
        <f>I497</f>
        <v>7400</v>
      </c>
      <c r="J496" s="117"/>
    </row>
    <row r="497" spans="1:10" s="826" customFormat="1" ht="19.5" customHeight="1" thickTop="1">
      <c r="A497" s="925">
        <v>852</v>
      </c>
      <c r="B497" s="801"/>
      <c r="C497" s="801"/>
      <c r="D497" s="850" t="s">
        <v>648</v>
      </c>
      <c r="E497" s="850"/>
      <c r="F497" s="851"/>
      <c r="G497" s="851"/>
      <c r="H497" s="851"/>
      <c r="I497" s="851">
        <f>I498</f>
        <v>7400</v>
      </c>
      <c r="J497" s="825"/>
    </row>
    <row r="498" spans="1:10" s="798" customFormat="1" ht="19.5" customHeight="1">
      <c r="A498" s="125"/>
      <c r="B498" s="822">
        <v>85202</v>
      </c>
      <c r="C498" s="822"/>
      <c r="D498" s="903" t="s">
        <v>220</v>
      </c>
      <c r="E498" s="926"/>
      <c r="F498" s="854"/>
      <c r="G498" s="854"/>
      <c r="H498" s="854"/>
      <c r="I498" s="854">
        <f>I499</f>
        <v>7400</v>
      </c>
      <c r="J498" s="797"/>
    </row>
    <row r="499" spans="1:13" s="118" customFormat="1" ht="19.5" customHeight="1">
      <c r="A499" s="145"/>
      <c r="B499" s="316"/>
      <c r="C499" s="316"/>
      <c r="D499" s="316" t="s">
        <v>360</v>
      </c>
      <c r="E499" s="512"/>
      <c r="F499" s="512"/>
      <c r="G499" s="512"/>
      <c r="H499" s="512"/>
      <c r="I499" s="927">
        <f>I501</f>
        <v>7400</v>
      </c>
      <c r="J499" s="117"/>
      <c r="K499" s="117"/>
      <c r="M499" s="117"/>
    </row>
    <row r="500" spans="1:13" s="118" customFormat="1" ht="19.5" customHeight="1">
      <c r="A500" s="145"/>
      <c r="B500" s="125"/>
      <c r="C500" s="125"/>
      <c r="D500" s="400" t="s">
        <v>879</v>
      </c>
      <c r="E500" s="331"/>
      <c r="F500" s="331"/>
      <c r="G500" s="331"/>
      <c r="H500" s="331"/>
      <c r="I500" s="331">
        <v>7400</v>
      </c>
      <c r="J500" s="117"/>
      <c r="K500" s="117"/>
      <c r="M500" s="117"/>
    </row>
    <row r="501" spans="1:13" s="118" customFormat="1" ht="19.5" customHeight="1">
      <c r="A501" s="145"/>
      <c r="B501" s="125"/>
      <c r="C501" s="231">
        <v>6050</v>
      </c>
      <c r="D501" s="232" t="s">
        <v>125</v>
      </c>
      <c r="E501" s="962"/>
      <c r="F501" s="962"/>
      <c r="G501" s="962"/>
      <c r="H501" s="962"/>
      <c r="I501" s="962">
        <f>I500</f>
        <v>7400</v>
      </c>
      <c r="J501" s="117"/>
      <c r="K501" s="117"/>
      <c r="M501" s="117"/>
    </row>
    <row r="502" spans="1:10" s="819" customFormat="1" ht="16.5" customHeight="1">
      <c r="A502" s="813"/>
      <c r="B502" s="814"/>
      <c r="C502" s="815"/>
      <c r="D502" s="816" t="s">
        <v>475</v>
      </c>
      <c r="E502" s="816"/>
      <c r="F502" s="817"/>
      <c r="G502" s="817"/>
      <c r="H502" s="817"/>
      <c r="I502" s="817">
        <f>I503</f>
        <v>90000</v>
      </c>
      <c r="J502" s="818"/>
    </row>
    <row r="503" spans="1:10" s="118" customFormat="1" ht="18" customHeight="1" thickBot="1">
      <c r="A503" s="233"/>
      <c r="B503" s="233"/>
      <c r="C503" s="233"/>
      <c r="D503" s="124" t="s">
        <v>640</v>
      </c>
      <c r="E503" s="124"/>
      <c r="F503" s="123"/>
      <c r="G503" s="123"/>
      <c r="H503" s="133"/>
      <c r="I503" s="133">
        <f>I504</f>
        <v>90000</v>
      </c>
      <c r="J503" s="117"/>
    </row>
    <row r="504" spans="1:10" s="826" customFormat="1" ht="16.5" customHeight="1" thickTop="1">
      <c r="A504" s="925">
        <v>852</v>
      </c>
      <c r="B504" s="801"/>
      <c r="C504" s="801"/>
      <c r="D504" s="850" t="s">
        <v>648</v>
      </c>
      <c r="E504" s="850"/>
      <c r="F504" s="851"/>
      <c r="G504" s="851"/>
      <c r="H504" s="851"/>
      <c r="I504" s="851">
        <f>I505</f>
        <v>90000</v>
      </c>
      <c r="J504" s="825"/>
    </row>
    <row r="505" spans="1:10" s="798" customFormat="1" ht="17.25" customHeight="1">
      <c r="A505" s="125"/>
      <c r="B505" s="822">
        <v>85202</v>
      </c>
      <c r="C505" s="822"/>
      <c r="D505" s="903" t="s">
        <v>220</v>
      </c>
      <c r="E505" s="853"/>
      <c r="F505" s="854"/>
      <c r="G505" s="854"/>
      <c r="H505" s="854"/>
      <c r="I505" s="854">
        <f>I506+I508</f>
        <v>90000</v>
      </c>
      <c r="J505" s="797"/>
    </row>
    <row r="506" spans="1:13" s="798" customFormat="1" ht="19.5" customHeight="1">
      <c r="A506" s="827"/>
      <c r="B506" s="904"/>
      <c r="C506" s="316"/>
      <c r="D506" s="1223" t="s">
        <v>667</v>
      </c>
      <c r="E506" s="855"/>
      <c r="F506" s="855"/>
      <c r="G506" s="855"/>
      <c r="H506" s="855"/>
      <c r="I506" s="855">
        <f>I507</f>
        <v>42000</v>
      </c>
      <c r="J506" s="797"/>
      <c r="K506" s="797"/>
      <c r="M506" s="797"/>
    </row>
    <row r="507" spans="1:13" s="118" customFormat="1" ht="19.5" customHeight="1">
      <c r="A507" s="145"/>
      <c r="B507" s="125"/>
      <c r="C507" s="231">
        <v>4210</v>
      </c>
      <c r="D507" s="232" t="s">
        <v>663</v>
      </c>
      <c r="E507" s="116"/>
      <c r="F507" s="116"/>
      <c r="G507" s="116"/>
      <c r="H507" s="116"/>
      <c r="I507" s="116">
        <v>42000</v>
      </c>
      <c r="J507" s="117"/>
      <c r="K507" s="117"/>
      <c r="M507" s="117"/>
    </row>
    <row r="508" spans="1:13" s="798" customFormat="1" ht="19.5" customHeight="1">
      <c r="A508" s="827"/>
      <c r="B508" s="316"/>
      <c r="C508" s="904"/>
      <c r="D508" s="1279" t="s">
        <v>476</v>
      </c>
      <c r="E508" s="855"/>
      <c r="F508" s="855"/>
      <c r="G508" s="855"/>
      <c r="H508" s="855"/>
      <c r="I508" s="855">
        <f>I509</f>
        <v>48000</v>
      </c>
      <c r="J508" s="797"/>
      <c r="K508" s="797"/>
      <c r="M508" s="797"/>
    </row>
    <row r="509" spans="1:13" s="118" customFormat="1" ht="19.5" customHeight="1">
      <c r="A509" s="145"/>
      <c r="B509" s="125"/>
      <c r="C509" s="231">
        <v>6050</v>
      </c>
      <c r="D509" s="232" t="s">
        <v>125</v>
      </c>
      <c r="E509" s="116"/>
      <c r="F509" s="116"/>
      <c r="G509" s="116"/>
      <c r="H509" s="116"/>
      <c r="I509" s="116">
        <v>48000</v>
      </c>
      <c r="J509" s="117"/>
      <c r="K509" s="117"/>
      <c r="M509" s="117"/>
    </row>
    <row r="510" spans="1:10" s="819" customFormat="1" ht="19.5" customHeight="1">
      <c r="A510" s="813"/>
      <c r="B510" s="814"/>
      <c r="C510" s="815"/>
      <c r="D510" s="816" t="s">
        <v>637</v>
      </c>
      <c r="E510" s="816"/>
      <c r="F510" s="817"/>
      <c r="G510" s="817"/>
      <c r="H510" s="817"/>
      <c r="I510" s="817">
        <f>I511</f>
        <v>9900</v>
      </c>
      <c r="J510" s="818"/>
    </row>
    <row r="511" spans="1:10" s="118" customFormat="1" ht="19.5" customHeight="1" thickBot="1">
      <c r="A511" s="233"/>
      <c r="B511" s="233"/>
      <c r="C511" s="233"/>
      <c r="D511" s="124" t="s">
        <v>640</v>
      </c>
      <c r="E511" s="124"/>
      <c r="F511" s="123"/>
      <c r="G511" s="123"/>
      <c r="H511" s="133"/>
      <c r="I511" s="133">
        <f>I512</f>
        <v>9900</v>
      </c>
      <c r="J511" s="117"/>
    </row>
    <row r="512" spans="1:10" s="826" customFormat="1" ht="19.5" customHeight="1" thickTop="1">
      <c r="A512" s="925">
        <v>852</v>
      </c>
      <c r="B512" s="801"/>
      <c r="C512" s="801"/>
      <c r="D512" s="850" t="s">
        <v>648</v>
      </c>
      <c r="E512" s="850"/>
      <c r="F512" s="851"/>
      <c r="G512" s="851"/>
      <c r="H512" s="851"/>
      <c r="I512" s="851">
        <f>I513</f>
        <v>9900</v>
      </c>
      <c r="J512" s="825"/>
    </row>
    <row r="513" spans="1:10" s="798" customFormat="1" ht="19.5" customHeight="1">
      <c r="A513" s="125"/>
      <c r="B513" s="822">
        <v>85202</v>
      </c>
      <c r="C513" s="822"/>
      <c r="D513" s="903" t="s">
        <v>220</v>
      </c>
      <c r="E513" s="926"/>
      <c r="F513" s="854"/>
      <c r="G513" s="854"/>
      <c r="H513" s="854"/>
      <c r="I513" s="854">
        <f>I514</f>
        <v>9900</v>
      </c>
      <c r="J513" s="797"/>
    </row>
    <row r="514" spans="1:13" s="798" customFormat="1" ht="19.5" customHeight="1">
      <c r="A514" s="827"/>
      <c r="B514" s="904"/>
      <c r="C514" s="316"/>
      <c r="D514" s="1223" t="s">
        <v>667</v>
      </c>
      <c r="E514" s="855"/>
      <c r="F514" s="855"/>
      <c r="G514" s="855"/>
      <c r="H514" s="855"/>
      <c r="I514" s="855">
        <f>I515</f>
        <v>9900</v>
      </c>
      <c r="J514" s="797"/>
      <c r="K514" s="797"/>
      <c r="M514" s="797"/>
    </row>
    <row r="515" spans="1:13" s="118" customFormat="1" ht="19.5" customHeight="1">
      <c r="A515" s="870"/>
      <c r="B515" s="233"/>
      <c r="C515" s="231">
        <v>4430</v>
      </c>
      <c r="D515" s="232" t="s">
        <v>733</v>
      </c>
      <c r="E515" s="116"/>
      <c r="F515" s="116"/>
      <c r="G515" s="116"/>
      <c r="H515" s="116"/>
      <c r="I515" s="116">
        <v>9900</v>
      </c>
      <c r="J515" s="117"/>
      <c r="K515" s="117"/>
      <c r="M515" s="117"/>
    </row>
    <row r="516" spans="1:10" s="819" customFormat="1" ht="16.5" customHeight="1">
      <c r="A516" s="813"/>
      <c r="B516" s="814"/>
      <c r="C516" s="815"/>
      <c r="D516" s="865" t="s">
        <v>477</v>
      </c>
      <c r="E516" s="865"/>
      <c r="F516" s="866"/>
      <c r="G516" s="866"/>
      <c r="H516" s="866"/>
      <c r="I516" s="866">
        <f>I517</f>
        <v>110000</v>
      </c>
      <c r="J516" s="818"/>
    </row>
    <row r="517" spans="1:10" s="118" customFormat="1" ht="18" customHeight="1" thickBot="1">
      <c r="A517" s="233"/>
      <c r="B517" s="233"/>
      <c r="C517" s="233"/>
      <c r="D517" s="124" t="s">
        <v>640</v>
      </c>
      <c r="E517" s="124"/>
      <c r="F517" s="123"/>
      <c r="G517" s="123"/>
      <c r="H517" s="133"/>
      <c r="I517" s="133">
        <f>I518</f>
        <v>110000</v>
      </c>
      <c r="J517" s="117"/>
    </row>
    <row r="518" spans="1:10" s="826" customFormat="1" ht="16.5" customHeight="1" thickTop="1">
      <c r="A518" s="925">
        <v>852</v>
      </c>
      <c r="B518" s="801"/>
      <c r="C518" s="801"/>
      <c r="D518" s="850" t="s">
        <v>648</v>
      </c>
      <c r="E518" s="850"/>
      <c r="F518" s="851"/>
      <c r="G518" s="851"/>
      <c r="H518" s="851"/>
      <c r="I518" s="851">
        <f>I519</f>
        <v>110000</v>
      </c>
      <c r="J518" s="825"/>
    </row>
    <row r="519" spans="1:10" s="798" customFormat="1" ht="17.25" customHeight="1">
      <c r="A519" s="125"/>
      <c r="B519" s="822">
        <v>85202</v>
      </c>
      <c r="C519" s="822"/>
      <c r="D519" s="903" t="s">
        <v>220</v>
      </c>
      <c r="E519" s="853"/>
      <c r="F519" s="854"/>
      <c r="G519" s="854"/>
      <c r="H519" s="854"/>
      <c r="I519" s="854">
        <f>I520+I522</f>
        <v>110000</v>
      </c>
      <c r="J519" s="797"/>
    </row>
    <row r="520" spans="1:13" s="798" customFormat="1" ht="19.5" customHeight="1">
      <c r="A520" s="827"/>
      <c r="B520" s="904"/>
      <c r="C520" s="316"/>
      <c r="D520" s="1223" t="s">
        <v>667</v>
      </c>
      <c r="E520" s="855"/>
      <c r="F520" s="855"/>
      <c r="G520" s="855"/>
      <c r="H520" s="855"/>
      <c r="I520" s="855">
        <f>I521</f>
        <v>68000</v>
      </c>
      <c r="J520" s="797"/>
      <c r="K520" s="797"/>
      <c r="M520" s="797"/>
    </row>
    <row r="521" spans="1:13" s="118" customFormat="1" ht="19.5" customHeight="1">
      <c r="A521" s="145"/>
      <c r="B521" s="125"/>
      <c r="C521" s="231">
        <v>4210</v>
      </c>
      <c r="D521" s="232" t="s">
        <v>663</v>
      </c>
      <c r="E521" s="116"/>
      <c r="F521" s="116"/>
      <c r="G521" s="116"/>
      <c r="H521" s="116"/>
      <c r="I521" s="116">
        <v>68000</v>
      </c>
      <c r="J521" s="117"/>
      <c r="K521" s="117"/>
      <c r="M521" s="117"/>
    </row>
    <row r="522" spans="1:13" s="798" customFormat="1" ht="19.5" customHeight="1">
      <c r="A522" s="827"/>
      <c r="B522" s="316"/>
      <c r="C522" s="904"/>
      <c r="D522" s="1279" t="s">
        <v>7</v>
      </c>
      <c r="E522" s="855"/>
      <c r="F522" s="855"/>
      <c r="G522" s="855"/>
      <c r="H522" s="855"/>
      <c r="I522" s="855">
        <f>I523</f>
        <v>42000</v>
      </c>
      <c r="J522" s="797"/>
      <c r="K522" s="797"/>
      <c r="M522" s="797"/>
    </row>
    <row r="523" spans="1:13" s="118" customFormat="1" ht="19.5" customHeight="1">
      <c r="A523" s="145"/>
      <c r="B523" s="125"/>
      <c r="C523" s="67">
        <v>6060</v>
      </c>
      <c r="D523" s="1059" t="s">
        <v>895</v>
      </c>
      <c r="E523" s="116"/>
      <c r="F523" s="116"/>
      <c r="G523" s="116"/>
      <c r="H523" s="116"/>
      <c r="I523" s="116">
        <v>42000</v>
      </c>
      <c r="J523" s="117"/>
      <c r="K523" s="117"/>
      <c r="M523" s="117"/>
    </row>
    <row r="524" spans="1:10" s="819" customFormat="1" ht="16.5" customHeight="1">
      <c r="A524" s="813"/>
      <c r="B524" s="814"/>
      <c r="C524" s="815"/>
      <c r="D524" s="865" t="s">
        <v>478</v>
      </c>
      <c r="E524" s="865"/>
      <c r="F524" s="866"/>
      <c r="G524" s="866"/>
      <c r="H524" s="866"/>
      <c r="I524" s="866">
        <f aca="true" t="shared" si="2" ref="I524:I529">I525</f>
        <v>3000</v>
      </c>
      <c r="J524" s="818"/>
    </row>
    <row r="525" spans="1:10" s="118" customFormat="1" ht="25.5" customHeight="1" thickBot="1">
      <c r="A525" s="233"/>
      <c r="B525" s="233"/>
      <c r="C525" s="233"/>
      <c r="D525" s="124" t="s">
        <v>678</v>
      </c>
      <c r="E525" s="124"/>
      <c r="F525" s="123"/>
      <c r="G525" s="123"/>
      <c r="H525" s="133"/>
      <c r="I525" s="133">
        <f t="shared" si="2"/>
        <v>3000</v>
      </c>
      <c r="J525" s="117"/>
    </row>
    <row r="526" spans="1:10" s="45" customFormat="1" ht="19.5" customHeight="1" thickTop="1">
      <c r="A526" s="74">
        <v>852</v>
      </c>
      <c r="B526" s="74"/>
      <c r="C526" s="74"/>
      <c r="D526" s="74" t="s">
        <v>648</v>
      </c>
      <c r="E526" s="409"/>
      <c r="F526" s="381"/>
      <c r="G526" s="381"/>
      <c r="H526" s="60"/>
      <c r="I526" s="60">
        <f t="shared" si="2"/>
        <v>3000</v>
      </c>
      <c r="J526" s="95"/>
    </row>
    <row r="527" spans="1:10" s="45" customFormat="1" ht="19.5" customHeight="1">
      <c r="A527" s="109"/>
      <c r="B527" s="1026">
        <v>85203</v>
      </c>
      <c r="C527" s="63"/>
      <c r="D527" s="1106" t="s">
        <v>261</v>
      </c>
      <c r="E527" s="1289"/>
      <c r="F527" s="1106"/>
      <c r="G527" s="1106"/>
      <c r="H527" s="1106"/>
      <c r="I527" s="1260">
        <f t="shared" si="2"/>
        <v>3000</v>
      </c>
      <c r="J527" s="95"/>
    </row>
    <row r="528" spans="1:10" s="45" customFormat="1" ht="19.5" customHeight="1">
      <c r="A528" s="52"/>
      <c r="B528" s="52"/>
      <c r="C528" s="83"/>
      <c r="D528" s="694" t="s">
        <v>451</v>
      </c>
      <c r="E528" s="1291"/>
      <c r="F528" s="1290"/>
      <c r="G528" s="1290"/>
      <c r="H528" s="1290"/>
      <c r="I528" s="1292">
        <f t="shared" si="2"/>
        <v>3000</v>
      </c>
      <c r="J528" s="95"/>
    </row>
    <row r="529" spans="1:10" s="45" customFormat="1" ht="19.5" customHeight="1">
      <c r="A529" s="52"/>
      <c r="B529" s="52"/>
      <c r="C529" s="52"/>
      <c r="D529" s="80" t="s">
        <v>127</v>
      </c>
      <c r="E529" s="1293"/>
      <c r="F529" s="80"/>
      <c r="G529" s="80"/>
      <c r="H529" s="80"/>
      <c r="I529" s="1263">
        <f t="shared" si="2"/>
        <v>3000</v>
      </c>
      <c r="J529" s="95"/>
    </row>
    <row r="530" spans="1:10" s="45" customFormat="1" ht="19.5" customHeight="1">
      <c r="A530" s="144"/>
      <c r="B530" s="66"/>
      <c r="C530" s="108">
        <v>4010</v>
      </c>
      <c r="D530" s="68" t="s">
        <v>603</v>
      </c>
      <c r="E530" s="1289"/>
      <c r="F530" s="68"/>
      <c r="G530" s="68"/>
      <c r="H530" s="68"/>
      <c r="I530" s="1264">
        <v>3000</v>
      </c>
      <c r="J530" s="95"/>
    </row>
    <row r="531" spans="1:10" s="835" customFormat="1" ht="21.75" customHeight="1">
      <c r="A531" s="151"/>
      <c r="B531" s="151"/>
      <c r="C531" s="892"/>
      <c r="D531" s="893" t="s">
        <v>479</v>
      </c>
      <c r="E531" s="893"/>
      <c r="F531" s="894"/>
      <c r="G531" s="894"/>
      <c r="H531" s="894">
        <f>H532+H573+H593</f>
        <v>3499285</v>
      </c>
      <c r="I531" s="894">
        <f>I532+I573+I593</f>
        <v>262045</v>
      </c>
      <c r="J531" s="834"/>
    </row>
    <row r="532" spans="1:10" s="134" customFormat="1" ht="19.5" customHeight="1" thickBot="1">
      <c r="A532" s="233"/>
      <c r="B532" s="233"/>
      <c r="C532" s="895"/>
      <c r="D532" s="123" t="s">
        <v>640</v>
      </c>
      <c r="E532" s="124"/>
      <c r="F532" s="896"/>
      <c r="G532" s="896"/>
      <c r="H532" s="867">
        <f>H539+H533</f>
        <v>155785</v>
      </c>
      <c r="I532" s="867">
        <f>I539+I533</f>
        <v>50431</v>
      </c>
      <c r="J532" s="135"/>
    </row>
    <row r="533" spans="1:10" s="776" customFormat="1" ht="19.5" customHeight="1" thickTop="1">
      <c r="A533" s="74">
        <v>851</v>
      </c>
      <c r="B533" s="74"/>
      <c r="C533" s="74"/>
      <c r="D533" s="74" t="s">
        <v>650</v>
      </c>
      <c r="E533" s="906"/>
      <c r="F533" s="381"/>
      <c r="G533" s="381"/>
      <c r="H533" s="60"/>
      <c r="I533" s="60">
        <f>I534</f>
        <v>7000</v>
      </c>
      <c r="J533" s="775"/>
    </row>
    <row r="534" spans="1:10" s="776" customFormat="1" ht="19.5" customHeight="1">
      <c r="A534" s="383"/>
      <c r="B534" s="62">
        <v>85153</v>
      </c>
      <c r="C534" s="62"/>
      <c r="D534" s="62" t="s">
        <v>832</v>
      </c>
      <c r="E534" s="906"/>
      <c r="F534" s="64"/>
      <c r="G534" s="64"/>
      <c r="H534" s="106"/>
      <c r="I534" s="106">
        <f>I535</f>
        <v>7000</v>
      </c>
      <c r="J534" s="775"/>
    </row>
    <row r="535" spans="1:10" s="776" customFormat="1" ht="27" customHeight="1">
      <c r="A535" s="146"/>
      <c r="B535" s="151"/>
      <c r="C535" s="147"/>
      <c r="D535" s="942" t="s">
        <v>833</v>
      </c>
      <c r="E535" s="906"/>
      <c r="F535" s="946"/>
      <c r="G535" s="946"/>
      <c r="H535" s="944"/>
      <c r="I535" s="944">
        <f>I536</f>
        <v>7000</v>
      </c>
      <c r="J535" s="775"/>
    </row>
    <row r="536" spans="1:10" s="776" customFormat="1" ht="27.75" customHeight="1">
      <c r="A536" s="146"/>
      <c r="B536" s="151"/>
      <c r="C536" s="83"/>
      <c r="D536" s="80" t="s">
        <v>856</v>
      </c>
      <c r="E536" s="906"/>
      <c r="F536" s="380"/>
      <c r="G536" s="380"/>
      <c r="H536" s="576"/>
      <c r="I536" s="576">
        <f>SUM(I537:I538)</f>
        <v>7000</v>
      </c>
      <c r="J536" s="775"/>
    </row>
    <row r="537" spans="1:10" s="776" customFormat="1" ht="19.5" customHeight="1">
      <c r="A537" s="145"/>
      <c r="B537" s="125"/>
      <c r="C537" s="233">
        <v>4210</v>
      </c>
      <c r="D537" s="234" t="s">
        <v>663</v>
      </c>
      <c r="E537" s="906"/>
      <c r="F537" s="235"/>
      <c r="G537" s="235"/>
      <c r="H537" s="235"/>
      <c r="I537" s="235">
        <v>5000</v>
      </c>
      <c r="J537" s="775"/>
    </row>
    <row r="538" spans="1:10" s="776" customFormat="1" ht="19.5" customHeight="1">
      <c r="A538" s="145"/>
      <c r="B538" s="125"/>
      <c r="C538" s="122">
        <v>4300</v>
      </c>
      <c r="D538" s="591" t="s">
        <v>664</v>
      </c>
      <c r="E538" s="906"/>
      <c r="F538" s="501"/>
      <c r="G538" s="501"/>
      <c r="H538" s="235"/>
      <c r="I538" s="235">
        <v>2000</v>
      </c>
      <c r="J538" s="775"/>
    </row>
    <row r="539" spans="1:10" s="772" customFormat="1" ht="18.75" customHeight="1">
      <c r="A539" s="74">
        <v>852</v>
      </c>
      <c r="B539" s="74"/>
      <c r="C539" s="74"/>
      <c r="D539" s="74" t="s">
        <v>648</v>
      </c>
      <c r="E539" s="777"/>
      <c r="F539" s="786"/>
      <c r="G539" s="786"/>
      <c r="H539" s="60">
        <f>H550+H558+H547+H540+H567</f>
        <v>155785</v>
      </c>
      <c r="I539" s="60">
        <f>I550+I558+I547+I570</f>
        <v>43431</v>
      </c>
      <c r="J539" s="771"/>
    </row>
    <row r="540" spans="1:10" s="762" customFormat="1" ht="18.75" customHeight="1">
      <c r="A540" s="66"/>
      <c r="B540" s="62">
        <v>85201</v>
      </c>
      <c r="C540" s="62"/>
      <c r="D540" s="62" t="s">
        <v>911</v>
      </c>
      <c r="E540" s="787"/>
      <c r="F540" s="782"/>
      <c r="G540" s="782"/>
      <c r="H540" s="106">
        <f>H541+H543</f>
        <v>6000</v>
      </c>
      <c r="I540" s="106"/>
      <c r="J540" s="631"/>
    </row>
    <row r="541" spans="1:13" s="118" customFormat="1" ht="19.5" customHeight="1">
      <c r="A541" s="145"/>
      <c r="B541" s="316"/>
      <c r="C541" s="316"/>
      <c r="D541" s="1223" t="s">
        <v>127</v>
      </c>
      <c r="E541" s="927"/>
      <c r="F541" s="927"/>
      <c r="G541" s="927"/>
      <c r="H541" s="927">
        <f>H542</f>
        <v>5000</v>
      </c>
      <c r="I541" s="927"/>
      <c r="J541" s="117"/>
      <c r="K541" s="117"/>
      <c r="M541" s="117"/>
    </row>
    <row r="542" spans="1:13" s="118" customFormat="1" ht="19.5" customHeight="1">
      <c r="A542" s="145"/>
      <c r="B542" s="125"/>
      <c r="C542" s="231">
        <v>4010</v>
      </c>
      <c r="D542" s="232" t="s">
        <v>603</v>
      </c>
      <c r="E542" s="116"/>
      <c r="F542" s="116"/>
      <c r="G542" s="116"/>
      <c r="H542" s="116">
        <v>5000</v>
      </c>
      <c r="I542" s="116"/>
      <c r="J542" s="117"/>
      <c r="K542" s="117"/>
      <c r="M542" s="117"/>
    </row>
    <row r="543" spans="1:13" s="118" customFormat="1" ht="19.5" customHeight="1">
      <c r="A543" s="145"/>
      <c r="B543" s="316"/>
      <c r="C543" s="316"/>
      <c r="D543" s="1223" t="s">
        <v>692</v>
      </c>
      <c r="E543" s="927"/>
      <c r="F543" s="927"/>
      <c r="G543" s="927"/>
      <c r="H543" s="927">
        <f>SUM(H544:H545)</f>
        <v>1000</v>
      </c>
      <c r="I543" s="927"/>
      <c r="J543" s="117"/>
      <c r="K543" s="117"/>
      <c r="M543" s="117"/>
    </row>
    <row r="544" spans="1:13" s="118" customFormat="1" ht="19.5" customHeight="1">
      <c r="A544" s="145"/>
      <c r="B544" s="125"/>
      <c r="C544" s="231">
        <v>4110</v>
      </c>
      <c r="D544" s="232" t="s">
        <v>729</v>
      </c>
      <c r="E544" s="116"/>
      <c r="F544" s="116"/>
      <c r="G544" s="116"/>
      <c r="H544" s="116">
        <v>880</v>
      </c>
      <c r="I544" s="116"/>
      <c r="J544" s="117"/>
      <c r="K544" s="117"/>
      <c r="M544" s="117"/>
    </row>
    <row r="545" spans="1:13" s="118" customFormat="1" ht="19.5" customHeight="1">
      <c r="A545" s="145"/>
      <c r="B545" s="125"/>
      <c r="C545" s="115">
        <v>4120</v>
      </c>
      <c r="D545" s="1288" t="s">
        <v>730</v>
      </c>
      <c r="E545" s="512"/>
      <c r="F545" s="512"/>
      <c r="G545" s="512"/>
      <c r="H545" s="512">
        <v>120</v>
      </c>
      <c r="I545" s="512"/>
      <c r="J545" s="117"/>
      <c r="K545" s="117"/>
      <c r="M545" s="117"/>
    </row>
    <row r="546" spans="1:13" s="118" customFormat="1" ht="19.5" customHeight="1">
      <c r="A546" s="1338"/>
      <c r="B546" s="1339"/>
      <c r="C546" s="1334"/>
      <c r="D546" s="1335"/>
      <c r="E546" s="1336"/>
      <c r="F546" s="1336"/>
      <c r="G546" s="1336"/>
      <c r="H546" s="1336"/>
      <c r="I546" s="1336"/>
      <c r="J546" s="117"/>
      <c r="K546" s="117"/>
      <c r="M546" s="117"/>
    </row>
    <row r="547" spans="1:10" s="798" customFormat="1" ht="25.5" customHeight="1">
      <c r="A547" s="125"/>
      <c r="B547" s="852">
        <v>85214</v>
      </c>
      <c r="C547" s="852"/>
      <c r="D547" s="972" t="s">
        <v>66</v>
      </c>
      <c r="E547" s="1575"/>
      <c r="F547" s="854"/>
      <c r="G547" s="854"/>
      <c r="H547" s="854">
        <f>H548</f>
        <v>114344</v>
      </c>
      <c r="I547" s="854"/>
      <c r="J547" s="797"/>
    </row>
    <row r="548" spans="1:13" s="118" customFormat="1" ht="19.5" customHeight="1">
      <c r="A548" s="145"/>
      <c r="B548" s="316"/>
      <c r="C548" s="316"/>
      <c r="D548" s="1223" t="s">
        <v>69</v>
      </c>
      <c r="E548" s="927"/>
      <c r="F548" s="927"/>
      <c r="G548" s="927"/>
      <c r="H548" s="927">
        <f>H549</f>
        <v>114344</v>
      </c>
      <c r="I548" s="927"/>
      <c r="J548" s="117"/>
      <c r="K548" s="117"/>
      <c r="M548" s="117"/>
    </row>
    <row r="549" spans="1:13" s="118" customFormat="1" ht="19.5" customHeight="1">
      <c r="A549" s="145"/>
      <c r="B549" s="125"/>
      <c r="C549" s="231">
        <v>3110</v>
      </c>
      <c r="D549" s="232" t="s">
        <v>320</v>
      </c>
      <c r="E549" s="116"/>
      <c r="F549" s="116"/>
      <c r="G549" s="116"/>
      <c r="H549" s="116">
        <f>98500+15844</f>
        <v>114344</v>
      </c>
      <c r="I549" s="116"/>
      <c r="J549" s="117"/>
      <c r="K549" s="117"/>
      <c r="M549" s="117"/>
    </row>
    <row r="550" spans="1:10" s="762" customFormat="1" ht="18.75" customHeight="1">
      <c r="A550" s="66"/>
      <c r="B550" s="62">
        <v>85219</v>
      </c>
      <c r="C550" s="62"/>
      <c r="D550" s="62" t="s">
        <v>813</v>
      </c>
      <c r="E550" s="787"/>
      <c r="F550" s="782"/>
      <c r="G550" s="782"/>
      <c r="H550" s="106">
        <f>H555+H551+H553</f>
        <v>1831</v>
      </c>
      <c r="I550" s="106">
        <f>I555+I551+I553</f>
        <v>15350</v>
      </c>
      <c r="J550" s="631"/>
    </row>
    <row r="551" spans="1:13" s="118" customFormat="1" ht="19.5" customHeight="1">
      <c r="A551" s="145"/>
      <c r="B551" s="316"/>
      <c r="C551" s="316"/>
      <c r="D551" s="1223" t="s">
        <v>127</v>
      </c>
      <c r="E551" s="927"/>
      <c r="F551" s="927"/>
      <c r="G551" s="927"/>
      <c r="H551" s="927"/>
      <c r="I551" s="927">
        <f>I552</f>
        <v>10000</v>
      </c>
      <c r="J551" s="117"/>
      <c r="K551" s="117"/>
      <c r="M551" s="117"/>
    </row>
    <row r="552" spans="1:13" s="118" customFormat="1" ht="19.5" customHeight="1">
      <c r="A552" s="145"/>
      <c r="B552" s="125"/>
      <c r="C552" s="231">
        <v>4010</v>
      </c>
      <c r="D552" s="232" t="s">
        <v>603</v>
      </c>
      <c r="E552" s="116"/>
      <c r="F552" s="116"/>
      <c r="G552" s="116"/>
      <c r="H552" s="116"/>
      <c r="I552" s="116">
        <v>10000</v>
      </c>
      <c r="J552" s="117"/>
      <c r="K552" s="117"/>
      <c r="M552" s="117"/>
    </row>
    <row r="553" spans="1:13" s="118" customFormat="1" ht="19.5" customHeight="1">
      <c r="A553" s="145"/>
      <c r="B553" s="316"/>
      <c r="C553" s="316"/>
      <c r="D553" s="1223" t="s">
        <v>667</v>
      </c>
      <c r="E553" s="927"/>
      <c r="F553" s="927"/>
      <c r="G553" s="927"/>
      <c r="H553" s="927">
        <f>H554</f>
        <v>1831</v>
      </c>
      <c r="I553" s="927"/>
      <c r="J553" s="117"/>
      <c r="K553" s="117"/>
      <c r="M553" s="117"/>
    </row>
    <row r="554" spans="1:13" s="118" customFormat="1" ht="19.5" customHeight="1">
      <c r="A554" s="145"/>
      <c r="B554" s="125"/>
      <c r="C554" s="231">
        <v>4300</v>
      </c>
      <c r="D554" s="232" t="s">
        <v>664</v>
      </c>
      <c r="E554" s="116"/>
      <c r="F554" s="116"/>
      <c r="G554" s="116"/>
      <c r="H554" s="116">
        <v>1831</v>
      </c>
      <c r="I554" s="116"/>
      <c r="J554" s="117"/>
      <c r="K554" s="117"/>
      <c r="M554" s="117"/>
    </row>
    <row r="555" spans="1:13" s="762" customFormat="1" ht="26.25" customHeight="1">
      <c r="A555" s="146"/>
      <c r="B555" s="151"/>
      <c r="C555" s="83"/>
      <c r="D555" s="860" t="s">
        <v>814</v>
      </c>
      <c r="E555" s="773"/>
      <c r="F555" s="1453"/>
      <c r="G555" s="1453"/>
      <c r="H555" s="1453"/>
      <c r="I555" s="111">
        <f>SUM(I556:I557)</f>
        <v>5350</v>
      </c>
      <c r="J555" s="631"/>
      <c r="K555" s="631"/>
      <c r="M555" s="631"/>
    </row>
    <row r="556" spans="1:13" s="770" customFormat="1" ht="18.75" customHeight="1">
      <c r="A556" s="145"/>
      <c r="B556" s="125"/>
      <c r="C556" s="231">
        <v>4217</v>
      </c>
      <c r="D556" s="232" t="s">
        <v>663</v>
      </c>
      <c r="E556" s="1396"/>
      <c r="F556" s="891"/>
      <c r="G556" s="891"/>
      <c r="H556" s="891"/>
      <c r="I556" s="310">
        <v>3450</v>
      </c>
      <c r="J556" s="656"/>
      <c r="K556" s="656"/>
      <c r="M556" s="656"/>
    </row>
    <row r="557" spans="1:13" s="770" customFormat="1" ht="18.75" customHeight="1">
      <c r="A557" s="145"/>
      <c r="B557" s="125"/>
      <c r="C557" s="231">
        <v>4427</v>
      </c>
      <c r="D557" s="232" t="s">
        <v>701</v>
      </c>
      <c r="E557" s="778"/>
      <c r="F557" s="891"/>
      <c r="G557" s="891"/>
      <c r="H557" s="891"/>
      <c r="I557" s="116">
        <v>1900</v>
      </c>
      <c r="J557" s="656"/>
      <c r="K557" s="656"/>
      <c r="M557" s="656"/>
    </row>
    <row r="558" spans="1:13" s="770" customFormat="1" ht="24" customHeight="1">
      <c r="A558" s="145"/>
      <c r="B558" s="62">
        <v>85220</v>
      </c>
      <c r="C558" s="62"/>
      <c r="D558" s="236" t="s">
        <v>586</v>
      </c>
      <c r="E558" s="778"/>
      <c r="F558" s="236"/>
      <c r="G558" s="236"/>
      <c r="H558" s="413">
        <f>H559+H562</f>
        <v>24500</v>
      </c>
      <c r="I558" s="413">
        <f>I559+I562</f>
        <v>26250</v>
      </c>
      <c r="J558" s="656"/>
      <c r="K558" s="656"/>
      <c r="M558" s="656"/>
    </row>
    <row r="559" spans="1:13" s="770" customFormat="1" ht="18.75" customHeight="1">
      <c r="A559" s="145"/>
      <c r="B559" s="151"/>
      <c r="C559" s="383"/>
      <c r="D559" s="1201" t="s">
        <v>65</v>
      </c>
      <c r="E559" s="778"/>
      <c r="F559" s="1201"/>
      <c r="G559" s="1201"/>
      <c r="H559" s="1201"/>
      <c r="I559" s="1203">
        <f>I560</f>
        <v>1750</v>
      </c>
      <c r="J559" s="656"/>
      <c r="K559" s="656"/>
      <c r="M559" s="656"/>
    </row>
    <row r="560" spans="1:13" s="770" customFormat="1" ht="18.75" customHeight="1">
      <c r="A560" s="145"/>
      <c r="B560" s="125"/>
      <c r="C560" s="66"/>
      <c r="D560" s="1202" t="s">
        <v>127</v>
      </c>
      <c r="E560" s="778"/>
      <c r="F560" s="1202"/>
      <c r="G560" s="1202"/>
      <c r="H560" s="1202"/>
      <c r="I560" s="1204">
        <f>I561</f>
        <v>1750</v>
      </c>
      <c r="J560" s="656"/>
      <c r="K560" s="656"/>
      <c r="M560" s="656"/>
    </row>
    <row r="561" spans="1:13" s="770" customFormat="1" ht="18.75" customHeight="1">
      <c r="A561" s="145"/>
      <c r="B561" s="125"/>
      <c r="C561" s="231">
        <v>4010</v>
      </c>
      <c r="D561" s="232" t="s">
        <v>603</v>
      </c>
      <c r="E561" s="774"/>
      <c r="F561" s="891"/>
      <c r="G561" s="891"/>
      <c r="H561" s="891"/>
      <c r="I561" s="116">
        <v>1750</v>
      </c>
      <c r="J561" s="656"/>
      <c r="K561" s="656"/>
      <c r="M561" s="656"/>
    </row>
    <row r="562" spans="1:13" s="770" customFormat="1" ht="18.75" customHeight="1">
      <c r="A562" s="145"/>
      <c r="B562" s="125"/>
      <c r="C562" s="1224"/>
      <c r="D562" s="653" t="s">
        <v>75</v>
      </c>
      <c r="E562" s="778"/>
      <c r="F562" s="653"/>
      <c r="G562" s="653"/>
      <c r="H562" s="1065">
        <f>H563+H565</f>
        <v>24500</v>
      </c>
      <c r="I562" s="1065">
        <f>I563+I565</f>
        <v>24500</v>
      </c>
      <c r="J562" s="656"/>
      <c r="K562" s="656"/>
      <c r="M562" s="656"/>
    </row>
    <row r="563" spans="1:13" s="770" customFormat="1" ht="18.75" customHeight="1">
      <c r="A563" s="145"/>
      <c r="B563" s="125"/>
      <c r="C563" s="886"/>
      <c r="D563" s="1225" t="s">
        <v>348</v>
      </c>
      <c r="E563" s="778"/>
      <c r="F563" s="1225"/>
      <c r="G563" s="1225"/>
      <c r="H563" s="1228">
        <f>H564</f>
        <v>24500</v>
      </c>
      <c r="I563" s="1228"/>
      <c r="J563" s="656"/>
      <c r="K563" s="656"/>
      <c r="M563" s="656"/>
    </row>
    <row r="564" spans="1:13" s="770" customFormat="1" ht="18.75" customHeight="1">
      <c r="A564" s="145"/>
      <c r="B564" s="125"/>
      <c r="C564" s="231">
        <v>4170</v>
      </c>
      <c r="D564" s="1226" t="s">
        <v>674</v>
      </c>
      <c r="E564" s="778"/>
      <c r="F564" s="1226"/>
      <c r="G564" s="1226"/>
      <c r="H564" s="659">
        <v>24500</v>
      </c>
      <c r="I564" s="659"/>
      <c r="J564" s="656"/>
      <c r="K564" s="656"/>
      <c r="M564" s="656"/>
    </row>
    <row r="565" spans="1:13" s="770" customFormat="1" ht="18.75" customHeight="1">
      <c r="A565" s="145"/>
      <c r="B565" s="125"/>
      <c r="C565" s="115"/>
      <c r="D565" s="1227" t="s">
        <v>667</v>
      </c>
      <c r="E565" s="778"/>
      <c r="F565" s="1227"/>
      <c r="G565" s="1227"/>
      <c r="H565" s="1077"/>
      <c r="I565" s="1077">
        <f>I566</f>
        <v>24500</v>
      </c>
      <c r="J565" s="656"/>
      <c r="K565" s="656"/>
      <c r="M565" s="656"/>
    </row>
    <row r="566" spans="1:13" s="770" customFormat="1" ht="18.75" customHeight="1">
      <c r="A566" s="145"/>
      <c r="B566" s="125"/>
      <c r="C566" s="231">
        <v>4210</v>
      </c>
      <c r="D566" s="1226" t="s">
        <v>663</v>
      </c>
      <c r="E566" s="778"/>
      <c r="F566" s="1226"/>
      <c r="G566" s="1226"/>
      <c r="H566" s="659"/>
      <c r="I566" s="659">
        <v>24500</v>
      </c>
      <c r="J566" s="656"/>
      <c r="K566" s="656"/>
      <c r="M566" s="656"/>
    </row>
    <row r="567" spans="1:10" s="762" customFormat="1" ht="18.75" customHeight="1">
      <c r="A567" s="66"/>
      <c r="B567" s="62">
        <v>85228</v>
      </c>
      <c r="C567" s="62"/>
      <c r="D567" s="62" t="s">
        <v>432</v>
      </c>
      <c r="E567" s="787"/>
      <c r="F567" s="782"/>
      <c r="G567" s="782"/>
      <c r="H567" s="106">
        <f>H568</f>
        <v>9110</v>
      </c>
      <c r="I567" s="106"/>
      <c r="J567" s="631"/>
    </row>
    <row r="568" spans="1:13" s="118" customFormat="1" ht="19.5" customHeight="1">
      <c r="A568" s="145"/>
      <c r="B568" s="316"/>
      <c r="C568" s="316"/>
      <c r="D568" s="1223" t="s">
        <v>433</v>
      </c>
      <c r="E568" s="927"/>
      <c r="F568" s="927"/>
      <c r="G568" s="927"/>
      <c r="H568" s="927">
        <f>H569</f>
        <v>9110</v>
      </c>
      <c r="I568" s="927"/>
      <c r="J568" s="117"/>
      <c r="K568" s="117"/>
      <c r="M568" s="117"/>
    </row>
    <row r="569" spans="1:13" s="118" customFormat="1" ht="19.5" customHeight="1">
      <c r="A569" s="145"/>
      <c r="B569" s="125"/>
      <c r="C569" s="231">
        <v>4300</v>
      </c>
      <c r="D569" s="232" t="s">
        <v>664</v>
      </c>
      <c r="E569" s="116"/>
      <c r="F569" s="116"/>
      <c r="G569" s="116"/>
      <c r="H569" s="116">
        <v>9110</v>
      </c>
      <c r="I569" s="116"/>
      <c r="J569" s="117"/>
      <c r="K569" s="117"/>
      <c r="M569" s="117"/>
    </row>
    <row r="570" spans="1:10" s="762" customFormat="1" ht="18.75" customHeight="1">
      <c r="A570" s="66"/>
      <c r="B570" s="62">
        <v>85295</v>
      </c>
      <c r="C570" s="62"/>
      <c r="D570" s="62" t="s">
        <v>646</v>
      </c>
      <c r="E570" s="787"/>
      <c r="F570" s="782"/>
      <c r="G570" s="782"/>
      <c r="H570" s="106"/>
      <c r="I570" s="106">
        <f>I571</f>
        <v>1831</v>
      </c>
      <c r="J570" s="631"/>
    </row>
    <row r="571" spans="1:13" s="118" customFormat="1" ht="19.5" customHeight="1">
      <c r="A571" s="145"/>
      <c r="B571" s="151"/>
      <c r="C571" s="83"/>
      <c r="D571" s="80" t="s">
        <v>818</v>
      </c>
      <c r="E571" s="927"/>
      <c r="F571" s="927"/>
      <c r="G571" s="927"/>
      <c r="H571" s="927"/>
      <c r="I571" s="927">
        <f>I572</f>
        <v>1831</v>
      </c>
      <c r="J571" s="117"/>
      <c r="K571" s="117"/>
      <c r="M571" s="117"/>
    </row>
    <row r="572" spans="1:13" s="118" customFormat="1" ht="19.5" customHeight="1">
      <c r="A572" s="145"/>
      <c r="B572" s="125"/>
      <c r="C572" s="231">
        <v>3110</v>
      </c>
      <c r="D572" s="232" t="s">
        <v>320</v>
      </c>
      <c r="E572" s="116"/>
      <c r="F572" s="116"/>
      <c r="G572" s="116"/>
      <c r="H572" s="116"/>
      <c r="I572" s="116">
        <v>1831</v>
      </c>
      <c r="J572" s="117"/>
      <c r="K572" s="117"/>
      <c r="M572" s="117"/>
    </row>
    <row r="573" spans="1:10" s="134" customFormat="1" ht="19.5" customHeight="1" thickBot="1">
      <c r="A573" s="233"/>
      <c r="B573" s="233"/>
      <c r="C573" s="895"/>
      <c r="D573" s="123" t="s">
        <v>677</v>
      </c>
      <c r="E573" s="124"/>
      <c r="F573" s="896"/>
      <c r="G573" s="896"/>
      <c r="H573" s="867">
        <f>H580+H574</f>
        <v>3343500</v>
      </c>
      <c r="I573" s="867">
        <f>I580+I574</f>
        <v>184065</v>
      </c>
      <c r="J573" s="135"/>
    </row>
    <row r="574" spans="1:10" s="134" customFormat="1" ht="19.5" customHeight="1" thickTop="1">
      <c r="A574" s="57">
        <v>851</v>
      </c>
      <c r="B574" s="74"/>
      <c r="C574" s="74"/>
      <c r="D574" s="74" t="s">
        <v>650</v>
      </c>
      <c r="E574" s="923"/>
      <c r="F574" s="74"/>
      <c r="G574" s="74"/>
      <c r="H574" s="74"/>
      <c r="I574" s="432">
        <f>I575</f>
        <v>3297</v>
      </c>
      <c r="J574" s="135"/>
    </row>
    <row r="575" spans="1:10" s="134" customFormat="1" ht="19.5" customHeight="1">
      <c r="A575" s="109"/>
      <c r="B575" s="1026">
        <v>85195</v>
      </c>
      <c r="C575" s="63"/>
      <c r="D575" s="1106" t="s">
        <v>646</v>
      </c>
      <c r="E575" s="923"/>
      <c r="F575" s="1106"/>
      <c r="G575" s="1106"/>
      <c r="H575" s="1106"/>
      <c r="I575" s="230">
        <f>I576</f>
        <v>3297</v>
      </c>
      <c r="J575" s="135"/>
    </row>
    <row r="576" spans="1:10" s="134" customFormat="1" ht="19.5" customHeight="1">
      <c r="A576" s="151"/>
      <c r="B576" s="151"/>
      <c r="C576" s="147"/>
      <c r="D576" s="860" t="s">
        <v>72</v>
      </c>
      <c r="E576" s="1222"/>
      <c r="F576" s="860"/>
      <c r="G576" s="860"/>
      <c r="H576" s="860"/>
      <c r="I576" s="593">
        <f>SUM(I577:I579)</f>
        <v>3297</v>
      </c>
      <c r="J576" s="135"/>
    </row>
    <row r="577" spans="1:10" s="134" customFormat="1" ht="19.5" customHeight="1">
      <c r="A577" s="145"/>
      <c r="B577" s="125"/>
      <c r="C577" s="231">
        <v>4010</v>
      </c>
      <c r="D577" s="232" t="s">
        <v>603</v>
      </c>
      <c r="E577" s="923"/>
      <c r="F577" s="232"/>
      <c r="G577" s="232"/>
      <c r="H577" s="232"/>
      <c r="I577" s="116">
        <v>2749</v>
      </c>
      <c r="J577" s="135"/>
    </row>
    <row r="578" spans="1:10" s="134" customFormat="1" ht="19.5" customHeight="1">
      <c r="A578" s="870"/>
      <c r="B578" s="233"/>
      <c r="C578" s="231">
        <v>4110</v>
      </c>
      <c r="D578" s="232" t="s">
        <v>729</v>
      </c>
      <c r="E578" s="1397"/>
      <c r="F578" s="232"/>
      <c r="G578" s="232"/>
      <c r="H578" s="232"/>
      <c r="I578" s="116">
        <v>481</v>
      </c>
      <c r="J578" s="135"/>
    </row>
    <row r="579" spans="1:10" s="134" customFormat="1" ht="19.5" customHeight="1">
      <c r="A579" s="145"/>
      <c r="B579" s="125"/>
      <c r="C579" s="231">
        <v>4120</v>
      </c>
      <c r="D579" s="232" t="s">
        <v>730</v>
      </c>
      <c r="E579" s="923"/>
      <c r="F579" s="232"/>
      <c r="G579" s="232"/>
      <c r="H579" s="232"/>
      <c r="I579" s="310">
        <v>67</v>
      </c>
      <c r="J579" s="135"/>
    </row>
    <row r="580" spans="1:10" s="776" customFormat="1" ht="19.5" customHeight="1">
      <c r="A580" s="74">
        <v>852</v>
      </c>
      <c r="B580" s="74"/>
      <c r="C580" s="74"/>
      <c r="D580" s="74" t="s">
        <v>648</v>
      </c>
      <c r="E580" s="906"/>
      <c r="F580" s="381"/>
      <c r="G580" s="381"/>
      <c r="H580" s="60">
        <f>H587+H590+H581</f>
        <v>3343500</v>
      </c>
      <c r="I580" s="60">
        <f>I587+I590</f>
        <v>180768</v>
      </c>
      <c r="J580" s="775"/>
    </row>
    <row r="581" spans="1:10" s="134" customFormat="1" ht="25.5" customHeight="1">
      <c r="A581" s="109"/>
      <c r="B581" s="1026">
        <v>85212</v>
      </c>
      <c r="C581" s="62"/>
      <c r="D581" s="413" t="s">
        <v>415</v>
      </c>
      <c r="E581" s="923"/>
      <c r="F581" s="1576"/>
      <c r="G581" s="1576"/>
      <c r="H581" s="1381">
        <f>H582+H585</f>
        <v>2643500</v>
      </c>
      <c r="I581" s="1576"/>
      <c r="J581" s="135"/>
    </row>
    <row r="582" spans="1:10" s="134" customFormat="1" ht="19.5" customHeight="1">
      <c r="A582" s="151"/>
      <c r="B582" s="151"/>
      <c r="C582" s="151"/>
      <c r="D582" s="80" t="s">
        <v>667</v>
      </c>
      <c r="E582" s="1222"/>
      <c r="F582" s="380"/>
      <c r="G582" s="380"/>
      <c r="H582" s="1519">
        <f>SUM(H583:H584)</f>
        <v>93185</v>
      </c>
      <c r="I582" s="380"/>
      <c r="J582" s="135"/>
    </row>
    <row r="583" spans="1:10" s="134" customFormat="1" ht="19.5" customHeight="1">
      <c r="A583" s="145"/>
      <c r="B583" s="125"/>
      <c r="C583" s="231">
        <v>4210</v>
      </c>
      <c r="D583" s="232" t="s">
        <v>663</v>
      </c>
      <c r="E583" s="923"/>
      <c r="F583" s="121"/>
      <c r="G583" s="121"/>
      <c r="H583" s="310">
        <v>49185</v>
      </c>
      <c r="I583" s="121"/>
      <c r="J583" s="135"/>
    </row>
    <row r="584" spans="1:10" s="134" customFormat="1" ht="19.5" customHeight="1">
      <c r="A584" s="145"/>
      <c r="B584" s="125"/>
      <c r="C584" s="231">
        <v>4300</v>
      </c>
      <c r="D584" s="232" t="s">
        <v>664</v>
      </c>
      <c r="E584" s="923"/>
      <c r="F584" s="121"/>
      <c r="G584" s="121"/>
      <c r="H584" s="310">
        <v>44000</v>
      </c>
      <c r="I584" s="121"/>
      <c r="J584" s="135"/>
    </row>
    <row r="585" spans="1:10" s="134" customFormat="1" ht="19.5" customHeight="1">
      <c r="A585" s="145"/>
      <c r="B585" s="151"/>
      <c r="C585" s="147"/>
      <c r="D585" s="860" t="s">
        <v>453</v>
      </c>
      <c r="E585" s="923"/>
      <c r="F585" s="864"/>
      <c r="G585" s="864"/>
      <c r="H585" s="861">
        <f>H586</f>
        <v>2550315</v>
      </c>
      <c r="I585" s="864"/>
      <c r="J585" s="135"/>
    </row>
    <row r="586" spans="1:10" s="134" customFormat="1" ht="19.5" customHeight="1">
      <c r="A586" s="145"/>
      <c r="B586" s="125"/>
      <c r="C586" s="231">
        <v>3110</v>
      </c>
      <c r="D586" s="232" t="s">
        <v>320</v>
      </c>
      <c r="E586" s="923"/>
      <c r="F586" s="121"/>
      <c r="G586" s="121"/>
      <c r="H586" s="310">
        <v>2550315</v>
      </c>
      <c r="I586" s="121"/>
      <c r="J586" s="135"/>
    </row>
    <row r="587" spans="1:10" s="798" customFormat="1" ht="25.5" customHeight="1">
      <c r="A587" s="145"/>
      <c r="B587" s="822">
        <v>85214</v>
      </c>
      <c r="C587" s="822"/>
      <c r="D587" s="903" t="s">
        <v>66</v>
      </c>
      <c r="E587" s="926"/>
      <c r="F587" s="854"/>
      <c r="G587" s="854"/>
      <c r="H587" s="854">
        <f>H588</f>
        <v>700000</v>
      </c>
      <c r="I587" s="854"/>
      <c r="J587" s="797"/>
    </row>
    <row r="588" spans="1:10" s="134" customFormat="1" ht="19.5" customHeight="1">
      <c r="A588" s="151"/>
      <c r="B588" s="151"/>
      <c r="C588" s="151"/>
      <c r="D588" s="80" t="s">
        <v>69</v>
      </c>
      <c r="E588" s="1222"/>
      <c r="F588" s="380"/>
      <c r="G588" s="380"/>
      <c r="H588" s="1519">
        <f>H589</f>
        <v>700000</v>
      </c>
      <c r="I588" s="380"/>
      <c r="J588" s="135"/>
    </row>
    <row r="589" spans="1:13" s="118" customFormat="1" ht="19.5" customHeight="1">
      <c r="A589" s="145"/>
      <c r="B589" s="125"/>
      <c r="C589" s="231">
        <v>3110</v>
      </c>
      <c r="D589" s="232" t="s">
        <v>320</v>
      </c>
      <c r="E589" s="116"/>
      <c r="F589" s="116"/>
      <c r="G589" s="116"/>
      <c r="H589" s="116">
        <v>700000</v>
      </c>
      <c r="I589" s="116"/>
      <c r="J589" s="117"/>
      <c r="K589" s="117"/>
      <c r="M589" s="117"/>
    </row>
    <row r="590" spans="1:13" s="770" customFormat="1" ht="18.75" customHeight="1">
      <c r="A590" s="145"/>
      <c r="B590" s="1026">
        <v>85278</v>
      </c>
      <c r="C590" s="63"/>
      <c r="D590" s="75" t="s">
        <v>74</v>
      </c>
      <c r="E590" s="778"/>
      <c r="F590" s="379"/>
      <c r="G590" s="379"/>
      <c r="H590" s="379"/>
      <c r="I590" s="379">
        <f>I591</f>
        <v>180768</v>
      </c>
      <c r="J590" s="656"/>
      <c r="K590" s="656"/>
      <c r="M590" s="656"/>
    </row>
    <row r="591" spans="1:13" s="770" customFormat="1" ht="18.75" customHeight="1">
      <c r="A591" s="145"/>
      <c r="B591" s="151"/>
      <c r="C591" s="147"/>
      <c r="D591" s="860" t="s">
        <v>452</v>
      </c>
      <c r="E591" s="778"/>
      <c r="F591" s="864"/>
      <c r="G591" s="864"/>
      <c r="H591" s="864"/>
      <c r="I591" s="864">
        <f>I592</f>
        <v>180768</v>
      </c>
      <c r="J591" s="656"/>
      <c r="K591" s="656"/>
      <c r="M591" s="656"/>
    </row>
    <row r="592" spans="1:13" s="770" customFormat="1" ht="18.75" customHeight="1">
      <c r="A592" s="145"/>
      <c r="B592" s="125"/>
      <c r="C592" s="231">
        <v>3110</v>
      </c>
      <c r="D592" s="232" t="s">
        <v>320</v>
      </c>
      <c r="E592" s="778"/>
      <c r="F592" s="121"/>
      <c r="G592" s="121"/>
      <c r="H592" s="121"/>
      <c r="I592" s="121">
        <v>180768</v>
      </c>
      <c r="J592" s="656"/>
      <c r="K592" s="656"/>
      <c r="M592" s="656"/>
    </row>
    <row r="593" spans="1:13" s="770" customFormat="1" ht="31.5" customHeight="1" thickBot="1">
      <c r="A593" s="233"/>
      <c r="B593" s="233"/>
      <c r="C593" s="233"/>
      <c r="D593" s="124" t="s">
        <v>678</v>
      </c>
      <c r="E593" s="778"/>
      <c r="F593" s="867"/>
      <c r="G593" s="867"/>
      <c r="H593" s="867"/>
      <c r="I593" s="867">
        <f>I594</f>
        <v>27549</v>
      </c>
      <c r="J593" s="656"/>
      <c r="K593" s="656"/>
      <c r="M593" s="656"/>
    </row>
    <row r="594" spans="1:13" s="770" customFormat="1" ht="18.75" customHeight="1" thickTop="1">
      <c r="A594" s="57">
        <v>853</v>
      </c>
      <c r="B594" s="74"/>
      <c r="C594" s="74"/>
      <c r="D594" s="74" t="s">
        <v>691</v>
      </c>
      <c r="E594" s="778"/>
      <c r="F594" s="381"/>
      <c r="G594" s="381"/>
      <c r="H594" s="381"/>
      <c r="I594" s="381">
        <f>I595</f>
        <v>27549</v>
      </c>
      <c r="J594" s="656"/>
      <c r="K594" s="656"/>
      <c r="M594" s="656"/>
    </row>
    <row r="595" spans="1:13" s="770" customFormat="1" ht="18.75" customHeight="1">
      <c r="A595" s="109"/>
      <c r="B595" s="105">
        <v>85334</v>
      </c>
      <c r="C595" s="63"/>
      <c r="D595" s="75" t="s">
        <v>908</v>
      </c>
      <c r="E595" s="778"/>
      <c r="F595" s="379"/>
      <c r="G595" s="379"/>
      <c r="H595" s="379"/>
      <c r="I595" s="379">
        <f>I596</f>
        <v>27549</v>
      </c>
      <c r="J595" s="656"/>
      <c r="K595" s="656"/>
      <c r="M595" s="656"/>
    </row>
    <row r="596" spans="1:13" s="770" customFormat="1" ht="18.75" customHeight="1">
      <c r="A596" s="151"/>
      <c r="B596" s="151"/>
      <c r="C596" s="147"/>
      <c r="D596" s="860" t="s">
        <v>910</v>
      </c>
      <c r="E596" s="1231"/>
      <c r="F596" s="864"/>
      <c r="G596" s="864"/>
      <c r="H596" s="864"/>
      <c r="I596" s="864">
        <f>I597</f>
        <v>27549</v>
      </c>
      <c r="J596" s="656"/>
      <c r="K596" s="656"/>
      <c r="M596" s="656"/>
    </row>
    <row r="597" spans="1:13" s="770" customFormat="1" ht="18.75" customHeight="1">
      <c r="A597" s="145"/>
      <c r="B597" s="125"/>
      <c r="C597" s="231">
        <v>3110</v>
      </c>
      <c r="D597" s="232" t="s">
        <v>320</v>
      </c>
      <c r="E597" s="778"/>
      <c r="F597" s="121"/>
      <c r="G597" s="121"/>
      <c r="H597" s="121"/>
      <c r="I597" s="121">
        <v>27549</v>
      </c>
      <c r="J597" s="656"/>
      <c r="K597" s="656"/>
      <c r="M597" s="656"/>
    </row>
    <row r="598" spans="1:10" s="819" customFormat="1" ht="18" customHeight="1">
      <c r="A598" s="813"/>
      <c r="B598" s="814"/>
      <c r="C598" s="815"/>
      <c r="D598" s="848" t="s">
        <v>638</v>
      </c>
      <c r="E598" s="865"/>
      <c r="F598" s="866"/>
      <c r="G598" s="866"/>
      <c r="H598" s="817">
        <f>H599</f>
        <v>41452</v>
      </c>
      <c r="I598" s="817">
        <f>I599</f>
        <v>182652</v>
      </c>
      <c r="J598" s="818"/>
    </row>
    <row r="599" spans="1:10" s="118" customFormat="1" ht="29.25" customHeight="1" thickBot="1">
      <c r="A599" s="233"/>
      <c r="B599" s="233"/>
      <c r="C599" s="233"/>
      <c r="D599" s="124" t="s">
        <v>678</v>
      </c>
      <c r="E599" s="124"/>
      <c r="F599" s="123"/>
      <c r="G599" s="123"/>
      <c r="H599" s="133">
        <f>H600</f>
        <v>41452</v>
      </c>
      <c r="I599" s="133">
        <f>I600+I613</f>
        <v>182652</v>
      </c>
      <c r="J599" s="117"/>
    </row>
    <row r="600" spans="1:10" s="772" customFormat="1" ht="18.75" customHeight="1" thickTop="1">
      <c r="A600" s="57">
        <v>754</v>
      </c>
      <c r="B600" s="74"/>
      <c r="C600" s="74"/>
      <c r="D600" s="74" t="s">
        <v>641</v>
      </c>
      <c r="E600" s="777"/>
      <c r="F600" s="786"/>
      <c r="G600" s="786"/>
      <c r="H600" s="432">
        <f>H601</f>
        <v>41452</v>
      </c>
      <c r="I600" s="432">
        <f>I601</f>
        <v>62652</v>
      </c>
      <c r="J600" s="771"/>
    </row>
    <row r="601" spans="1:10" s="762" customFormat="1" ht="18" customHeight="1">
      <c r="A601" s="109"/>
      <c r="B601" s="105">
        <v>75411</v>
      </c>
      <c r="C601" s="63"/>
      <c r="D601" s="75" t="s">
        <v>806</v>
      </c>
      <c r="E601" s="787"/>
      <c r="F601" s="782"/>
      <c r="G601" s="782"/>
      <c r="H601" s="230">
        <f>H602+H605+H610</f>
        <v>41452</v>
      </c>
      <c r="I601" s="230">
        <f>I602+I605+I610</f>
        <v>62652</v>
      </c>
      <c r="J601" s="631"/>
    </row>
    <row r="602" spans="1:13" s="762" customFormat="1" ht="17.25" customHeight="1">
      <c r="A602" s="151"/>
      <c r="B602" s="151"/>
      <c r="C602" s="147"/>
      <c r="D602" s="860" t="s">
        <v>127</v>
      </c>
      <c r="E602" s="788"/>
      <c r="F602" s="1017"/>
      <c r="G602" s="1017"/>
      <c r="H602" s="593">
        <f>H604</f>
        <v>41452</v>
      </c>
      <c r="I602" s="593">
        <f>SUM(I603:I604)</f>
        <v>1000</v>
      </c>
      <c r="J602" s="631"/>
      <c r="K602" s="631"/>
      <c r="M602" s="631"/>
    </row>
    <row r="603" spans="1:13" s="762" customFormat="1" ht="17.25" customHeight="1">
      <c r="A603" s="151"/>
      <c r="B603" s="151"/>
      <c r="C603" s="231">
        <v>4020</v>
      </c>
      <c r="D603" s="232" t="s">
        <v>840</v>
      </c>
      <c r="E603" s="1577"/>
      <c r="F603" s="1281"/>
      <c r="G603" s="1281"/>
      <c r="H603" s="116"/>
      <c r="I603" s="116">
        <v>1000</v>
      </c>
      <c r="J603" s="631"/>
      <c r="K603" s="631"/>
      <c r="M603" s="631"/>
    </row>
    <row r="604" spans="1:13" s="770" customFormat="1" ht="26.25" customHeight="1">
      <c r="A604" s="115"/>
      <c r="B604" s="115"/>
      <c r="C604" s="233">
        <v>4060</v>
      </c>
      <c r="D604" s="659" t="s">
        <v>807</v>
      </c>
      <c r="E604" s="774"/>
      <c r="F604" s="659"/>
      <c r="G604" s="659"/>
      <c r="H604" s="309">
        <v>41452</v>
      </c>
      <c r="I604" s="309"/>
      <c r="J604" s="656"/>
      <c r="K604" s="656"/>
      <c r="M604" s="656"/>
    </row>
    <row r="605" spans="1:13" s="770" customFormat="1" ht="18.75" customHeight="1">
      <c r="A605" s="151"/>
      <c r="B605" s="151"/>
      <c r="C605" s="147"/>
      <c r="D605" s="860" t="s">
        <v>667</v>
      </c>
      <c r="E605" s="862"/>
      <c r="F605" s="1017"/>
      <c r="G605" s="1017"/>
      <c r="H605" s="593"/>
      <c r="I605" s="593">
        <f>SUM(I606:I609)</f>
        <v>61452</v>
      </c>
      <c r="J605" s="656"/>
      <c r="K605" s="656"/>
      <c r="M605" s="656"/>
    </row>
    <row r="606" spans="1:13" s="770" customFormat="1" ht="18.75" customHeight="1">
      <c r="A606" s="145"/>
      <c r="B606" s="125"/>
      <c r="C606" s="231">
        <v>4210</v>
      </c>
      <c r="D606" s="232" t="s">
        <v>663</v>
      </c>
      <c r="E606" s="778"/>
      <c r="F606" s="1281"/>
      <c r="G606" s="1281"/>
      <c r="H606" s="116"/>
      <c r="I606" s="116">
        <v>22052</v>
      </c>
      <c r="J606" s="656"/>
      <c r="K606" s="656"/>
      <c r="M606" s="656"/>
    </row>
    <row r="607" spans="1:13" s="770" customFormat="1" ht="18.75" customHeight="1">
      <c r="A607" s="145"/>
      <c r="B607" s="125"/>
      <c r="C607" s="231">
        <v>4210</v>
      </c>
      <c r="D607" s="232" t="s">
        <v>808</v>
      </c>
      <c r="E607" s="778"/>
      <c r="F607" s="1281"/>
      <c r="G607" s="1281"/>
      <c r="H607" s="116"/>
      <c r="I607" s="116">
        <v>10000</v>
      </c>
      <c r="J607" s="656"/>
      <c r="K607" s="656"/>
      <c r="M607" s="656"/>
    </row>
    <row r="608" spans="1:13" s="770" customFormat="1" ht="18.75" customHeight="1">
      <c r="A608" s="145"/>
      <c r="B608" s="125"/>
      <c r="C608" s="231">
        <v>4270</v>
      </c>
      <c r="D608" s="232" t="s">
        <v>796</v>
      </c>
      <c r="E608" s="778"/>
      <c r="F608" s="1281"/>
      <c r="G608" s="1281"/>
      <c r="H608" s="116"/>
      <c r="I608" s="116">
        <v>9400</v>
      </c>
      <c r="J608" s="656"/>
      <c r="K608" s="656"/>
      <c r="M608" s="656"/>
    </row>
    <row r="609" spans="1:13" s="770" customFormat="1" ht="18.75" customHeight="1">
      <c r="A609" s="870"/>
      <c r="B609" s="233"/>
      <c r="C609" s="231">
        <v>4300</v>
      </c>
      <c r="D609" s="232" t="s">
        <v>664</v>
      </c>
      <c r="E609" s="1396"/>
      <c r="F609" s="1281"/>
      <c r="G609" s="1281"/>
      <c r="H609" s="116"/>
      <c r="I609" s="116">
        <v>20000</v>
      </c>
      <c r="J609" s="656"/>
      <c r="K609" s="656"/>
      <c r="M609" s="656"/>
    </row>
    <row r="610" spans="1:13" s="770" customFormat="1" ht="18" customHeight="1">
      <c r="A610" s="145"/>
      <c r="B610" s="125"/>
      <c r="C610" s="151"/>
      <c r="D610" s="80" t="s">
        <v>692</v>
      </c>
      <c r="E610" s="1396"/>
      <c r="F610" s="1285"/>
      <c r="G610" s="1285"/>
      <c r="H610" s="1516"/>
      <c r="I610" s="1516">
        <f>SUM(I611:I612)</f>
        <v>200</v>
      </c>
      <c r="J610" s="656"/>
      <c r="K610" s="656"/>
      <c r="M610" s="656"/>
    </row>
    <row r="611" spans="1:13" s="770" customFormat="1" ht="17.25" customHeight="1">
      <c r="A611" s="145"/>
      <c r="B611" s="125"/>
      <c r="C611" s="231">
        <v>4110</v>
      </c>
      <c r="D611" s="232" t="s">
        <v>729</v>
      </c>
      <c r="E611" s="778"/>
      <c r="F611" s="1281"/>
      <c r="G611" s="1281"/>
      <c r="H611" s="116"/>
      <c r="I611" s="116">
        <v>175</v>
      </c>
      <c r="J611" s="656"/>
      <c r="K611" s="656"/>
      <c r="M611" s="656"/>
    </row>
    <row r="612" spans="1:13" s="770" customFormat="1" ht="16.5" customHeight="1">
      <c r="A612" s="145"/>
      <c r="B612" s="125"/>
      <c r="C612" s="231">
        <v>4120</v>
      </c>
      <c r="D612" s="232" t="s">
        <v>730</v>
      </c>
      <c r="E612" s="778"/>
      <c r="F612" s="1281"/>
      <c r="G612" s="1281"/>
      <c r="H612" s="116"/>
      <c r="I612" s="116">
        <v>25</v>
      </c>
      <c r="J612" s="656"/>
      <c r="K612" s="656"/>
      <c r="M612" s="656"/>
    </row>
    <row r="613" spans="1:10" s="772" customFormat="1" ht="18.75" customHeight="1">
      <c r="A613" s="74">
        <v>851</v>
      </c>
      <c r="B613" s="74"/>
      <c r="C613" s="74"/>
      <c r="D613" s="74" t="s">
        <v>650</v>
      </c>
      <c r="E613" s="777"/>
      <c r="F613" s="786"/>
      <c r="G613" s="786"/>
      <c r="H613" s="786"/>
      <c r="I613" s="851">
        <f>I614</f>
        <v>120000</v>
      </c>
      <c r="J613" s="771"/>
    </row>
    <row r="614" spans="1:10" s="762" customFormat="1" ht="18" customHeight="1">
      <c r="A614" s="760"/>
      <c r="B614" s="62">
        <v>85141</v>
      </c>
      <c r="C614" s="62"/>
      <c r="D614" s="62" t="s">
        <v>891</v>
      </c>
      <c r="E614" s="761"/>
      <c r="F614" s="782"/>
      <c r="G614" s="782"/>
      <c r="H614" s="782"/>
      <c r="I614" s="106">
        <f>I615</f>
        <v>120000</v>
      </c>
      <c r="J614" s="631"/>
    </row>
    <row r="615" spans="1:10" s="762" customFormat="1" ht="17.25" customHeight="1">
      <c r="A615" s="758"/>
      <c r="B615" s="151"/>
      <c r="C615" s="83"/>
      <c r="D615" s="694" t="s">
        <v>838</v>
      </c>
      <c r="E615" s="790"/>
      <c r="F615" s="1021"/>
      <c r="G615" s="1021"/>
      <c r="H615" s="1021"/>
      <c r="I615" s="1011">
        <f>I616</f>
        <v>120000</v>
      </c>
      <c r="J615" s="631"/>
    </row>
    <row r="616" spans="1:10" s="770" customFormat="1" ht="18" customHeight="1">
      <c r="A616" s="759"/>
      <c r="B616" s="52"/>
      <c r="C616" s="52"/>
      <c r="D616" s="412" t="s">
        <v>360</v>
      </c>
      <c r="E616" s="780"/>
      <c r="F616" s="439"/>
      <c r="G616" s="439"/>
      <c r="H616" s="439"/>
      <c r="I616" s="576">
        <f>I618+I620</f>
        <v>120000</v>
      </c>
      <c r="J616" s="656"/>
    </row>
    <row r="617" spans="1:10" s="118" customFormat="1" ht="18" customHeight="1" thickBot="1">
      <c r="A617" s="125"/>
      <c r="B617" s="125"/>
      <c r="C617" s="125"/>
      <c r="D617" s="396" t="s">
        <v>893</v>
      </c>
      <c r="E617" s="124"/>
      <c r="F617" s="675"/>
      <c r="G617" s="675"/>
      <c r="H617" s="675"/>
      <c r="I617" s="331">
        <v>24000</v>
      </c>
      <c r="J617" s="117"/>
    </row>
    <row r="618" spans="1:10" s="819" customFormat="1" ht="18.75" customHeight="1" thickTop="1">
      <c r="A618" s="813"/>
      <c r="B618" s="151"/>
      <c r="C618" s="67">
        <v>6050</v>
      </c>
      <c r="D618" s="382" t="s">
        <v>125</v>
      </c>
      <c r="E618" s="865"/>
      <c r="F618" s="869"/>
      <c r="G618" s="869"/>
      <c r="H618" s="869"/>
      <c r="I618" s="1010">
        <f>I617</f>
        <v>24000</v>
      </c>
      <c r="J618" s="818"/>
    </row>
    <row r="619" spans="1:10" s="819" customFormat="1" ht="18" customHeight="1">
      <c r="A619" s="813"/>
      <c r="B619" s="125"/>
      <c r="C619" s="125"/>
      <c r="D619" s="396" t="s">
        <v>894</v>
      </c>
      <c r="E619" s="865"/>
      <c r="F619" s="675"/>
      <c r="G619" s="675"/>
      <c r="H619" s="675"/>
      <c r="I619" s="331">
        <v>96000</v>
      </c>
      <c r="J619" s="818"/>
    </row>
    <row r="620" spans="1:10" s="819" customFormat="1" ht="17.25" customHeight="1">
      <c r="A620" s="813"/>
      <c r="B620" s="125"/>
      <c r="C620" s="231">
        <v>6060</v>
      </c>
      <c r="D620" s="232" t="s">
        <v>895</v>
      </c>
      <c r="E620" s="865"/>
      <c r="F620" s="121"/>
      <c r="G620" s="121"/>
      <c r="H620" s="121"/>
      <c r="I620" s="116">
        <f>I619</f>
        <v>96000</v>
      </c>
      <c r="J620" s="818"/>
    </row>
    <row r="621" spans="1:10" s="819" customFormat="1" ht="18" customHeight="1">
      <c r="A621" s="813"/>
      <c r="B621" s="814"/>
      <c r="C621" s="815"/>
      <c r="D621" s="848" t="s">
        <v>480</v>
      </c>
      <c r="E621" s="865"/>
      <c r="F621" s="866"/>
      <c r="G621" s="866"/>
      <c r="H621" s="866">
        <f>H622</f>
        <v>11337</v>
      </c>
      <c r="I621" s="866">
        <f>I622</f>
        <v>14337</v>
      </c>
      <c r="J621" s="818"/>
    </row>
    <row r="622" spans="1:11" s="330" customFormat="1" ht="18.75" customHeight="1" thickBot="1">
      <c r="A622" s="840"/>
      <c r="B622" s="1265"/>
      <c r="C622" s="1269"/>
      <c r="D622" s="1270" t="s">
        <v>678</v>
      </c>
      <c r="E622" s="1270"/>
      <c r="F622" s="977"/>
      <c r="G622" s="977"/>
      <c r="H622" s="977">
        <f>H623</f>
        <v>11337</v>
      </c>
      <c r="I622" s="977">
        <f>I623</f>
        <v>14337</v>
      </c>
      <c r="K622" s="329"/>
    </row>
    <row r="623" spans="1:10" s="772" customFormat="1" ht="18" customHeight="1" thickTop="1">
      <c r="A623" s="57">
        <v>710</v>
      </c>
      <c r="B623" s="74"/>
      <c r="C623" s="74"/>
      <c r="D623" s="74" t="s">
        <v>258</v>
      </c>
      <c r="E623" s="777"/>
      <c r="F623" s="381"/>
      <c r="G623" s="381"/>
      <c r="H623" s="381">
        <f>H624+H634</f>
        <v>11337</v>
      </c>
      <c r="I623" s="381">
        <f>I624+I634</f>
        <v>14337</v>
      </c>
      <c r="J623" s="771"/>
    </row>
    <row r="624" spans="1:10" s="762" customFormat="1" ht="18" customHeight="1">
      <c r="A624" s="109"/>
      <c r="B624" s="105">
        <v>71015</v>
      </c>
      <c r="C624" s="63"/>
      <c r="D624" s="75" t="s">
        <v>79</v>
      </c>
      <c r="E624" s="761"/>
      <c r="F624" s="379"/>
      <c r="G624" s="379"/>
      <c r="H624" s="379"/>
      <c r="I624" s="1381">
        <f>I625+I629+I631</f>
        <v>14337</v>
      </c>
      <c r="J624" s="631"/>
    </row>
    <row r="625" spans="1:10" s="762" customFormat="1" ht="15.75" customHeight="1">
      <c r="A625" s="151"/>
      <c r="B625" s="151"/>
      <c r="C625" s="147"/>
      <c r="D625" s="860" t="s">
        <v>127</v>
      </c>
      <c r="E625" s="790"/>
      <c r="F625" s="1017"/>
      <c r="G625" s="1017"/>
      <c r="H625" s="1017"/>
      <c r="I625" s="380">
        <f>SUM(I626:I628)</f>
        <v>4370</v>
      </c>
      <c r="J625" s="631"/>
    </row>
    <row r="626" spans="1:10" s="770" customFormat="1" ht="18.75" customHeight="1">
      <c r="A626" s="145"/>
      <c r="B626" s="125"/>
      <c r="C626" s="231">
        <v>4010</v>
      </c>
      <c r="D626" s="232" t="s">
        <v>603</v>
      </c>
      <c r="E626" s="780"/>
      <c r="F626" s="1281"/>
      <c r="G626" s="1281"/>
      <c r="H626" s="1281"/>
      <c r="I626" s="121">
        <v>2000</v>
      </c>
      <c r="J626" s="656"/>
    </row>
    <row r="627" spans="1:10" s="770" customFormat="1" ht="17.25" customHeight="1">
      <c r="A627" s="145"/>
      <c r="B627" s="125"/>
      <c r="C627" s="231">
        <v>4020</v>
      </c>
      <c r="D627" s="232" t="s">
        <v>840</v>
      </c>
      <c r="E627" s="906"/>
      <c r="F627" s="1281"/>
      <c r="G627" s="1281"/>
      <c r="H627" s="1281"/>
      <c r="I627" s="121">
        <v>800</v>
      </c>
      <c r="J627" s="656"/>
    </row>
    <row r="628" spans="1:10" s="770" customFormat="1" ht="17.25" customHeight="1">
      <c r="A628" s="145"/>
      <c r="B628" s="125"/>
      <c r="C628" s="231">
        <v>4170</v>
      </c>
      <c r="D628" s="232" t="s">
        <v>674</v>
      </c>
      <c r="E628" s="779"/>
      <c r="F628" s="1281"/>
      <c r="G628" s="1281"/>
      <c r="H628" s="1281"/>
      <c r="I628" s="121">
        <v>1570</v>
      </c>
      <c r="J628" s="656"/>
    </row>
    <row r="629" spans="1:10" s="770" customFormat="1" ht="17.25" customHeight="1">
      <c r="A629" s="145"/>
      <c r="B629" s="125"/>
      <c r="C629" s="151"/>
      <c r="D629" s="80" t="s">
        <v>667</v>
      </c>
      <c r="E629" s="906"/>
      <c r="F629" s="1285"/>
      <c r="G629" s="1285"/>
      <c r="H629" s="1285"/>
      <c r="I629" s="380">
        <f>I630</f>
        <v>8287</v>
      </c>
      <c r="J629" s="656"/>
    </row>
    <row r="630" spans="1:10" s="770" customFormat="1" ht="17.25" customHeight="1">
      <c r="A630" s="145"/>
      <c r="B630" s="125"/>
      <c r="C630" s="231">
        <v>4210</v>
      </c>
      <c r="D630" s="232" t="s">
        <v>663</v>
      </c>
      <c r="E630" s="906"/>
      <c r="F630" s="1281"/>
      <c r="G630" s="1281"/>
      <c r="H630" s="1281"/>
      <c r="I630" s="121">
        <v>8287</v>
      </c>
      <c r="J630" s="656"/>
    </row>
    <row r="631" spans="1:10" s="770" customFormat="1" ht="17.25" customHeight="1">
      <c r="A631" s="145"/>
      <c r="B631" s="125"/>
      <c r="C631" s="147"/>
      <c r="D631" s="860" t="s">
        <v>692</v>
      </c>
      <c r="E631" s="906"/>
      <c r="F631" s="1017"/>
      <c r="G631" s="1017"/>
      <c r="H631" s="1017"/>
      <c r="I631" s="864">
        <f>I632+I633</f>
        <v>1680</v>
      </c>
      <c r="J631" s="656"/>
    </row>
    <row r="632" spans="1:10" s="770" customFormat="1" ht="17.25" customHeight="1">
      <c r="A632" s="145"/>
      <c r="B632" s="125"/>
      <c r="C632" s="231">
        <v>4110</v>
      </c>
      <c r="D632" s="232" t="s">
        <v>729</v>
      </c>
      <c r="E632" s="906"/>
      <c r="F632" s="1281"/>
      <c r="G632" s="1281"/>
      <c r="H632" s="1281"/>
      <c r="I632" s="121">
        <v>1300</v>
      </c>
      <c r="J632" s="656"/>
    </row>
    <row r="633" spans="1:10" s="770" customFormat="1" ht="17.25" customHeight="1">
      <c r="A633" s="145"/>
      <c r="B633" s="125"/>
      <c r="C633" s="231">
        <v>4120</v>
      </c>
      <c r="D633" s="232" t="s">
        <v>730</v>
      </c>
      <c r="E633" s="906"/>
      <c r="F633" s="1281"/>
      <c r="G633" s="1281"/>
      <c r="H633" s="1281"/>
      <c r="I633" s="121">
        <v>380</v>
      </c>
      <c r="J633" s="656"/>
    </row>
    <row r="634" spans="1:10" s="118" customFormat="1" ht="18" customHeight="1" thickBot="1">
      <c r="A634" s="109"/>
      <c r="B634" s="105">
        <v>71095</v>
      </c>
      <c r="C634" s="63"/>
      <c r="D634" s="75" t="s">
        <v>646</v>
      </c>
      <c r="E634" s="124"/>
      <c r="F634" s="379"/>
      <c r="G634" s="379"/>
      <c r="H634" s="379">
        <f>H635</f>
        <v>11337</v>
      </c>
      <c r="I634" s="379"/>
      <c r="J634" s="117"/>
    </row>
    <row r="635" spans="1:10" s="819" customFormat="1" ht="15.75" customHeight="1" thickTop="1">
      <c r="A635" s="151"/>
      <c r="B635" s="151"/>
      <c r="C635" s="147"/>
      <c r="D635" s="860" t="s">
        <v>82</v>
      </c>
      <c r="E635" s="865"/>
      <c r="F635" s="864"/>
      <c r="G635" s="864"/>
      <c r="H635" s="864">
        <f>H636</f>
        <v>11337</v>
      </c>
      <c r="I635" s="864"/>
      <c r="J635" s="818"/>
    </row>
    <row r="636" spans="1:10" s="819" customFormat="1" ht="17.25" customHeight="1">
      <c r="A636" s="145"/>
      <c r="B636" s="125"/>
      <c r="C636" s="231">
        <v>4300</v>
      </c>
      <c r="D636" s="232" t="s">
        <v>664</v>
      </c>
      <c r="E636" s="865"/>
      <c r="F636" s="121"/>
      <c r="G636" s="121"/>
      <c r="H636" s="121">
        <v>11337</v>
      </c>
      <c r="I636" s="121"/>
      <c r="J636" s="818"/>
    </row>
    <row r="637" spans="1:10" s="835" customFormat="1" ht="15.75" customHeight="1">
      <c r="A637" s="840"/>
      <c r="B637" s="1265"/>
      <c r="C637" s="840"/>
      <c r="D637" s="1266" t="s">
        <v>481</v>
      </c>
      <c r="E637" s="1266"/>
      <c r="F637" s="1267"/>
      <c r="G637" s="1267"/>
      <c r="H637" s="1268"/>
      <c r="I637" s="1268">
        <f>I638+I641</f>
        <v>2820668</v>
      </c>
      <c r="J637" s="834"/>
    </row>
    <row r="638" spans="1:11" s="330" customFormat="1" ht="16.5" customHeight="1" thickBot="1">
      <c r="A638" s="840"/>
      <c r="B638" s="1265"/>
      <c r="C638" s="1269"/>
      <c r="D638" s="1270" t="s">
        <v>640</v>
      </c>
      <c r="E638" s="1270"/>
      <c r="F638" s="977"/>
      <c r="G638" s="977"/>
      <c r="H638" s="977"/>
      <c r="I638" s="977">
        <f>SUM(I639:I640)</f>
        <v>2425273</v>
      </c>
      <c r="K638" s="329"/>
    </row>
    <row r="639" spans="1:11" s="330" customFormat="1" ht="18.75" customHeight="1" thickTop="1">
      <c r="A639" s="799">
        <v>801</v>
      </c>
      <c r="B639" s="800"/>
      <c r="C639" s="801"/>
      <c r="D639" s="850" t="s">
        <v>647</v>
      </c>
      <c r="E639" s="850"/>
      <c r="F639" s="802"/>
      <c r="G639" s="802"/>
      <c r="H639" s="802"/>
      <c r="I639" s="802">
        <f>444579+896166+816364-22364-682275</f>
        <v>1452470</v>
      </c>
      <c r="J639" s="329"/>
      <c r="K639" s="329"/>
    </row>
    <row r="640" spans="1:9" s="330" customFormat="1" ht="17.25" customHeight="1">
      <c r="A640" s="799">
        <v>854</v>
      </c>
      <c r="B640" s="800"/>
      <c r="C640" s="801"/>
      <c r="D640" s="1271" t="s">
        <v>649</v>
      </c>
      <c r="E640" s="1271"/>
      <c r="F640" s="1272"/>
      <c r="G640" s="1272"/>
      <c r="H640" s="1272"/>
      <c r="I640" s="802">
        <f>1114609+12000-50000-960-1083409+925163+48000+10000-2600</f>
        <v>972803</v>
      </c>
    </row>
    <row r="641" spans="1:10" s="330" customFormat="1" ht="17.25" customHeight="1" thickBot="1">
      <c r="A641" s="1286"/>
      <c r="B641" s="1286"/>
      <c r="C641" s="1286"/>
      <c r="D641" s="1002" t="s">
        <v>321</v>
      </c>
      <c r="E641" s="1002"/>
      <c r="F641" s="976"/>
      <c r="G641" s="976"/>
      <c r="H641" s="976"/>
      <c r="I641" s="976">
        <f>I642</f>
        <v>395395</v>
      </c>
      <c r="J641" s="329"/>
    </row>
    <row r="642" spans="1:10" ht="17.25" customHeight="1" thickTop="1">
      <c r="A642" s="799">
        <v>854</v>
      </c>
      <c r="B642" s="800"/>
      <c r="C642" s="801"/>
      <c r="D642" s="1271" t="s">
        <v>649</v>
      </c>
      <c r="E642" s="777"/>
      <c r="F642" s="77"/>
      <c r="G642" s="77"/>
      <c r="H642" s="432"/>
      <c r="I642" s="432">
        <v>395395</v>
      </c>
      <c r="J642" s="757"/>
    </row>
    <row r="643" ht="12.75">
      <c r="A643" s="755"/>
    </row>
    <row r="644" ht="12.75">
      <c r="A644" s="755"/>
    </row>
    <row r="645" ht="12.75">
      <c r="A645" s="755"/>
    </row>
    <row r="646" spans="1:9" ht="15" customHeight="1">
      <c r="A646" s="755"/>
      <c r="C646" s="513" t="s">
        <v>446</v>
      </c>
      <c r="D646" s="513"/>
      <c r="H646" s="513" t="s">
        <v>447</v>
      </c>
      <c r="I646" s="513"/>
    </row>
    <row r="647" spans="1:9" ht="15.75" customHeight="1">
      <c r="A647" s="755"/>
      <c r="C647" s="1635" t="s">
        <v>449</v>
      </c>
      <c r="D647" s="513"/>
      <c r="H647" s="519" t="s">
        <v>448</v>
      </c>
      <c r="I647" s="513"/>
    </row>
    <row r="648" ht="12.75">
      <c r="A648" s="755"/>
    </row>
    <row r="649" ht="12.75">
      <c r="A649" s="755"/>
    </row>
    <row r="650" ht="12.75">
      <c r="A650" s="755"/>
    </row>
    <row r="651" ht="12.75">
      <c r="A651" s="755"/>
    </row>
    <row r="652" ht="12.75">
      <c r="A652" s="755"/>
    </row>
    <row r="653" ht="12.75">
      <c r="A653" s="755"/>
    </row>
    <row r="654" ht="12.75">
      <c r="A654" s="755"/>
    </row>
    <row r="655" ht="12.75">
      <c r="A655" s="755"/>
    </row>
    <row r="656" ht="12.75">
      <c r="A656" s="755"/>
    </row>
    <row r="657" ht="12.75">
      <c r="A657" s="755"/>
    </row>
    <row r="658" ht="12.75">
      <c r="A658" s="755"/>
    </row>
    <row r="659" ht="12.75">
      <c r="A659" s="755"/>
    </row>
    <row r="660" ht="12.75">
      <c r="A660" s="755"/>
    </row>
    <row r="661" ht="12.75">
      <c r="A661" s="755"/>
    </row>
    <row r="662" ht="12.75">
      <c r="A662" s="755"/>
    </row>
    <row r="663" ht="12.75">
      <c r="A663" s="755"/>
    </row>
    <row r="664" ht="12.75">
      <c r="A664" s="755"/>
    </row>
    <row r="665" ht="12.75">
      <c r="A665" s="755"/>
    </row>
    <row r="666" ht="12.75">
      <c r="A666" s="755"/>
    </row>
    <row r="667" ht="12.75">
      <c r="A667" s="755"/>
    </row>
    <row r="668" ht="12.75">
      <c r="A668" s="755"/>
    </row>
    <row r="669" ht="12.75">
      <c r="A669" s="755"/>
    </row>
    <row r="670" ht="12.75">
      <c r="A670" s="755"/>
    </row>
    <row r="671" ht="12.75">
      <c r="A671" s="755"/>
    </row>
    <row r="672" ht="12.75">
      <c r="A672" s="755"/>
    </row>
    <row r="673" ht="12.75">
      <c r="A673" s="755"/>
    </row>
    <row r="674" ht="12.75">
      <c r="A674" s="755"/>
    </row>
    <row r="675" ht="12.75">
      <c r="A675" s="755"/>
    </row>
    <row r="676" ht="12.75">
      <c r="A676" s="755"/>
    </row>
    <row r="677" ht="12.75">
      <c r="A677" s="755"/>
    </row>
    <row r="678" ht="12.75">
      <c r="A678" s="755"/>
    </row>
    <row r="679" ht="12.75">
      <c r="A679" s="755"/>
    </row>
    <row r="680" ht="12.75">
      <c r="A680" s="755"/>
    </row>
    <row r="681" ht="12.75">
      <c r="A681" s="755"/>
    </row>
    <row r="682" ht="12.75">
      <c r="A682" s="755"/>
    </row>
    <row r="683" ht="12.75">
      <c r="A683" s="755"/>
    </row>
    <row r="684" ht="12.75">
      <c r="A684" s="755"/>
    </row>
    <row r="685" ht="12.75">
      <c r="A685" s="755"/>
    </row>
    <row r="686" ht="12.75">
      <c r="A686" s="755"/>
    </row>
    <row r="687" ht="12.75">
      <c r="A687" s="755"/>
    </row>
    <row r="688" ht="12.75">
      <c r="A688" s="755"/>
    </row>
    <row r="689" ht="12.75">
      <c r="A689" s="755"/>
    </row>
    <row r="690" ht="12.75">
      <c r="A690" s="755"/>
    </row>
    <row r="691" ht="12.75">
      <c r="A691" s="755"/>
    </row>
    <row r="692" ht="12.75">
      <c r="A692" s="755"/>
    </row>
    <row r="693" ht="12.75">
      <c r="A693" s="755"/>
    </row>
    <row r="694" ht="12.75">
      <c r="A694" s="755"/>
    </row>
    <row r="695" ht="12.75">
      <c r="A695" s="755"/>
    </row>
    <row r="696" ht="12.75">
      <c r="A696" s="755"/>
    </row>
    <row r="697" ht="12.75">
      <c r="A697" s="755"/>
    </row>
    <row r="698" ht="12.75">
      <c r="A698" s="755"/>
    </row>
    <row r="699" ht="12.75">
      <c r="A699" s="755"/>
    </row>
    <row r="700" ht="12.75">
      <c r="A700" s="755"/>
    </row>
    <row r="701" ht="12.75">
      <c r="A701" s="755"/>
    </row>
    <row r="702" ht="12.75">
      <c r="A702" s="755"/>
    </row>
    <row r="703" ht="12.75">
      <c r="A703" s="755"/>
    </row>
    <row r="704" ht="12.75">
      <c r="A704" s="755"/>
    </row>
    <row r="705" ht="12.75">
      <c r="A705" s="755"/>
    </row>
    <row r="706" ht="12.75">
      <c r="A706" s="755"/>
    </row>
    <row r="707" ht="12.75">
      <c r="A707" s="755"/>
    </row>
    <row r="708" ht="12.75">
      <c r="A708" s="755"/>
    </row>
    <row r="709" ht="12.75">
      <c r="A709" s="755"/>
    </row>
    <row r="710" ht="12.75">
      <c r="A710" s="755"/>
    </row>
    <row r="711" ht="12.75">
      <c r="A711" s="755"/>
    </row>
    <row r="712" ht="12.75">
      <c r="A712" s="755"/>
    </row>
    <row r="713" ht="12.75">
      <c r="A713" s="755"/>
    </row>
    <row r="714" ht="12.75">
      <c r="A714" s="755"/>
    </row>
    <row r="715" ht="12.75">
      <c r="A715" s="755"/>
    </row>
    <row r="716" ht="12.75">
      <c r="A716" s="755"/>
    </row>
    <row r="717" ht="12.75">
      <c r="A717" s="755"/>
    </row>
    <row r="718" ht="12.75">
      <c r="A718" s="755"/>
    </row>
    <row r="719" ht="12.75">
      <c r="A719" s="755"/>
    </row>
    <row r="720" ht="12.75">
      <c r="A720" s="755"/>
    </row>
    <row r="721" ht="12.75">
      <c r="A721" s="755"/>
    </row>
    <row r="722" ht="12.75">
      <c r="A722" s="755"/>
    </row>
    <row r="723" ht="12.75">
      <c r="A723" s="755"/>
    </row>
    <row r="724" ht="12.75">
      <c r="A724" s="755"/>
    </row>
    <row r="725" ht="12.75">
      <c r="A725" s="755"/>
    </row>
    <row r="726" ht="12.75">
      <c r="A726" s="755"/>
    </row>
    <row r="727" ht="12.75">
      <c r="A727" s="755"/>
    </row>
    <row r="728" ht="12.75">
      <c r="A728" s="755"/>
    </row>
    <row r="729" ht="12.75">
      <c r="A729" s="755"/>
    </row>
    <row r="730" ht="12.75">
      <c r="A730" s="755"/>
    </row>
    <row r="731" ht="12.75">
      <c r="A731" s="755"/>
    </row>
    <row r="732" ht="12.75">
      <c r="A732" s="755"/>
    </row>
    <row r="733" ht="12.75">
      <c r="A733" s="755"/>
    </row>
    <row r="734" ht="12.75">
      <c r="A734" s="755"/>
    </row>
    <row r="735" ht="12.75">
      <c r="A735" s="755"/>
    </row>
    <row r="736" ht="12.75">
      <c r="A736" s="755"/>
    </row>
  </sheetData>
  <mergeCells count="6">
    <mergeCell ref="H7:I7"/>
    <mergeCell ref="D7:D8"/>
    <mergeCell ref="A7:A8"/>
    <mergeCell ref="B7:B8"/>
    <mergeCell ref="C7:C8"/>
    <mergeCell ref="E7:G7"/>
  </mergeCells>
  <printOptions horizontalCentered="1"/>
  <pageMargins left="0.5905511811023623" right="0.5905511811023623" top="0.5905511811023623" bottom="0.4724409448818898" header="0.5118110236220472" footer="0.31496062992125984"/>
  <pageSetup firstPageNumber="46" useFirstPageNumber="1"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7"/>
  <sheetViews>
    <sheetView zoomScale="69" zoomScaleNormal="69" workbookViewId="0" topLeftCell="D28">
      <pane ySplit="1830" topLeftCell="BM439" activePane="bottomLeft" state="split"/>
      <selection pane="topLeft" activeCell="B3" sqref="B3:E3"/>
      <selection pane="bottomLeft" activeCell="T463" sqref="T463"/>
    </sheetView>
  </sheetViews>
  <sheetFormatPr defaultColWidth="9.00390625" defaultRowHeight="12.75"/>
  <cols>
    <col min="1" max="1" width="32.25390625" style="341" customWidth="1"/>
    <col min="2" max="2" width="12.375" style="341" customWidth="1"/>
    <col min="3" max="3" width="10.125" style="341" hidden="1" customWidth="1"/>
    <col min="4" max="4" width="10.125" style="341" customWidth="1"/>
    <col min="5" max="5" width="9.75390625" style="341" customWidth="1"/>
    <col min="6" max="6" width="10.375" style="341" customWidth="1"/>
    <col min="7" max="8" width="10.625" style="341" customWidth="1"/>
    <col min="9" max="9" width="10.875" style="341" customWidth="1"/>
    <col min="10" max="12" width="9.00390625" style="343" customWidth="1"/>
    <col min="13" max="13" width="10.625" style="341" customWidth="1"/>
    <col min="14" max="15" width="11.75390625" style="341" customWidth="1"/>
    <col min="16" max="16" width="11.25390625" style="341" customWidth="1"/>
    <col min="17" max="17" width="9.625" style="341" customWidth="1"/>
    <col min="18" max="18" width="9.75390625" style="341" customWidth="1"/>
    <col min="19" max="19" width="10.875" style="341" customWidth="1"/>
    <col min="20" max="20" width="10.625" style="341" customWidth="1"/>
    <col min="21" max="21" width="7.875" style="341" hidden="1" customWidth="1"/>
    <col min="22" max="22" width="9.75390625" style="341" customWidth="1"/>
    <col min="23" max="23" width="12.00390625" style="341" customWidth="1"/>
    <col min="24" max="24" width="9.375" style="344" customWidth="1"/>
    <col min="25" max="25" width="11.75390625" style="345" customWidth="1"/>
    <col min="26" max="26" width="9.125" style="345" customWidth="1"/>
    <col min="27" max="27" width="9.875" style="345" bestFit="1" customWidth="1"/>
    <col min="28" max="16384" width="9.125" style="345" customWidth="1"/>
  </cols>
  <sheetData>
    <row r="1" spans="1:24" ht="15.75" customHeight="1">
      <c r="A1" s="419" t="s">
        <v>702</v>
      </c>
      <c r="E1" s="342"/>
      <c r="F1" s="342"/>
      <c r="G1" s="342"/>
      <c r="H1" s="342"/>
      <c r="M1" s="342"/>
      <c r="N1" s="342"/>
      <c r="O1" s="342"/>
      <c r="X1" s="341"/>
    </row>
    <row r="2" ht="13.5" thickBot="1">
      <c r="X2" s="420" t="s">
        <v>606</v>
      </c>
    </row>
    <row r="3" spans="1:24" ht="14.25" customHeight="1" thickBot="1" thickTop="1">
      <c r="A3" s="346"/>
      <c r="B3" s="1678" t="s">
        <v>132</v>
      </c>
      <c r="C3" s="1679"/>
      <c r="D3" s="1679"/>
      <c r="E3" s="1680"/>
      <c r="F3" s="421" t="s">
        <v>704</v>
      </c>
      <c r="G3" s="422"/>
      <c r="H3" s="502"/>
      <c r="I3" s="348"/>
      <c r="J3" s="348"/>
      <c r="K3" s="348"/>
      <c r="L3" s="348"/>
      <c r="M3" s="347" t="s">
        <v>705</v>
      </c>
      <c r="N3" s="348"/>
      <c r="O3" s="348"/>
      <c r="P3" s="348"/>
      <c r="Q3" s="348"/>
      <c r="R3" s="348"/>
      <c r="S3" s="348"/>
      <c r="T3" s="348"/>
      <c r="U3" s="348"/>
      <c r="V3" s="431"/>
      <c r="W3" s="349" t="s">
        <v>703</v>
      </c>
      <c r="X3" s="350"/>
    </row>
    <row r="4" spans="1:24" s="353" customFormat="1" ht="13.5" thickTop="1">
      <c r="A4" s="351" t="s">
        <v>133</v>
      </c>
      <c r="B4" s="352" t="s">
        <v>330</v>
      </c>
      <c r="C4" s="352" t="s">
        <v>134</v>
      </c>
      <c r="D4" s="352" t="s">
        <v>134</v>
      </c>
      <c r="E4" s="423" t="s">
        <v>135</v>
      </c>
      <c r="F4" s="353" t="s">
        <v>136</v>
      </c>
      <c r="G4" s="423" t="s">
        <v>137</v>
      </c>
      <c r="H4" s="503" t="s">
        <v>334</v>
      </c>
      <c r="I4" s="433" t="s">
        <v>138</v>
      </c>
      <c r="J4" s="433" t="s">
        <v>841</v>
      </c>
      <c r="K4" s="433" t="s">
        <v>842</v>
      </c>
      <c r="L4" s="352" t="s">
        <v>139</v>
      </c>
      <c r="M4" s="352" t="s">
        <v>140</v>
      </c>
      <c r="N4" s="352" t="s">
        <v>141</v>
      </c>
      <c r="O4" s="352" t="s">
        <v>777</v>
      </c>
      <c r="P4" s="352" t="s">
        <v>142</v>
      </c>
      <c r="Q4" s="352" t="s">
        <v>143</v>
      </c>
      <c r="R4" s="352" t="s">
        <v>144</v>
      </c>
      <c r="S4" s="352" t="s">
        <v>531</v>
      </c>
      <c r="T4" s="352" t="s">
        <v>145</v>
      </c>
      <c r="U4" s="433" t="s">
        <v>147</v>
      </c>
      <c r="V4" s="740" t="s">
        <v>339</v>
      </c>
      <c r="W4" s="428" t="s">
        <v>773</v>
      </c>
      <c r="X4" s="416"/>
    </row>
    <row r="5" spans="1:24" s="353" customFormat="1" ht="12.75">
      <c r="A5" s="354" t="s">
        <v>148</v>
      </c>
      <c r="B5" s="355" t="s">
        <v>331</v>
      </c>
      <c r="C5" s="352" t="s">
        <v>149</v>
      </c>
      <c r="D5" s="355" t="s">
        <v>149</v>
      </c>
      <c r="E5" s="424" t="s">
        <v>150</v>
      </c>
      <c r="F5" s="397" t="s">
        <v>151</v>
      </c>
      <c r="G5" s="424" t="s">
        <v>152</v>
      </c>
      <c r="H5" s="504" t="s">
        <v>658</v>
      </c>
      <c r="I5" s="357" t="s">
        <v>153</v>
      </c>
      <c r="J5" s="357" t="s">
        <v>153</v>
      </c>
      <c r="K5" s="357" t="s">
        <v>153</v>
      </c>
      <c r="L5" s="355" t="s">
        <v>154</v>
      </c>
      <c r="M5" s="355" t="s">
        <v>155</v>
      </c>
      <c r="N5" s="352" t="s">
        <v>156</v>
      </c>
      <c r="O5" s="352" t="s">
        <v>156</v>
      </c>
      <c r="P5" s="355" t="s">
        <v>156</v>
      </c>
      <c r="Q5" s="352" t="s">
        <v>156</v>
      </c>
      <c r="R5" s="352" t="s">
        <v>156</v>
      </c>
      <c r="S5" s="352" t="s">
        <v>156</v>
      </c>
      <c r="T5" s="352" t="s">
        <v>156</v>
      </c>
      <c r="U5" s="506" t="s">
        <v>706</v>
      </c>
      <c r="V5" s="424" t="s">
        <v>340</v>
      </c>
      <c r="W5" s="429" t="s">
        <v>658</v>
      </c>
      <c r="X5" s="417"/>
    </row>
    <row r="6" spans="1:24" s="353" customFormat="1" ht="12.75">
      <c r="A6" s="354"/>
      <c r="B6" s="355" t="s">
        <v>332</v>
      </c>
      <c r="C6" s="352" t="s">
        <v>157</v>
      </c>
      <c r="D6" s="355" t="s">
        <v>772</v>
      </c>
      <c r="E6" s="424" t="s">
        <v>158</v>
      </c>
      <c r="F6" s="397" t="s">
        <v>159</v>
      </c>
      <c r="G6" s="424" t="s">
        <v>160</v>
      </c>
      <c r="H6" s="504" t="s">
        <v>332</v>
      </c>
      <c r="I6" s="357" t="s">
        <v>161</v>
      </c>
      <c r="J6" s="357" t="s">
        <v>161</v>
      </c>
      <c r="K6" s="357" t="s">
        <v>161</v>
      </c>
      <c r="L6" s="355" t="s">
        <v>162</v>
      </c>
      <c r="M6" s="355" t="s">
        <v>163</v>
      </c>
      <c r="N6" s="352" t="s">
        <v>164</v>
      </c>
      <c r="O6" s="352" t="s">
        <v>778</v>
      </c>
      <c r="P6" s="355" t="s">
        <v>162</v>
      </c>
      <c r="Q6" s="352" t="s">
        <v>165</v>
      </c>
      <c r="R6" s="352" t="s">
        <v>166</v>
      </c>
      <c r="S6" s="352" t="s">
        <v>166</v>
      </c>
      <c r="T6" s="352" t="s">
        <v>167</v>
      </c>
      <c r="U6" s="506" t="s">
        <v>707</v>
      </c>
      <c r="V6" s="424" t="s">
        <v>338</v>
      </c>
      <c r="W6" s="429" t="s">
        <v>774</v>
      </c>
      <c r="X6" s="417"/>
    </row>
    <row r="7" spans="1:24" s="353" customFormat="1" ht="12.75">
      <c r="A7" s="354"/>
      <c r="B7" s="355" t="s">
        <v>333</v>
      </c>
      <c r="C7" s="352" t="s">
        <v>168</v>
      </c>
      <c r="D7" s="355" t="s">
        <v>168</v>
      </c>
      <c r="E7" s="424" t="s">
        <v>169</v>
      </c>
      <c r="F7" s="397" t="s">
        <v>170</v>
      </c>
      <c r="G7" s="424" t="s">
        <v>171</v>
      </c>
      <c r="H7" s="504" t="s">
        <v>335</v>
      </c>
      <c r="I7" s="357" t="s">
        <v>172</v>
      </c>
      <c r="J7" s="357" t="s">
        <v>172</v>
      </c>
      <c r="K7" s="357" t="s">
        <v>172</v>
      </c>
      <c r="L7" s="357" t="s">
        <v>173</v>
      </c>
      <c r="M7" s="355" t="s">
        <v>171</v>
      </c>
      <c r="N7" s="352" t="s">
        <v>174</v>
      </c>
      <c r="O7" s="352" t="s">
        <v>779</v>
      </c>
      <c r="P7" s="355" t="s">
        <v>175</v>
      </c>
      <c r="Q7" s="352"/>
      <c r="R7" s="355" t="s">
        <v>176</v>
      </c>
      <c r="S7" s="355" t="s">
        <v>532</v>
      </c>
      <c r="T7" s="352" t="s">
        <v>177</v>
      </c>
      <c r="U7" s="506" t="s">
        <v>708</v>
      </c>
      <c r="V7" s="424" t="s">
        <v>341</v>
      </c>
      <c r="W7" s="429" t="s">
        <v>696</v>
      </c>
      <c r="X7" s="416" t="s">
        <v>178</v>
      </c>
    </row>
    <row r="8" spans="1:24" s="353" customFormat="1" ht="12.75">
      <c r="A8" s="358" t="s">
        <v>133</v>
      </c>
      <c r="B8" s="352"/>
      <c r="C8" s="352"/>
      <c r="D8" s="352"/>
      <c r="E8" s="425"/>
      <c r="G8" s="424" t="s">
        <v>179</v>
      </c>
      <c r="H8" s="504" t="s">
        <v>336</v>
      </c>
      <c r="I8" s="1454"/>
      <c r="J8" s="357"/>
      <c r="K8" s="357"/>
      <c r="L8" s="357" t="s">
        <v>172</v>
      </c>
      <c r="M8" s="355" t="s">
        <v>180</v>
      </c>
      <c r="N8" s="352" t="s">
        <v>181</v>
      </c>
      <c r="O8" s="352"/>
      <c r="P8" s="355" t="s">
        <v>182</v>
      </c>
      <c r="Q8" s="352"/>
      <c r="R8" s="352"/>
      <c r="S8" s="352"/>
      <c r="T8" s="352"/>
      <c r="U8" s="506"/>
      <c r="V8" s="424" t="s">
        <v>342</v>
      </c>
      <c r="W8" s="429" t="s">
        <v>697</v>
      </c>
      <c r="X8" s="417"/>
    </row>
    <row r="9" spans="1:24" s="353" customFormat="1" ht="12.75">
      <c r="A9" s="358"/>
      <c r="B9" s="352"/>
      <c r="C9" s="352"/>
      <c r="D9" s="352"/>
      <c r="E9" s="425"/>
      <c r="G9" s="424"/>
      <c r="H9" s="504" t="s">
        <v>337</v>
      </c>
      <c r="I9" s="365"/>
      <c r="J9" s="357"/>
      <c r="K9" s="357"/>
      <c r="L9" s="357"/>
      <c r="M9" s="355" t="s">
        <v>183</v>
      </c>
      <c r="N9" s="352"/>
      <c r="O9" s="352"/>
      <c r="P9" s="357" t="s">
        <v>184</v>
      </c>
      <c r="Q9" s="352"/>
      <c r="R9" s="352"/>
      <c r="S9" s="352"/>
      <c r="T9" s="352"/>
      <c r="U9" s="506"/>
      <c r="V9" s="424" t="s">
        <v>343</v>
      </c>
      <c r="W9" s="429" t="s">
        <v>698</v>
      </c>
      <c r="X9" s="417"/>
    </row>
    <row r="10" spans="1:24" s="353" customFormat="1" ht="12" customHeight="1">
      <c r="A10" s="358" t="s">
        <v>185</v>
      </c>
      <c r="B10" s="359"/>
      <c r="C10" s="359"/>
      <c r="D10" s="359"/>
      <c r="E10" s="426"/>
      <c r="F10" s="398"/>
      <c r="G10" s="427"/>
      <c r="H10" s="505"/>
      <c r="I10" s="434"/>
      <c r="J10" s="361"/>
      <c r="K10" s="361"/>
      <c r="L10" s="361"/>
      <c r="M10" s="360" t="s">
        <v>186</v>
      </c>
      <c r="N10" s="359"/>
      <c r="O10" s="359"/>
      <c r="P10" s="362"/>
      <c r="Q10" s="359"/>
      <c r="R10" s="359"/>
      <c r="S10" s="359"/>
      <c r="T10" s="359"/>
      <c r="U10" s="362"/>
      <c r="V10" s="427" t="s">
        <v>344</v>
      </c>
      <c r="W10" s="430"/>
      <c r="X10" s="418"/>
    </row>
    <row r="11" spans="1:24" s="365" customFormat="1" ht="11.25">
      <c r="A11" s="363">
        <v>1</v>
      </c>
      <c r="B11" s="364">
        <v>2</v>
      </c>
      <c r="C11" s="364">
        <v>3</v>
      </c>
      <c r="D11" s="364">
        <v>3</v>
      </c>
      <c r="E11" s="364">
        <v>4</v>
      </c>
      <c r="F11" s="364">
        <v>5</v>
      </c>
      <c r="G11" s="364">
        <v>6</v>
      </c>
      <c r="H11" s="364">
        <v>7</v>
      </c>
      <c r="I11" s="364">
        <v>8</v>
      </c>
      <c r="J11" s="364">
        <v>9</v>
      </c>
      <c r="K11" s="364">
        <v>10</v>
      </c>
      <c r="L11" s="364">
        <v>11</v>
      </c>
      <c r="M11" s="364">
        <v>12</v>
      </c>
      <c r="N11" s="364">
        <v>13</v>
      </c>
      <c r="O11" s="364">
        <v>14</v>
      </c>
      <c r="P11" s="364">
        <v>15</v>
      </c>
      <c r="Q11" s="364">
        <v>16</v>
      </c>
      <c r="R11" s="364">
        <v>17</v>
      </c>
      <c r="S11" s="364">
        <v>18</v>
      </c>
      <c r="T11" s="364">
        <v>19</v>
      </c>
      <c r="U11" s="364">
        <v>18</v>
      </c>
      <c r="V11" s="364">
        <v>20</v>
      </c>
      <c r="W11" s="364">
        <v>21</v>
      </c>
      <c r="X11" s="364">
        <v>22</v>
      </c>
    </row>
    <row r="12" spans="1:24" s="353" customFormat="1" ht="18" customHeight="1" thickBot="1">
      <c r="A12" s="366" t="s">
        <v>709</v>
      </c>
      <c r="B12" s="449">
        <f>B13+B422</f>
        <v>820327</v>
      </c>
      <c r="C12" s="449" t="e">
        <f>C13</f>
        <v>#REF!</v>
      </c>
      <c r="D12" s="449">
        <f aca="true" t="shared" si="0" ref="D12:X12">D13+D422</f>
        <v>-361</v>
      </c>
      <c r="E12" s="449">
        <f t="shared" si="0"/>
        <v>-25044</v>
      </c>
      <c r="F12" s="449">
        <f t="shared" si="0"/>
        <v>97643</v>
      </c>
      <c r="G12" s="449">
        <f t="shared" si="0"/>
        <v>31612</v>
      </c>
      <c r="H12" s="449">
        <f t="shared" si="0"/>
        <v>158</v>
      </c>
      <c r="I12" s="449">
        <f t="shared" si="0"/>
        <v>888340</v>
      </c>
      <c r="J12" s="449">
        <f t="shared" si="0"/>
        <v>269066</v>
      </c>
      <c r="K12" s="449">
        <f t="shared" si="0"/>
        <v>126329</v>
      </c>
      <c r="L12" s="449">
        <f t="shared" si="0"/>
        <v>74463</v>
      </c>
      <c r="M12" s="449">
        <f t="shared" si="0"/>
        <v>421</v>
      </c>
      <c r="N12" s="449">
        <f t="shared" si="0"/>
        <v>4063</v>
      </c>
      <c r="O12" s="449">
        <f t="shared" si="0"/>
        <v>-10000</v>
      </c>
      <c r="P12" s="449">
        <f t="shared" si="0"/>
        <v>-1241</v>
      </c>
      <c r="Q12" s="449">
        <f t="shared" si="0"/>
        <v>117611</v>
      </c>
      <c r="R12" s="449">
        <f t="shared" si="0"/>
        <v>456142</v>
      </c>
      <c r="S12" s="449">
        <f t="shared" si="0"/>
        <v>471</v>
      </c>
      <c r="T12" s="449">
        <f t="shared" si="0"/>
        <v>-18362</v>
      </c>
      <c r="U12" s="449">
        <f t="shared" si="0"/>
        <v>0</v>
      </c>
      <c r="V12" s="449">
        <f t="shared" si="0"/>
        <v>-10730</v>
      </c>
      <c r="W12" s="449">
        <f t="shared" si="0"/>
        <v>-240</v>
      </c>
      <c r="X12" s="449">
        <f t="shared" si="0"/>
        <v>2820668</v>
      </c>
    </row>
    <row r="13" spans="1:26" s="368" customFormat="1" ht="18" customHeight="1">
      <c r="A13" s="367" t="s">
        <v>640</v>
      </c>
      <c r="B13" s="450">
        <f>B14+B245+B256</f>
        <v>820327</v>
      </c>
      <c r="C13" s="450" t="e">
        <f>C14+C245+C256+#REF!</f>
        <v>#REF!</v>
      </c>
      <c r="D13" s="450">
        <f aca="true" t="shared" si="1" ref="D13:I13">D14+D245+D256</f>
        <v>-361</v>
      </c>
      <c r="E13" s="450">
        <f t="shared" si="1"/>
        <v>-25044</v>
      </c>
      <c r="F13" s="450">
        <f t="shared" si="1"/>
        <v>97643</v>
      </c>
      <c r="G13" s="450">
        <f t="shared" si="1"/>
        <v>31612</v>
      </c>
      <c r="H13" s="450">
        <f t="shared" si="1"/>
        <v>158</v>
      </c>
      <c r="I13" s="450">
        <f t="shared" si="1"/>
        <v>888340</v>
      </c>
      <c r="J13" s="450"/>
      <c r="K13" s="450"/>
      <c r="L13" s="450">
        <f aca="true" t="shared" si="2" ref="L13:X13">L14+L245+L256</f>
        <v>74463</v>
      </c>
      <c r="M13" s="450">
        <f t="shared" si="2"/>
        <v>421</v>
      </c>
      <c r="N13" s="450">
        <f t="shared" si="2"/>
        <v>4063</v>
      </c>
      <c r="O13" s="450">
        <f t="shared" si="2"/>
        <v>-10000</v>
      </c>
      <c r="P13" s="450">
        <f t="shared" si="2"/>
        <v>-1241</v>
      </c>
      <c r="Q13" s="450">
        <f t="shared" si="2"/>
        <v>117611</v>
      </c>
      <c r="R13" s="450">
        <f t="shared" si="2"/>
        <v>456142</v>
      </c>
      <c r="S13" s="450">
        <f t="shared" si="2"/>
        <v>471</v>
      </c>
      <c r="T13" s="450">
        <f t="shared" si="2"/>
        <v>-18362</v>
      </c>
      <c r="U13" s="450">
        <f t="shared" si="2"/>
        <v>0</v>
      </c>
      <c r="V13" s="450">
        <f t="shared" si="2"/>
        <v>-10730</v>
      </c>
      <c r="W13" s="450">
        <f t="shared" si="2"/>
        <v>-240</v>
      </c>
      <c r="X13" s="450">
        <f t="shared" si="2"/>
        <v>2425273</v>
      </c>
      <c r="Z13" s="368" t="s">
        <v>310</v>
      </c>
    </row>
    <row r="14" spans="1:24" s="353" customFormat="1" ht="24" customHeight="1" thickBot="1">
      <c r="A14" s="577" t="s">
        <v>187</v>
      </c>
      <c r="B14" s="578">
        <f>B15+B42+B56+B59+B64+B66+B76+B138+B141+B160+B164+B175+B195+B197+B201+B203+B213+B215+B217+B221</f>
        <v>793094</v>
      </c>
      <c r="C14" s="578">
        <f>C15+C42+C59+C66+C76+C138+C141+C160+C164+C175+C195+C197+C201+C203+C213+C217+C221+C56</f>
        <v>0</v>
      </c>
      <c r="D14" s="578">
        <f>D15+D42+D56+D59+D64+D66+D76+D138+D141+D160+D164+D175+D195+D197+D201+D203+D213+D215+D217+D221</f>
        <v>-361</v>
      </c>
      <c r="E14" s="578">
        <f>E15+E42+E56+E59+E64+E66+E76+E138+E141+E160+E164+E175+E195+E197+E201+E203+E213+E215+E217+E221</f>
        <v>-25341</v>
      </c>
      <c r="F14" s="578">
        <f>F15+F42+F56+F59+F64+F66+F76+F138+F141+F160+F164+F175+F195+F197+F201+F203+F213+F215+F217+F221</f>
        <v>90437</v>
      </c>
      <c r="G14" s="578">
        <f>G15+G42+G56+G59+G64+G66+G76+G138+G141+G160+G164+G175+G195+G197+G201+G203+G213+G215+G217+G221</f>
        <v>34540</v>
      </c>
      <c r="H14" s="578">
        <f>H15+H42+H56+H59+H64+H66+H76+H138+H141+H160+H164+H175+H195+H197+H201+H203+H213+H215+H217+H221</f>
        <v>158</v>
      </c>
      <c r="I14" s="578"/>
      <c r="J14" s="578"/>
      <c r="K14" s="578"/>
      <c r="L14" s="578"/>
      <c r="M14" s="578">
        <f>M15+M42+M56+M59+M64+M66+M76+M138+M141+M160+M164+M175+M195+M197+M201+M203+M213+M215+M217+M221</f>
        <v>421</v>
      </c>
      <c r="N14" s="578">
        <f>N15+N42+N56+N59+N64+N66+N76+N138+N141+N160+N164+N175+N195+N197+N201+N203+N213+N215+N217+N221</f>
        <v>3973</v>
      </c>
      <c r="O14" s="578"/>
      <c r="P14" s="578">
        <f aca="true" t="shared" si="3" ref="P14:W14">P15+P42+P56+P59+P64+P66+P76+P138+P141+P160+P164+P175+P195+P197+P201+P203+P213+P215+P217+P221</f>
        <v>-1241</v>
      </c>
      <c r="Q14" s="578">
        <f t="shared" si="3"/>
        <v>135127</v>
      </c>
      <c r="R14" s="578">
        <f t="shared" si="3"/>
        <v>446142</v>
      </c>
      <c r="S14" s="578">
        <f t="shared" si="3"/>
        <v>471</v>
      </c>
      <c r="T14" s="578">
        <f t="shared" si="3"/>
        <v>-16962</v>
      </c>
      <c r="U14" s="578">
        <f t="shared" si="3"/>
        <v>0</v>
      </c>
      <c r="V14" s="578">
        <f t="shared" si="3"/>
        <v>-7838</v>
      </c>
      <c r="W14" s="578">
        <f t="shared" si="3"/>
        <v>-150</v>
      </c>
      <c r="X14" s="579">
        <f aca="true" t="shared" si="4" ref="X14:X56">SUM(B14:W14)</f>
        <v>1452470</v>
      </c>
    </row>
    <row r="15" spans="1:24" ht="27.75" customHeight="1" thickBot="1" thickTop="1">
      <c r="A15" s="620" t="s">
        <v>309</v>
      </c>
      <c r="B15" s="451">
        <f>SUM(B16:B41)</f>
        <v>38570</v>
      </c>
      <c r="C15" s="451"/>
      <c r="D15" s="451"/>
      <c r="E15" s="451"/>
      <c r="F15" s="451">
        <f>SUM(F16:F41)</f>
        <v>-51220</v>
      </c>
      <c r="G15" s="451">
        <f>SUM(G16:G41)</f>
        <v>400</v>
      </c>
      <c r="H15" s="451"/>
      <c r="I15" s="451"/>
      <c r="J15" s="451"/>
      <c r="K15" s="451"/>
      <c r="L15" s="451"/>
      <c r="M15" s="451"/>
      <c r="N15" s="451"/>
      <c r="O15" s="451"/>
      <c r="P15" s="451">
        <f>SUM(P16:P41)</f>
        <v>-3000</v>
      </c>
      <c r="Q15" s="451">
        <f>SUM(Q16:Q41)</f>
        <v>-5400</v>
      </c>
      <c r="R15" s="451">
        <f>SUM(R16:R41)</f>
        <v>109400</v>
      </c>
      <c r="S15" s="451"/>
      <c r="T15" s="451">
        <f>SUM(T16:T41)</f>
        <v>0</v>
      </c>
      <c r="U15" s="451"/>
      <c r="V15" s="451">
        <f>SUM(V16:V41)</f>
        <v>-1650</v>
      </c>
      <c r="W15" s="451"/>
      <c r="X15" s="571">
        <f t="shared" si="4"/>
        <v>87100</v>
      </c>
    </row>
    <row r="16" spans="1:24" ht="18" customHeight="1">
      <c r="A16" s="674" t="s">
        <v>720</v>
      </c>
      <c r="B16" s="454">
        <v>34730</v>
      </c>
      <c r="C16" s="454"/>
      <c r="D16" s="454"/>
      <c r="E16" s="454"/>
      <c r="F16" s="454">
        <v>19500</v>
      </c>
      <c r="G16" s="454">
        <v>2750</v>
      </c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3"/>
      <c r="W16" s="453"/>
      <c r="X16" s="448">
        <f t="shared" si="4"/>
        <v>56980</v>
      </c>
    </row>
    <row r="17" spans="1:24" ht="18" customHeight="1">
      <c r="A17" s="674" t="s">
        <v>721</v>
      </c>
      <c r="B17" s="454"/>
      <c r="C17" s="454"/>
      <c r="D17" s="454"/>
      <c r="E17" s="454"/>
      <c r="F17" s="454">
        <v>13550</v>
      </c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3"/>
      <c r="W17" s="453"/>
      <c r="X17" s="448">
        <f t="shared" si="4"/>
        <v>13550</v>
      </c>
    </row>
    <row r="18" spans="1:24" ht="18" customHeight="1">
      <c r="A18" s="674" t="s">
        <v>722</v>
      </c>
      <c r="B18" s="454"/>
      <c r="C18" s="454"/>
      <c r="D18" s="454"/>
      <c r="E18" s="454"/>
      <c r="F18" s="454">
        <v>805</v>
      </c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661"/>
      <c r="S18" s="661"/>
      <c r="T18" s="454"/>
      <c r="U18" s="454"/>
      <c r="V18" s="453"/>
      <c r="W18" s="453"/>
      <c r="X18" s="448">
        <f t="shared" si="4"/>
        <v>805</v>
      </c>
    </row>
    <row r="19" spans="1:24" ht="18" customHeight="1">
      <c r="A19" s="674" t="s">
        <v>583</v>
      </c>
      <c r="B19" s="454">
        <v>-26000</v>
      </c>
      <c r="C19" s="454"/>
      <c r="D19" s="454"/>
      <c r="E19" s="454"/>
      <c r="F19" s="454">
        <v>-5000</v>
      </c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661"/>
      <c r="S19" s="661"/>
      <c r="T19" s="454"/>
      <c r="U19" s="454"/>
      <c r="V19" s="453"/>
      <c r="W19" s="453"/>
      <c r="X19" s="448">
        <f t="shared" si="4"/>
        <v>-31000</v>
      </c>
    </row>
    <row r="20" spans="1:24" ht="25.5">
      <c r="A20" s="674" t="s">
        <v>533</v>
      </c>
      <c r="B20" s="454">
        <v>1650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661"/>
      <c r="S20" s="661"/>
      <c r="T20" s="454"/>
      <c r="U20" s="454"/>
      <c r="V20" s="453">
        <v>-1650</v>
      </c>
      <c r="W20" s="453"/>
      <c r="X20" s="448">
        <f t="shared" si="4"/>
        <v>0</v>
      </c>
    </row>
    <row r="21" spans="1:24" ht="18" customHeight="1">
      <c r="A21" s="674" t="s">
        <v>724</v>
      </c>
      <c r="B21" s="454">
        <v>11000</v>
      </c>
      <c r="C21" s="454"/>
      <c r="D21" s="454"/>
      <c r="E21" s="454"/>
      <c r="F21" s="454">
        <v>4500</v>
      </c>
      <c r="G21" s="454">
        <v>1500</v>
      </c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661">
        <v>6000</v>
      </c>
      <c r="S21" s="661"/>
      <c r="T21" s="454"/>
      <c r="U21" s="454"/>
      <c r="V21" s="453"/>
      <c r="W21" s="453"/>
      <c r="X21" s="448">
        <f t="shared" si="4"/>
        <v>23000</v>
      </c>
    </row>
    <row r="22" spans="1:24" ht="25.5">
      <c r="A22" s="674" t="s">
        <v>517</v>
      </c>
      <c r="B22" s="454"/>
      <c r="C22" s="454"/>
      <c r="D22" s="454"/>
      <c r="E22" s="454"/>
      <c r="F22" s="454">
        <v>-1000</v>
      </c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661"/>
      <c r="S22" s="661"/>
      <c r="T22" s="454"/>
      <c r="U22" s="454"/>
      <c r="V22" s="453"/>
      <c r="W22" s="453"/>
      <c r="X22" s="448">
        <f t="shared" si="4"/>
        <v>-1000</v>
      </c>
    </row>
    <row r="23" spans="1:24" ht="18" customHeight="1">
      <c r="A23" s="674" t="s">
        <v>725</v>
      </c>
      <c r="B23" s="454">
        <v>5000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661"/>
      <c r="S23" s="661"/>
      <c r="T23" s="454">
        <v>-5000</v>
      </c>
      <c r="U23" s="454"/>
      <c r="V23" s="453"/>
      <c r="W23" s="453"/>
      <c r="X23" s="448">
        <f t="shared" si="4"/>
        <v>0</v>
      </c>
    </row>
    <row r="24" spans="1:24" ht="18" customHeight="1">
      <c r="A24" s="674" t="s">
        <v>726</v>
      </c>
      <c r="B24" s="454"/>
      <c r="C24" s="454"/>
      <c r="D24" s="454"/>
      <c r="E24" s="454"/>
      <c r="F24" s="454">
        <v>1000</v>
      </c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661"/>
      <c r="S24" s="661"/>
      <c r="T24" s="454"/>
      <c r="U24" s="454"/>
      <c r="V24" s="453"/>
      <c r="W24" s="453"/>
      <c r="X24" s="448">
        <f t="shared" si="4"/>
        <v>1000</v>
      </c>
    </row>
    <row r="25" spans="1:24" ht="25.5">
      <c r="A25" s="674" t="s">
        <v>534</v>
      </c>
      <c r="B25" s="454"/>
      <c r="C25" s="454"/>
      <c r="D25" s="454"/>
      <c r="E25" s="454"/>
      <c r="F25" s="454">
        <v>-22975</v>
      </c>
      <c r="G25" s="454">
        <v>-1210</v>
      </c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661"/>
      <c r="S25" s="661"/>
      <c r="T25" s="454"/>
      <c r="U25" s="454"/>
      <c r="V25" s="453"/>
      <c r="W25" s="453"/>
      <c r="X25" s="448">
        <f t="shared" si="4"/>
        <v>-24185</v>
      </c>
    </row>
    <row r="26" spans="1:24" ht="18.75" customHeight="1">
      <c r="A26" s="674" t="s">
        <v>727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>
        <v>-3000</v>
      </c>
      <c r="Q26" s="454"/>
      <c r="R26" s="661">
        <v>3000</v>
      </c>
      <c r="S26" s="661"/>
      <c r="T26" s="454"/>
      <c r="U26" s="454"/>
      <c r="V26" s="453"/>
      <c r="W26" s="453"/>
      <c r="X26" s="448">
        <f t="shared" si="4"/>
        <v>0</v>
      </c>
    </row>
    <row r="27" spans="1:24" ht="18.75" customHeight="1">
      <c r="A27" s="674" t="s">
        <v>728</v>
      </c>
      <c r="B27" s="454">
        <v>5000</v>
      </c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661">
        <v>15000</v>
      </c>
      <c r="S27" s="661"/>
      <c r="T27" s="454"/>
      <c r="U27" s="454"/>
      <c r="V27" s="453"/>
      <c r="W27" s="453"/>
      <c r="X27" s="448">
        <f t="shared" si="4"/>
        <v>20000</v>
      </c>
    </row>
    <row r="28" spans="1:24" ht="18.75" customHeight="1">
      <c r="A28" s="674" t="s">
        <v>527</v>
      </c>
      <c r="B28" s="661">
        <v>9850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>
        <v>30000</v>
      </c>
      <c r="S28" s="661"/>
      <c r="T28" s="454"/>
      <c r="U28" s="454"/>
      <c r="V28" s="453"/>
      <c r="W28" s="453"/>
      <c r="X28" s="448">
        <f t="shared" si="4"/>
        <v>39850</v>
      </c>
    </row>
    <row r="29" spans="1:24" ht="18.75" customHeight="1">
      <c r="A29" s="674" t="s">
        <v>786</v>
      </c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>
        <v>2400</v>
      </c>
      <c r="S29" s="661"/>
      <c r="T29" s="454"/>
      <c r="U29" s="454"/>
      <c r="V29" s="453"/>
      <c r="W29" s="453"/>
      <c r="X29" s="448">
        <f t="shared" si="4"/>
        <v>2400</v>
      </c>
    </row>
    <row r="30" spans="1:24" ht="18" customHeight="1">
      <c r="A30" s="674" t="s">
        <v>710</v>
      </c>
      <c r="B30" s="454">
        <v>33710</v>
      </c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>
        <v>-7500</v>
      </c>
      <c r="R30" s="661"/>
      <c r="S30" s="661"/>
      <c r="T30" s="454"/>
      <c r="U30" s="454"/>
      <c r="V30" s="453"/>
      <c r="W30" s="453"/>
      <c r="X30" s="448">
        <f t="shared" si="4"/>
        <v>26210</v>
      </c>
    </row>
    <row r="31" spans="1:24" ht="18" customHeight="1">
      <c r="A31" s="674" t="s">
        <v>789</v>
      </c>
      <c r="B31" s="454">
        <v>13690</v>
      </c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661">
        <v>32000</v>
      </c>
      <c r="S31" s="661"/>
      <c r="T31" s="454"/>
      <c r="U31" s="454"/>
      <c r="V31" s="453"/>
      <c r="W31" s="453"/>
      <c r="X31" s="448">
        <f t="shared" si="4"/>
        <v>45690</v>
      </c>
    </row>
    <row r="32" spans="1:24" ht="18" customHeight="1">
      <c r="A32" s="674" t="s">
        <v>791</v>
      </c>
      <c r="B32" s="454">
        <v>39000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>
        <v>13000</v>
      </c>
      <c r="S32" s="454"/>
      <c r="T32" s="454"/>
      <c r="U32" s="454"/>
      <c r="V32" s="453"/>
      <c r="W32" s="453"/>
      <c r="X32" s="448">
        <f t="shared" si="4"/>
        <v>52000</v>
      </c>
    </row>
    <row r="33" spans="1:24" ht="18" customHeight="1">
      <c r="A33" s="674" t="s">
        <v>792</v>
      </c>
      <c r="B33" s="454">
        <v>6000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3"/>
      <c r="W33" s="453"/>
      <c r="X33" s="448">
        <f t="shared" si="4"/>
        <v>6000</v>
      </c>
    </row>
    <row r="34" spans="1:24" ht="18" customHeight="1">
      <c r="A34" s="674" t="s">
        <v>793</v>
      </c>
      <c r="B34" s="454">
        <v>-5000</v>
      </c>
      <c r="C34" s="454"/>
      <c r="D34" s="454"/>
      <c r="E34" s="454"/>
      <c r="F34" s="454">
        <v>-2000</v>
      </c>
      <c r="G34" s="454">
        <v>-300</v>
      </c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3"/>
      <c r="W34" s="453"/>
      <c r="X34" s="448">
        <f t="shared" si="4"/>
        <v>-7300</v>
      </c>
    </row>
    <row r="35" spans="1:24" ht="18" customHeight="1">
      <c r="A35" s="674" t="s">
        <v>579</v>
      </c>
      <c r="B35" s="454">
        <v>-60000</v>
      </c>
      <c r="C35" s="454"/>
      <c r="D35" s="454"/>
      <c r="E35" s="454"/>
      <c r="F35" s="454">
        <v>-5500</v>
      </c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3"/>
      <c r="W35" s="453"/>
      <c r="X35" s="448">
        <f t="shared" si="4"/>
        <v>-65500</v>
      </c>
    </row>
    <row r="36" spans="1:24" ht="18" customHeight="1">
      <c r="A36" s="674" t="s">
        <v>794</v>
      </c>
      <c r="B36" s="369"/>
      <c r="C36" s="369"/>
      <c r="D36" s="369"/>
      <c r="E36" s="369"/>
      <c r="F36" s="369">
        <v>-54100</v>
      </c>
      <c r="G36" s="369">
        <v>-1740</v>
      </c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70"/>
      <c r="W36" s="370"/>
      <c r="X36" s="448">
        <f t="shared" si="4"/>
        <v>-55840</v>
      </c>
    </row>
    <row r="37" spans="1:24" ht="18" customHeight="1">
      <c r="A37" s="674" t="s">
        <v>795</v>
      </c>
      <c r="B37" s="454">
        <v>19850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3"/>
      <c r="W37" s="453"/>
      <c r="X37" s="448">
        <f t="shared" si="4"/>
        <v>19850</v>
      </c>
    </row>
    <row r="38" spans="1:24" ht="25.5">
      <c r="A38" s="674" t="s">
        <v>526</v>
      </c>
      <c r="B38" s="454">
        <v>-38000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>
        <v>8000</v>
      </c>
      <c r="S38" s="454"/>
      <c r="T38" s="454"/>
      <c r="U38" s="454"/>
      <c r="V38" s="453"/>
      <c r="W38" s="453"/>
      <c r="X38" s="448">
        <f t="shared" si="4"/>
        <v>-30000</v>
      </c>
    </row>
    <row r="39" spans="1:24" ht="18" customHeight="1">
      <c r="A39" s="674" t="s">
        <v>97</v>
      </c>
      <c r="B39" s="454">
        <v>8610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>
        <v>2100</v>
      </c>
      <c r="R39" s="454"/>
      <c r="S39" s="454"/>
      <c r="T39" s="454">
        <v>5000</v>
      </c>
      <c r="U39" s="454"/>
      <c r="V39" s="453"/>
      <c r="W39" s="453"/>
      <c r="X39" s="448">
        <f t="shared" si="4"/>
        <v>15710</v>
      </c>
    </row>
    <row r="40" spans="1:24" ht="18" customHeight="1">
      <c r="A40" s="674" t="s">
        <v>101</v>
      </c>
      <c r="B40" s="369">
        <v>-24000</v>
      </c>
      <c r="C40" s="369"/>
      <c r="D40" s="369"/>
      <c r="E40" s="369"/>
      <c r="F40" s="369"/>
      <c r="G40" s="369">
        <v>-600</v>
      </c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70"/>
      <c r="W40" s="370"/>
      <c r="X40" s="448">
        <f t="shared" si="4"/>
        <v>-24600</v>
      </c>
    </row>
    <row r="41" spans="1:24" ht="18" customHeight="1" thickBot="1">
      <c r="A41" s="701" t="s">
        <v>563</v>
      </c>
      <c r="B41" s="92">
        <v>3480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616"/>
      <c r="W41" s="616"/>
      <c r="X41" s="448">
        <f t="shared" si="4"/>
        <v>3480</v>
      </c>
    </row>
    <row r="42" spans="1:24" ht="42" customHeight="1" thickBot="1">
      <c r="A42" s="374" t="s">
        <v>345</v>
      </c>
      <c r="B42" s="455">
        <f>SUM(B43:B55)</f>
        <v>14398</v>
      </c>
      <c r="C42" s="455"/>
      <c r="D42" s="455"/>
      <c r="E42" s="455"/>
      <c r="F42" s="455">
        <f>SUM(F43:F55)</f>
        <v>134</v>
      </c>
      <c r="G42" s="455">
        <f>SUM(G43:G55)</f>
        <v>32</v>
      </c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6">
        <f t="shared" si="4"/>
        <v>14564</v>
      </c>
    </row>
    <row r="43" spans="1:24" ht="18" customHeight="1">
      <c r="A43" s="674" t="s">
        <v>719</v>
      </c>
      <c r="B43" s="369">
        <v>1000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453"/>
      <c r="W43" s="453"/>
      <c r="X43" s="448">
        <f t="shared" si="4"/>
        <v>1000</v>
      </c>
    </row>
    <row r="44" spans="1:24" ht="18" customHeight="1">
      <c r="A44" s="674" t="s">
        <v>720</v>
      </c>
      <c r="B44" s="568">
        <v>345</v>
      </c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616"/>
      <c r="W44" s="616"/>
      <c r="X44" s="448">
        <f t="shared" si="4"/>
        <v>345</v>
      </c>
    </row>
    <row r="45" spans="1:24" ht="18" customHeight="1">
      <c r="A45" s="674" t="s">
        <v>722</v>
      </c>
      <c r="B45" s="568">
        <v>810</v>
      </c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370"/>
      <c r="W45" s="369"/>
      <c r="X45" s="448">
        <f t="shared" si="4"/>
        <v>810</v>
      </c>
    </row>
    <row r="46" spans="1:24" ht="18" customHeight="1">
      <c r="A46" s="674" t="s">
        <v>583</v>
      </c>
      <c r="B46" s="568">
        <v>1300</v>
      </c>
      <c r="C46" s="568"/>
      <c r="D46" s="568"/>
      <c r="E46" s="568"/>
      <c r="F46" s="568">
        <v>130</v>
      </c>
      <c r="G46" s="568">
        <v>30</v>
      </c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616"/>
      <c r="W46" s="616"/>
      <c r="X46" s="448">
        <f t="shared" si="4"/>
        <v>1460</v>
      </c>
    </row>
    <row r="47" spans="1:24" ht="25.5">
      <c r="A47" s="711" t="s">
        <v>533</v>
      </c>
      <c r="B47" s="568">
        <v>852</v>
      </c>
      <c r="C47" s="568"/>
      <c r="D47" s="568"/>
      <c r="E47" s="568"/>
      <c r="F47" s="568">
        <v>4</v>
      </c>
      <c r="G47" s="568">
        <v>2</v>
      </c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662"/>
      <c r="W47" s="662"/>
      <c r="X47" s="448">
        <f t="shared" si="4"/>
        <v>858</v>
      </c>
    </row>
    <row r="48" spans="1:24" ht="25.5">
      <c r="A48" s="674" t="s">
        <v>534</v>
      </c>
      <c r="B48" s="568">
        <v>2125</v>
      </c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370"/>
      <c r="W48" s="370"/>
      <c r="X48" s="448">
        <f t="shared" si="4"/>
        <v>2125</v>
      </c>
    </row>
    <row r="49" spans="1:24" ht="18" customHeight="1">
      <c r="A49" s="674" t="s">
        <v>789</v>
      </c>
      <c r="B49" s="568">
        <v>738</v>
      </c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370"/>
      <c r="W49" s="369"/>
      <c r="X49" s="448">
        <f t="shared" si="4"/>
        <v>738</v>
      </c>
    </row>
    <row r="50" spans="1:24" ht="18" customHeight="1">
      <c r="A50" s="674" t="s">
        <v>790</v>
      </c>
      <c r="B50" s="568">
        <v>1770</v>
      </c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370"/>
      <c r="W50" s="369"/>
      <c r="X50" s="448">
        <f t="shared" si="4"/>
        <v>1770</v>
      </c>
    </row>
    <row r="51" spans="1:24" ht="18" customHeight="1">
      <c r="A51" s="674" t="s">
        <v>791</v>
      </c>
      <c r="B51" s="369">
        <v>404</v>
      </c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70"/>
      <c r="W51" s="369"/>
      <c r="X51" s="448">
        <f t="shared" si="4"/>
        <v>404</v>
      </c>
    </row>
    <row r="52" spans="1:24" ht="18" customHeight="1">
      <c r="A52" s="674" t="s">
        <v>795</v>
      </c>
      <c r="B52" s="369">
        <v>870</v>
      </c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70"/>
      <c r="W52" s="370"/>
      <c r="X52" s="448">
        <f t="shared" si="4"/>
        <v>870</v>
      </c>
    </row>
    <row r="53" spans="1:24" ht="25.5">
      <c r="A53" s="674" t="s">
        <v>526</v>
      </c>
      <c r="B53" s="369">
        <v>630</v>
      </c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70"/>
      <c r="W53" s="370"/>
      <c r="X53" s="448">
        <f t="shared" si="4"/>
        <v>630</v>
      </c>
    </row>
    <row r="54" spans="1:24" ht="18" customHeight="1">
      <c r="A54" s="674" t="s">
        <v>99</v>
      </c>
      <c r="B54" s="568">
        <v>1330</v>
      </c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  <c r="T54" s="568"/>
      <c r="U54" s="568"/>
      <c r="V54" s="370"/>
      <c r="W54" s="369"/>
      <c r="X54" s="448">
        <f t="shared" si="4"/>
        <v>1330</v>
      </c>
    </row>
    <row r="55" spans="1:24" ht="18" customHeight="1" thickBot="1">
      <c r="A55" s="711" t="s">
        <v>535</v>
      </c>
      <c r="B55" s="568">
        <v>2224</v>
      </c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68"/>
      <c r="U55" s="568"/>
      <c r="V55" s="662"/>
      <c r="W55" s="568"/>
      <c r="X55" s="448">
        <f t="shared" si="4"/>
        <v>2224</v>
      </c>
    </row>
    <row r="56" spans="1:24" ht="26.25" thickBot="1">
      <c r="A56" s="374" t="s">
        <v>750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>
        <f>SUM(P57:P58)</f>
        <v>429</v>
      </c>
      <c r="Q56" s="455"/>
      <c r="R56" s="455"/>
      <c r="S56" s="455"/>
      <c r="T56" s="455"/>
      <c r="U56" s="455"/>
      <c r="V56" s="455"/>
      <c r="W56" s="455"/>
      <c r="X56" s="456">
        <f t="shared" si="4"/>
        <v>429</v>
      </c>
    </row>
    <row r="57" spans="1:24" ht="18" customHeight="1">
      <c r="A57" s="674" t="s">
        <v>710</v>
      </c>
      <c r="B57" s="707"/>
      <c r="C57" s="707"/>
      <c r="D57" s="707"/>
      <c r="E57" s="707"/>
      <c r="F57" s="707"/>
      <c r="G57" s="707"/>
      <c r="H57" s="707"/>
      <c r="I57" s="664"/>
      <c r="J57" s="707"/>
      <c r="K57" s="707"/>
      <c r="L57" s="707"/>
      <c r="M57" s="707"/>
      <c r="N57" s="707"/>
      <c r="O57" s="707"/>
      <c r="P57" s="707">
        <v>258</v>
      </c>
      <c r="Q57" s="707"/>
      <c r="R57" s="568"/>
      <c r="S57" s="568"/>
      <c r="T57" s="568"/>
      <c r="U57" s="568"/>
      <c r="V57" s="370"/>
      <c r="W57" s="369"/>
      <c r="X57" s="448">
        <f aca="true" t="shared" si="5" ref="X57:X88">SUM(B57:W57)</f>
        <v>258</v>
      </c>
    </row>
    <row r="58" spans="1:24" ht="18" customHeight="1" thickBot="1">
      <c r="A58" s="674" t="s">
        <v>789</v>
      </c>
      <c r="B58" s="707"/>
      <c r="C58" s="707"/>
      <c r="D58" s="707"/>
      <c r="E58" s="707"/>
      <c r="F58" s="707"/>
      <c r="G58" s="707"/>
      <c r="H58" s="707"/>
      <c r="I58" s="664"/>
      <c r="J58" s="707"/>
      <c r="K58" s="707"/>
      <c r="L58" s="707"/>
      <c r="M58" s="707"/>
      <c r="N58" s="707"/>
      <c r="O58" s="707"/>
      <c r="P58" s="707">
        <v>171</v>
      </c>
      <c r="Q58" s="707"/>
      <c r="R58" s="568"/>
      <c r="S58" s="568"/>
      <c r="T58" s="568"/>
      <c r="U58" s="568"/>
      <c r="V58" s="616"/>
      <c r="W58" s="616"/>
      <c r="X58" s="448">
        <f t="shared" si="5"/>
        <v>171</v>
      </c>
    </row>
    <row r="59" spans="1:24" ht="39.75" customHeight="1" thickBot="1">
      <c r="A59" s="693" t="s">
        <v>539</v>
      </c>
      <c r="B59" s="702">
        <f>SUM(B60:B63)</f>
        <v>82840</v>
      </c>
      <c r="C59" s="702"/>
      <c r="D59" s="702"/>
      <c r="E59" s="702"/>
      <c r="F59" s="702">
        <f>SUM(F60:F63)</f>
        <v>9270</v>
      </c>
      <c r="G59" s="702">
        <f>SUM(G60:G63)</f>
        <v>500</v>
      </c>
      <c r="H59" s="702"/>
      <c r="I59" s="702"/>
      <c r="J59" s="702"/>
      <c r="K59" s="702"/>
      <c r="L59" s="702"/>
      <c r="M59" s="702"/>
      <c r="N59" s="702"/>
      <c r="O59" s="702"/>
      <c r="P59" s="455"/>
      <c r="Q59" s="455">
        <f>SUM(Q60:Q63)</f>
        <v>-1870</v>
      </c>
      <c r="R59" s="455"/>
      <c r="S59" s="455"/>
      <c r="T59" s="455"/>
      <c r="U59" s="455"/>
      <c r="V59" s="455"/>
      <c r="W59" s="455"/>
      <c r="X59" s="456">
        <f t="shared" si="5"/>
        <v>90740</v>
      </c>
    </row>
    <row r="60" spans="1:24" ht="18" customHeight="1">
      <c r="A60" s="708" t="s">
        <v>536</v>
      </c>
      <c r="B60" s="664">
        <v>10000</v>
      </c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4"/>
      <c r="O60" s="664"/>
      <c r="P60" s="369"/>
      <c r="Q60" s="369"/>
      <c r="R60" s="369"/>
      <c r="S60" s="369"/>
      <c r="T60" s="369"/>
      <c r="U60" s="369"/>
      <c r="V60" s="370"/>
      <c r="W60" s="370"/>
      <c r="X60" s="448">
        <f t="shared" si="5"/>
        <v>10000</v>
      </c>
    </row>
    <row r="61" spans="1:24" ht="25.5">
      <c r="A61" s="709" t="s">
        <v>537</v>
      </c>
      <c r="B61" s="664">
        <v>47840</v>
      </c>
      <c r="C61" s="664"/>
      <c r="D61" s="664"/>
      <c r="E61" s="664"/>
      <c r="F61" s="664">
        <v>11270</v>
      </c>
      <c r="G61" s="664">
        <v>500</v>
      </c>
      <c r="H61" s="664"/>
      <c r="I61" s="664"/>
      <c r="J61" s="664"/>
      <c r="K61" s="664"/>
      <c r="L61" s="664"/>
      <c r="M61" s="664"/>
      <c r="N61" s="664"/>
      <c r="O61" s="664"/>
      <c r="P61" s="369"/>
      <c r="Q61" s="369"/>
      <c r="R61" s="369"/>
      <c r="S61" s="369"/>
      <c r="T61" s="369"/>
      <c r="U61" s="369"/>
      <c r="V61" s="370"/>
      <c r="W61" s="370"/>
      <c r="X61" s="448">
        <f t="shared" si="5"/>
        <v>59610</v>
      </c>
    </row>
    <row r="62" spans="1:24" ht="51">
      <c r="A62" s="704" t="s">
        <v>405</v>
      </c>
      <c r="B62" s="664"/>
      <c r="C62" s="664"/>
      <c r="D62" s="664"/>
      <c r="E62" s="664"/>
      <c r="F62" s="664"/>
      <c r="G62" s="664"/>
      <c r="H62" s="664"/>
      <c r="I62" s="664"/>
      <c r="J62" s="664"/>
      <c r="K62" s="664"/>
      <c r="L62" s="664"/>
      <c r="M62" s="664"/>
      <c r="N62" s="664"/>
      <c r="O62" s="664"/>
      <c r="P62" s="369"/>
      <c r="Q62" s="369">
        <v>-1870</v>
      </c>
      <c r="R62" s="369"/>
      <c r="S62" s="369"/>
      <c r="T62" s="369"/>
      <c r="U62" s="369"/>
      <c r="V62" s="370"/>
      <c r="W62" s="370"/>
      <c r="X62" s="448">
        <f t="shared" si="5"/>
        <v>-1870</v>
      </c>
    </row>
    <row r="63" spans="1:24" ht="51.75" thickBot="1">
      <c r="A63" s="710" t="s">
        <v>538</v>
      </c>
      <c r="B63" s="664">
        <v>25000</v>
      </c>
      <c r="C63" s="664"/>
      <c r="D63" s="664"/>
      <c r="E63" s="664"/>
      <c r="F63" s="664">
        <v>-2000</v>
      </c>
      <c r="G63" s="664"/>
      <c r="H63" s="664"/>
      <c r="I63" s="664"/>
      <c r="J63" s="664"/>
      <c r="K63" s="664"/>
      <c r="L63" s="664"/>
      <c r="M63" s="664"/>
      <c r="N63" s="664"/>
      <c r="O63" s="664"/>
      <c r="P63" s="369"/>
      <c r="Q63" s="369"/>
      <c r="R63" s="369"/>
      <c r="S63" s="369"/>
      <c r="T63" s="369"/>
      <c r="U63" s="369"/>
      <c r="V63" s="370"/>
      <c r="W63" s="370"/>
      <c r="X63" s="448">
        <f t="shared" si="5"/>
        <v>23000</v>
      </c>
    </row>
    <row r="64" spans="1:24" ht="66.75" customHeight="1" thickBot="1">
      <c r="A64" s="693" t="s">
        <v>751</v>
      </c>
      <c r="B64" s="702">
        <f>B65</f>
        <v>1219</v>
      </c>
      <c r="C64" s="702"/>
      <c r="D64" s="702"/>
      <c r="E64" s="702"/>
      <c r="F64" s="702">
        <f>F65</f>
        <v>213</v>
      </c>
      <c r="G64" s="702">
        <f>G65</f>
        <v>30</v>
      </c>
      <c r="H64" s="702"/>
      <c r="I64" s="702"/>
      <c r="J64" s="702"/>
      <c r="K64" s="702"/>
      <c r="L64" s="702"/>
      <c r="M64" s="702"/>
      <c r="N64" s="702"/>
      <c r="O64" s="702"/>
      <c r="P64" s="455"/>
      <c r="Q64" s="455"/>
      <c r="R64" s="455"/>
      <c r="S64" s="455"/>
      <c r="T64" s="455"/>
      <c r="U64" s="455"/>
      <c r="V64" s="455"/>
      <c r="W64" s="455"/>
      <c r="X64" s="456">
        <f>SUM(B64:W64)</f>
        <v>1462</v>
      </c>
    </row>
    <row r="65" spans="1:24" ht="63" customHeight="1" thickBot="1">
      <c r="A65" s="704" t="s">
        <v>405</v>
      </c>
      <c r="B65" s="664">
        <v>1219</v>
      </c>
      <c r="C65" s="664"/>
      <c r="D65" s="664"/>
      <c r="E65" s="664"/>
      <c r="F65" s="664">
        <v>213</v>
      </c>
      <c r="G65" s="664">
        <v>30</v>
      </c>
      <c r="H65" s="664"/>
      <c r="I65" s="664"/>
      <c r="J65" s="664"/>
      <c r="K65" s="664"/>
      <c r="L65" s="664"/>
      <c r="M65" s="664"/>
      <c r="N65" s="664"/>
      <c r="O65" s="664"/>
      <c r="P65" s="369"/>
      <c r="Q65" s="369"/>
      <c r="R65" s="369"/>
      <c r="S65" s="369"/>
      <c r="T65" s="369"/>
      <c r="U65" s="369"/>
      <c r="V65" s="370"/>
      <c r="W65" s="370"/>
      <c r="X65" s="448">
        <f>SUM(B65:W65)</f>
        <v>1462</v>
      </c>
    </row>
    <row r="66" spans="1:24" ht="39" customHeight="1" thickBot="1">
      <c r="A66" s="693" t="s">
        <v>349</v>
      </c>
      <c r="B66" s="702">
        <f>SUM(B67:B75)</f>
        <v>-12200</v>
      </c>
      <c r="C66" s="702"/>
      <c r="D66" s="702"/>
      <c r="E66" s="702"/>
      <c r="F66" s="702">
        <f>SUM(F67:F75)</f>
        <v>-5230</v>
      </c>
      <c r="G66" s="702">
        <f>SUM(G67:G75)</f>
        <v>-130</v>
      </c>
      <c r="H66" s="702"/>
      <c r="I66" s="702"/>
      <c r="J66" s="702"/>
      <c r="K66" s="702"/>
      <c r="L66" s="702"/>
      <c r="M66" s="702"/>
      <c r="N66" s="702"/>
      <c r="O66" s="702"/>
      <c r="P66" s="455"/>
      <c r="Q66" s="455"/>
      <c r="R66" s="455"/>
      <c r="S66" s="455"/>
      <c r="T66" s="455"/>
      <c r="U66" s="455"/>
      <c r="V66" s="455"/>
      <c r="W66" s="455"/>
      <c r="X66" s="570">
        <f t="shared" si="5"/>
        <v>-17560</v>
      </c>
    </row>
    <row r="67" spans="1:24" ht="18" customHeight="1">
      <c r="A67" s="674" t="s">
        <v>583</v>
      </c>
      <c r="B67" s="664">
        <v>3000</v>
      </c>
      <c r="C67" s="664"/>
      <c r="D67" s="664"/>
      <c r="E67" s="664"/>
      <c r="F67" s="664">
        <v>-1000</v>
      </c>
      <c r="G67" s="664"/>
      <c r="H67" s="664"/>
      <c r="I67" s="664"/>
      <c r="J67" s="664"/>
      <c r="K67" s="664"/>
      <c r="L67" s="664"/>
      <c r="M67" s="664"/>
      <c r="N67" s="664"/>
      <c r="O67" s="664"/>
      <c r="P67" s="369"/>
      <c r="Q67" s="369"/>
      <c r="R67" s="369"/>
      <c r="S67" s="369"/>
      <c r="T67" s="369"/>
      <c r="U67" s="369"/>
      <c r="V67" s="370"/>
      <c r="W67" s="370"/>
      <c r="X67" s="448">
        <f t="shared" si="5"/>
        <v>2000</v>
      </c>
    </row>
    <row r="68" spans="1:24" ht="18" customHeight="1">
      <c r="A68" s="674" t="s">
        <v>724</v>
      </c>
      <c r="B68" s="664">
        <v>-1000</v>
      </c>
      <c r="C68" s="664"/>
      <c r="D68" s="664"/>
      <c r="E68" s="664"/>
      <c r="F68" s="664">
        <v>-500</v>
      </c>
      <c r="G68" s="664"/>
      <c r="H68" s="664"/>
      <c r="I68" s="664"/>
      <c r="J68" s="664"/>
      <c r="K68" s="664"/>
      <c r="L68" s="664"/>
      <c r="M68" s="664"/>
      <c r="N68" s="664"/>
      <c r="O68" s="664"/>
      <c r="P68" s="369"/>
      <c r="Q68" s="369"/>
      <c r="R68" s="369"/>
      <c r="S68" s="369"/>
      <c r="T68" s="369"/>
      <c r="U68" s="369"/>
      <c r="V68" s="370"/>
      <c r="W68" s="370"/>
      <c r="X68" s="448">
        <f t="shared" si="5"/>
        <v>-1500</v>
      </c>
    </row>
    <row r="69" spans="1:24" ht="25.5">
      <c r="A69" s="674" t="s">
        <v>517</v>
      </c>
      <c r="B69" s="664">
        <v>1400</v>
      </c>
      <c r="C69" s="664"/>
      <c r="D69" s="664"/>
      <c r="E69" s="664"/>
      <c r="F69" s="664"/>
      <c r="G69" s="664"/>
      <c r="H69" s="664"/>
      <c r="I69" s="664"/>
      <c r="J69" s="664"/>
      <c r="K69" s="664"/>
      <c r="L69" s="664"/>
      <c r="M69" s="664"/>
      <c r="N69" s="664"/>
      <c r="O69" s="664"/>
      <c r="P69" s="369"/>
      <c r="Q69" s="369"/>
      <c r="R69" s="369"/>
      <c r="S69" s="369"/>
      <c r="T69" s="369"/>
      <c r="U69" s="369"/>
      <c r="V69" s="370"/>
      <c r="W69" s="370"/>
      <c r="X69" s="448">
        <f t="shared" si="5"/>
        <v>1400</v>
      </c>
    </row>
    <row r="70" spans="1:24" ht="18" customHeight="1">
      <c r="A70" s="674" t="s">
        <v>527</v>
      </c>
      <c r="B70" s="664">
        <v>1800</v>
      </c>
      <c r="C70" s="664"/>
      <c r="D70" s="664"/>
      <c r="E70" s="664"/>
      <c r="F70" s="664"/>
      <c r="G70" s="664"/>
      <c r="H70" s="664"/>
      <c r="I70" s="664"/>
      <c r="J70" s="664"/>
      <c r="K70" s="664"/>
      <c r="L70" s="664"/>
      <c r="M70" s="664"/>
      <c r="N70" s="664"/>
      <c r="O70" s="664"/>
      <c r="P70" s="369"/>
      <c r="Q70" s="369"/>
      <c r="R70" s="369"/>
      <c r="S70" s="369"/>
      <c r="T70" s="369"/>
      <c r="U70" s="369"/>
      <c r="V70" s="370"/>
      <c r="W70" s="370"/>
      <c r="X70" s="448">
        <f t="shared" si="5"/>
        <v>1800</v>
      </c>
    </row>
    <row r="71" spans="1:24" ht="18" customHeight="1">
      <c r="A71" s="674" t="s">
        <v>579</v>
      </c>
      <c r="B71" s="664">
        <v>-1500</v>
      </c>
      <c r="C71" s="664"/>
      <c r="D71" s="664"/>
      <c r="E71" s="664"/>
      <c r="F71" s="664"/>
      <c r="G71" s="664"/>
      <c r="H71" s="664"/>
      <c r="I71" s="664"/>
      <c r="J71" s="664"/>
      <c r="K71" s="664"/>
      <c r="L71" s="664"/>
      <c r="M71" s="664"/>
      <c r="N71" s="664"/>
      <c r="O71" s="664"/>
      <c r="P71" s="369"/>
      <c r="Q71" s="369"/>
      <c r="R71" s="369"/>
      <c r="S71" s="369"/>
      <c r="T71" s="369"/>
      <c r="U71" s="369"/>
      <c r="V71" s="370"/>
      <c r="W71" s="370"/>
      <c r="X71" s="448">
        <f t="shared" si="5"/>
        <v>-1500</v>
      </c>
    </row>
    <row r="72" spans="1:24" ht="18" customHeight="1">
      <c r="A72" s="674" t="s">
        <v>794</v>
      </c>
      <c r="B72" s="664">
        <v>-19900</v>
      </c>
      <c r="C72" s="664"/>
      <c r="D72" s="664"/>
      <c r="E72" s="664"/>
      <c r="F72" s="664">
        <v>-3000</v>
      </c>
      <c r="G72" s="664">
        <v>-330</v>
      </c>
      <c r="H72" s="664"/>
      <c r="I72" s="664"/>
      <c r="J72" s="664"/>
      <c r="K72" s="664"/>
      <c r="L72" s="664"/>
      <c r="M72" s="664"/>
      <c r="N72" s="664"/>
      <c r="O72" s="664"/>
      <c r="P72" s="369"/>
      <c r="Q72" s="369"/>
      <c r="R72" s="369"/>
      <c r="S72" s="369"/>
      <c r="T72" s="369"/>
      <c r="U72" s="369"/>
      <c r="V72" s="370"/>
      <c r="W72" s="370"/>
      <c r="X72" s="448">
        <f>SUM(B72:W72)</f>
        <v>-23230</v>
      </c>
    </row>
    <row r="73" spans="1:24" ht="18" customHeight="1">
      <c r="A73" s="674" t="s">
        <v>99</v>
      </c>
      <c r="B73" s="369"/>
      <c r="C73" s="369"/>
      <c r="D73" s="369"/>
      <c r="E73" s="369"/>
      <c r="F73" s="369">
        <v>750</v>
      </c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70"/>
      <c r="W73" s="370"/>
      <c r="X73" s="448">
        <f t="shared" si="5"/>
        <v>750</v>
      </c>
    </row>
    <row r="74" spans="1:24" ht="18" customHeight="1">
      <c r="A74" s="674" t="s">
        <v>100</v>
      </c>
      <c r="B74" s="369">
        <v>-1000</v>
      </c>
      <c r="C74" s="369"/>
      <c r="D74" s="369"/>
      <c r="E74" s="369"/>
      <c r="F74" s="369">
        <v>520</v>
      </c>
      <c r="G74" s="369">
        <v>200</v>
      </c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70"/>
      <c r="W74" s="370"/>
      <c r="X74" s="448">
        <f t="shared" si="5"/>
        <v>-280</v>
      </c>
    </row>
    <row r="75" spans="1:24" ht="18" customHeight="1" thickBot="1">
      <c r="A75" s="674" t="s">
        <v>101</v>
      </c>
      <c r="B75" s="92">
        <v>5000</v>
      </c>
      <c r="C75" s="92"/>
      <c r="D75" s="92"/>
      <c r="E75" s="92"/>
      <c r="F75" s="92">
        <v>-2000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616"/>
      <c r="W75" s="616"/>
      <c r="X75" s="448">
        <f t="shared" si="5"/>
        <v>3000</v>
      </c>
    </row>
    <row r="76" spans="1:24" s="1475" customFormat="1" ht="18" customHeight="1" thickBot="1">
      <c r="A76" s="693" t="s">
        <v>188</v>
      </c>
      <c r="B76" s="702">
        <f>SUM(B77:B137)</f>
        <v>500000</v>
      </c>
      <c r="C76" s="702"/>
      <c r="D76" s="702">
        <f aca="true" t="shared" si="6" ref="D76:W76">SUM(D77:D137)</f>
        <v>0</v>
      </c>
      <c r="E76" s="702">
        <f t="shared" si="6"/>
        <v>0</v>
      </c>
      <c r="F76" s="702">
        <f t="shared" si="6"/>
        <v>148000</v>
      </c>
      <c r="G76" s="702">
        <f t="shared" si="6"/>
        <v>40000</v>
      </c>
      <c r="H76" s="702">
        <f t="shared" si="6"/>
        <v>158</v>
      </c>
      <c r="I76" s="702">
        <f t="shared" si="6"/>
        <v>0</v>
      </c>
      <c r="J76" s="702">
        <f t="shared" si="6"/>
        <v>0</v>
      </c>
      <c r="K76" s="702">
        <f t="shared" si="6"/>
        <v>0</v>
      </c>
      <c r="L76" s="702">
        <f t="shared" si="6"/>
        <v>0</v>
      </c>
      <c r="M76" s="702">
        <f t="shared" si="6"/>
        <v>-1109</v>
      </c>
      <c r="N76" s="702">
        <f t="shared" si="6"/>
        <v>1973</v>
      </c>
      <c r="O76" s="702">
        <f t="shared" si="6"/>
        <v>0</v>
      </c>
      <c r="P76" s="702">
        <f t="shared" si="6"/>
        <v>1330</v>
      </c>
      <c r="Q76" s="702">
        <f t="shared" si="6"/>
        <v>100000</v>
      </c>
      <c r="R76" s="702">
        <f t="shared" si="6"/>
        <v>174563</v>
      </c>
      <c r="S76" s="702">
        <f t="shared" si="6"/>
        <v>471</v>
      </c>
      <c r="T76" s="702">
        <f t="shared" si="6"/>
        <v>4764</v>
      </c>
      <c r="U76" s="702">
        <f t="shared" si="6"/>
        <v>0</v>
      </c>
      <c r="V76" s="702">
        <f t="shared" si="6"/>
        <v>0</v>
      </c>
      <c r="W76" s="702">
        <f t="shared" si="6"/>
        <v>-150</v>
      </c>
      <c r="X76" s="688">
        <f t="shared" si="5"/>
        <v>970000</v>
      </c>
    </row>
    <row r="77" spans="1:24" s="1401" customFormat="1" ht="18" customHeight="1">
      <c r="A77" s="674" t="s">
        <v>497</v>
      </c>
      <c r="B77" s="664">
        <v>7819</v>
      </c>
      <c r="C77" s="664"/>
      <c r="D77" s="664"/>
      <c r="E77" s="664"/>
      <c r="F77" s="664"/>
      <c r="G77" s="664">
        <v>909</v>
      </c>
      <c r="H77" s="664"/>
      <c r="I77" s="664"/>
      <c r="J77" s="664"/>
      <c r="K77" s="664"/>
      <c r="L77" s="664"/>
      <c r="M77" s="664">
        <v>-45</v>
      </c>
      <c r="N77" s="664"/>
      <c r="O77" s="664"/>
      <c r="P77" s="664"/>
      <c r="Q77" s="664">
        <v>2459</v>
      </c>
      <c r="R77" s="664"/>
      <c r="S77" s="664"/>
      <c r="T77" s="664">
        <v>200</v>
      </c>
      <c r="U77" s="664"/>
      <c r="V77" s="1476"/>
      <c r="W77" s="1476"/>
      <c r="X77" s="666">
        <f t="shared" si="5"/>
        <v>11342</v>
      </c>
    </row>
    <row r="78" spans="1:24" s="1401" customFormat="1" ht="18" customHeight="1">
      <c r="A78" s="674" t="s">
        <v>361</v>
      </c>
      <c r="B78" s="664">
        <v>11837</v>
      </c>
      <c r="C78" s="664"/>
      <c r="D78" s="664"/>
      <c r="E78" s="664"/>
      <c r="F78" s="664">
        <v>2591</v>
      </c>
      <c r="G78" s="664">
        <v>1405</v>
      </c>
      <c r="H78" s="664"/>
      <c r="I78" s="664"/>
      <c r="J78" s="664"/>
      <c r="K78" s="664"/>
      <c r="L78" s="664"/>
      <c r="M78" s="664"/>
      <c r="N78" s="664"/>
      <c r="O78" s="664"/>
      <c r="P78" s="664"/>
      <c r="Q78" s="664">
        <v>1162</v>
      </c>
      <c r="R78" s="664"/>
      <c r="S78" s="664">
        <v>185</v>
      </c>
      <c r="T78" s="664"/>
      <c r="U78" s="664"/>
      <c r="V78" s="1476"/>
      <c r="W78" s="1476"/>
      <c r="X78" s="666">
        <f t="shared" si="5"/>
        <v>17180</v>
      </c>
    </row>
    <row r="79" spans="1:24" s="1401" customFormat="1" ht="18" customHeight="1">
      <c r="A79" s="674" t="s">
        <v>519</v>
      </c>
      <c r="B79" s="664">
        <v>4417</v>
      </c>
      <c r="C79" s="664"/>
      <c r="D79" s="664"/>
      <c r="E79" s="664"/>
      <c r="F79" s="664">
        <v>6250</v>
      </c>
      <c r="G79" s="664">
        <v>1224</v>
      </c>
      <c r="H79" s="664"/>
      <c r="I79" s="664"/>
      <c r="J79" s="664"/>
      <c r="K79" s="664"/>
      <c r="L79" s="664"/>
      <c r="M79" s="664"/>
      <c r="N79" s="664"/>
      <c r="O79" s="664"/>
      <c r="P79" s="664"/>
      <c r="Q79" s="664">
        <v>480</v>
      </c>
      <c r="R79" s="664">
        <v>5000</v>
      </c>
      <c r="S79" s="664"/>
      <c r="T79" s="664"/>
      <c r="U79" s="664"/>
      <c r="V79" s="1476"/>
      <c r="W79" s="1476"/>
      <c r="X79" s="666">
        <f t="shared" si="5"/>
        <v>17371</v>
      </c>
    </row>
    <row r="80" spans="1:24" s="1401" customFormat="1" ht="18" customHeight="1">
      <c r="A80" s="674" t="s">
        <v>362</v>
      </c>
      <c r="B80" s="664">
        <v>11992</v>
      </c>
      <c r="C80" s="664"/>
      <c r="D80" s="664"/>
      <c r="E80" s="664"/>
      <c r="F80" s="664"/>
      <c r="G80" s="664">
        <v>1401</v>
      </c>
      <c r="H80" s="664"/>
      <c r="I80" s="664"/>
      <c r="J80" s="664"/>
      <c r="K80" s="664"/>
      <c r="L80" s="664"/>
      <c r="M80" s="664">
        <v>-20</v>
      </c>
      <c r="N80" s="664"/>
      <c r="O80" s="664"/>
      <c r="P80" s="664"/>
      <c r="Q80" s="664">
        <v>2516</v>
      </c>
      <c r="R80" s="664">
        <v>9000</v>
      </c>
      <c r="S80" s="664"/>
      <c r="T80" s="664"/>
      <c r="U80" s="664"/>
      <c r="V80" s="1476"/>
      <c r="W80" s="1476"/>
      <c r="X80" s="666">
        <f t="shared" si="5"/>
        <v>24889</v>
      </c>
    </row>
    <row r="81" spans="1:24" s="1401" customFormat="1" ht="18" customHeight="1">
      <c r="A81" s="674" t="s">
        <v>363</v>
      </c>
      <c r="B81" s="664">
        <v>5393</v>
      </c>
      <c r="C81" s="664"/>
      <c r="D81" s="664"/>
      <c r="E81" s="664"/>
      <c r="F81" s="664"/>
      <c r="G81" s="664">
        <v>574</v>
      </c>
      <c r="H81" s="664"/>
      <c r="I81" s="664"/>
      <c r="J81" s="664"/>
      <c r="K81" s="664"/>
      <c r="L81" s="664"/>
      <c r="M81" s="664"/>
      <c r="N81" s="664"/>
      <c r="O81" s="664"/>
      <c r="P81" s="664"/>
      <c r="Q81" s="664">
        <v>687</v>
      </c>
      <c r="R81" s="664"/>
      <c r="S81" s="664"/>
      <c r="T81" s="664"/>
      <c r="U81" s="664"/>
      <c r="V81" s="1476"/>
      <c r="W81" s="1476"/>
      <c r="X81" s="666">
        <f t="shared" si="5"/>
        <v>6654</v>
      </c>
    </row>
    <row r="82" spans="1:24" s="1401" customFormat="1" ht="18" customHeight="1">
      <c r="A82" s="674" t="s">
        <v>364</v>
      </c>
      <c r="B82" s="664">
        <v>11151</v>
      </c>
      <c r="C82" s="664"/>
      <c r="D82" s="664"/>
      <c r="E82" s="664"/>
      <c r="F82" s="664"/>
      <c r="G82" s="664">
        <v>1111</v>
      </c>
      <c r="H82" s="664"/>
      <c r="I82" s="664"/>
      <c r="J82" s="664"/>
      <c r="K82" s="664"/>
      <c r="L82" s="664"/>
      <c r="M82" s="664"/>
      <c r="N82" s="664"/>
      <c r="O82" s="664"/>
      <c r="P82" s="664"/>
      <c r="Q82" s="664">
        <v>2073</v>
      </c>
      <c r="R82" s="664"/>
      <c r="S82" s="664"/>
      <c r="T82" s="664">
        <v>-1000</v>
      </c>
      <c r="U82" s="664"/>
      <c r="V82" s="1476"/>
      <c r="W82" s="1476"/>
      <c r="X82" s="666">
        <f t="shared" si="5"/>
        <v>13335</v>
      </c>
    </row>
    <row r="83" spans="1:24" s="1401" customFormat="1" ht="18" customHeight="1">
      <c r="A83" s="674" t="s">
        <v>365</v>
      </c>
      <c r="B83" s="664">
        <v>9550</v>
      </c>
      <c r="C83" s="664"/>
      <c r="D83" s="664"/>
      <c r="E83" s="664"/>
      <c r="F83" s="664"/>
      <c r="G83" s="664">
        <v>182</v>
      </c>
      <c r="H83" s="664"/>
      <c r="I83" s="664"/>
      <c r="J83" s="664"/>
      <c r="K83" s="664"/>
      <c r="L83" s="664"/>
      <c r="M83" s="664">
        <v>-180</v>
      </c>
      <c r="N83" s="664"/>
      <c r="O83" s="664"/>
      <c r="P83" s="664"/>
      <c r="Q83" s="664">
        <v>2110</v>
      </c>
      <c r="R83" s="664"/>
      <c r="S83" s="664"/>
      <c r="T83" s="664"/>
      <c r="U83" s="664"/>
      <c r="V83" s="1476"/>
      <c r="W83" s="1476"/>
      <c r="X83" s="666">
        <f t="shared" si="5"/>
        <v>11662</v>
      </c>
    </row>
    <row r="84" spans="1:24" s="1401" customFormat="1" ht="18" customHeight="1">
      <c r="A84" s="674" t="s">
        <v>520</v>
      </c>
      <c r="B84" s="664">
        <v>3275</v>
      </c>
      <c r="C84" s="664"/>
      <c r="D84" s="664"/>
      <c r="E84" s="664"/>
      <c r="F84" s="664"/>
      <c r="G84" s="664">
        <v>38</v>
      </c>
      <c r="H84" s="664"/>
      <c r="I84" s="664"/>
      <c r="J84" s="664"/>
      <c r="K84" s="664"/>
      <c r="L84" s="664"/>
      <c r="M84" s="664"/>
      <c r="N84" s="664"/>
      <c r="O84" s="664"/>
      <c r="P84" s="664"/>
      <c r="Q84" s="664">
        <v>865</v>
      </c>
      <c r="R84" s="664"/>
      <c r="S84" s="664"/>
      <c r="T84" s="664">
        <v>-300</v>
      </c>
      <c r="U84" s="664"/>
      <c r="V84" s="1476"/>
      <c r="W84" s="1476"/>
      <c r="X84" s="666">
        <f t="shared" si="5"/>
        <v>3878</v>
      </c>
    </row>
    <row r="85" spans="1:24" s="1401" customFormat="1" ht="18" customHeight="1">
      <c r="A85" s="674" t="s">
        <v>366</v>
      </c>
      <c r="B85" s="664">
        <v>1752</v>
      </c>
      <c r="C85" s="664"/>
      <c r="D85" s="664"/>
      <c r="E85" s="664"/>
      <c r="F85" s="664"/>
      <c r="G85" s="664">
        <v>159</v>
      </c>
      <c r="H85" s="664"/>
      <c r="I85" s="664"/>
      <c r="J85" s="664"/>
      <c r="K85" s="664"/>
      <c r="L85" s="664"/>
      <c r="M85" s="664"/>
      <c r="N85" s="664"/>
      <c r="O85" s="664"/>
      <c r="P85" s="664">
        <v>530</v>
      </c>
      <c r="Q85" s="664">
        <v>658</v>
      </c>
      <c r="R85" s="664"/>
      <c r="S85" s="664">
        <v>180</v>
      </c>
      <c r="T85" s="664">
        <v>1200</v>
      </c>
      <c r="U85" s="664"/>
      <c r="V85" s="1476"/>
      <c r="W85" s="1476"/>
      <c r="X85" s="666">
        <f t="shared" si="5"/>
        <v>4479</v>
      </c>
    </row>
    <row r="86" spans="1:24" s="1401" customFormat="1" ht="18" customHeight="1">
      <c r="A86" s="674" t="s">
        <v>367</v>
      </c>
      <c r="B86" s="664">
        <v>2077</v>
      </c>
      <c r="C86" s="664"/>
      <c r="D86" s="664"/>
      <c r="E86" s="664"/>
      <c r="F86" s="664">
        <v>6021</v>
      </c>
      <c r="G86" s="664">
        <v>824</v>
      </c>
      <c r="H86" s="664"/>
      <c r="I86" s="664"/>
      <c r="J86" s="664"/>
      <c r="K86" s="664"/>
      <c r="L86" s="664"/>
      <c r="M86" s="664"/>
      <c r="N86" s="664"/>
      <c r="O86" s="664"/>
      <c r="P86" s="664"/>
      <c r="Q86" s="664">
        <v>2012</v>
      </c>
      <c r="R86" s="664"/>
      <c r="S86" s="664"/>
      <c r="T86" s="664"/>
      <c r="U86" s="664"/>
      <c r="V86" s="1476"/>
      <c r="W86" s="1476"/>
      <c r="X86" s="666">
        <f t="shared" si="5"/>
        <v>10934</v>
      </c>
    </row>
    <row r="87" spans="1:24" s="1401" customFormat="1" ht="18" customHeight="1">
      <c r="A87" s="674" t="s">
        <v>368</v>
      </c>
      <c r="B87" s="664">
        <v>42</v>
      </c>
      <c r="C87" s="664"/>
      <c r="D87" s="664"/>
      <c r="E87" s="664"/>
      <c r="F87" s="664"/>
      <c r="G87" s="664"/>
      <c r="H87" s="664"/>
      <c r="I87" s="664"/>
      <c r="J87" s="664"/>
      <c r="K87" s="664"/>
      <c r="L87" s="664"/>
      <c r="M87" s="664"/>
      <c r="N87" s="664">
        <v>134</v>
      </c>
      <c r="O87" s="664"/>
      <c r="P87" s="664"/>
      <c r="Q87" s="664">
        <v>1635</v>
      </c>
      <c r="R87" s="664">
        <v>12000</v>
      </c>
      <c r="S87" s="664"/>
      <c r="T87" s="664">
        <v>500</v>
      </c>
      <c r="U87" s="664"/>
      <c r="V87" s="1476"/>
      <c r="W87" s="1476"/>
      <c r="X87" s="666">
        <f t="shared" si="5"/>
        <v>14311</v>
      </c>
    </row>
    <row r="88" spans="1:24" s="1401" customFormat="1" ht="18" customHeight="1">
      <c r="A88" s="674" t="s">
        <v>369</v>
      </c>
      <c r="B88" s="664">
        <v>10382</v>
      </c>
      <c r="C88" s="664"/>
      <c r="D88" s="664"/>
      <c r="E88" s="664"/>
      <c r="F88" s="664">
        <v>1905</v>
      </c>
      <c r="G88" s="664">
        <v>506</v>
      </c>
      <c r="H88" s="664"/>
      <c r="I88" s="664"/>
      <c r="J88" s="664"/>
      <c r="K88" s="664"/>
      <c r="L88" s="664"/>
      <c r="M88" s="664"/>
      <c r="N88" s="664"/>
      <c r="O88" s="664"/>
      <c r="P88" s="664"/>
      <c r="Q88" s="664">
        <v>458</v>
      </c>
      <c r="R88" s="664"/>
      <c r="S88" s="664"/>
      <c r="T88" s="664">
        <v>500</v>
      </c>
      <c r="U88" s="664"/>
      <c r="V88" s="1476"/>
      <c r="W88" s="1476"/>
      <c r="X88" s="666">
        <f t="shared" si="5"/>
        <v>13751</v>
      </c>
    </row>
    <row r="89" spans="1:24" s="1401" customFormat="1" ht="18" customHeight="1">
      <c r="A89" s="674" t="s">
        <v>273</v>
      </c>
      <c r="B89" s="664"/>
      <c r="C89" s="664"/>
      <c r="D89" s="664"/>
      <c r="E89" s="664"/>
      <c r="F89" s="664"/>
      <c r="G89" s="664"/>
      <c r="H89" s="664"/>
      <c r="I89" s="664"/>
      <c r="J89" s="664"/>
      <c r="K89" s="664"/>
      <c r="L89" s="664"/>
      <c r="M89" s="664"/>
      <c r="N89" s="664"/>
      <c r="O89" s="664"/>
      <c r="P89" s="664"/>
      <c r="Q89" s="664">
        <v>348</v>
      </c>
      <c r="R89" s="664"/>
      <c r="S89" s="664">
        <v>1</v>
      </c>
      <c r="T89" s="664">
        <v>-1000</v>
      </c>
      <c r="U89" s="664"/>
      <c r="V89" s="1476"/>
      <c r="W89" s="1476"/>
      <c r="X89" s="666">
        <f aca="true" t="shared" si="7" ref="X89:X151">SUM(B89:W89)</f>
        <v>-651</v>
      </c>
    </row>
    <row r="90" spans="1:24" s="1401" customFormat="1" ht="18" customHeight="1">
      <c r="A90" s="674" t="s">
        <v>370</v>
      </c>
      <c r="B90" s="664">
        <v>7815</v>
      </c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>
        <v>2374</v>
      </c>
      <c r="R90" s="664"/>
      <c r="S90" s="664"/>
      <c r="T90" s="664">
        <v>-500</v>
      </c>
      <c r="U90" s="664"/>
      <c r="V90" s="1476"/>
      <c r="W90" s="1476"/>
      <c r="X90" s="666">
        <f t="shared" si="7"/>
        <v>9689</v>
      </c>
    </row>
    <row r="91" spans="1:24" s="1401" customFormat="1" ht="18" customHeight="1">
      <c r="A91" s="674" t="s">
        <v>371</v>
      </c>
      <c r="B91" s="664">
        <v>451</v>
      </c>
      <c r="C91" s="664"/>
      <c r="D91" s="664"/>
      <c r="E91" s="664"/>
      <c r="F91" s="664"/>
      <c r="G91" s="664"/>
      <c r="H91" s="664"/>
      <c r="I91" s="664"/>
      <c r="J91" s="664"/>
      <c r="K91" s="664"/>
      <c r="L91" s="664"/>
      <c r="M91" s="664"/>
      <c r="N91" s="664"/>
      <c r="O91" s="664"/>
      <c r="P91" s="664"/>
      <c r="Q91" s="664">
        <v>1587</v>
      </c>
      <c r="R91" s="664"/>
      <c r="S91" s="664"/>
      <c r="T91" s="664"/>
      <c r="U91" s="664"/>
      <c r="V91" s="1476"/>
      <c r="W91" s="1476"/>
      <c r="X91" s="666">
        <f t="shared" si="7"/>
        <v>2038</v>
      </c>
    </row>
    <row r="92" spans="1:24" s="1401" customFormat="1" ht="18" customHeight="1">
      <c r="A92" s="674" t="s">
        <v>372</v>
      </c>
      <c r="B92" s="664">
        <v>6162</v>
      </c>
      <c r="C92" s="664"/>
      <c r="D92" s="664"/>
      <c r="E92" s="664"/>
      <c r="F92" s="664">
        <v>229</v>
      </c>
      <c r="G92" s="664">
        <v>420</v>
      </c>
      <c r="H92" s="664"/>
      <c r="I92" s="664"/>
      <c r="J92" s="664"/>
      <c r="K92" s="664"/>
      <c r="L92" s="664"/>
      <c r="M92" s="664"/>
      <c r="N92" s="664"/>
      <c r="O92" s="664"/>
      <c r="P92" s="664"/>
      <c r="Q92" s="664">
        <v>939</v>
      </c>
      <c r="R92" s="664"/>
      <c r="S92" s="664"/>
      <c r="T92" s="664"/>
      <c r="U92" s="664"/>
      <c r="V92" s="1476"/>
      <c r="W92" s="1476"/>
      <c r="X92" s="666">
        <f t="shared" si="7"/>
        <v>7750</v>
      </c>
    </row>
    <row r="93" spans="1:24" s="1401" customFormat="1" ht="18" customHeight="1">
      <c r="A93" s="674" t="s">
        <v>521</v>
      </c>
      <c r="B93" s="664">
        <v>9079</v>
      </c>
      <c r="C93" s="664"/>
      <c r="D93" s="664"/>
      <c r="E93" s="664"/>
      <c r="F93" s="664">
        <v>6402</v>
      </c>
      <c r="G93" s="664">
        <v>1019</v>
      </c>
      <c r="H93" s="664"/>
      <c r="I93" s="664"/>
      <c r="J93" s="664"/>
      <c r="K93" s="664"/>
      <c r="L93" s="664"/>
      <c r="M93" s="664"/>
      <c r="N93" s="664"/>
      <c r="O93" s="664"/>
      <c r="P93" s="664"/>
      <c r="Q93" s="664">
        <v>816</v>
      </c>
      <c r="R93" s="664"/>
      <c r="S93" s="664"/>
      <c r="T93" s="664">
        <v>-600</v>
      </c>
      <c r="U93" s="664"/>
      <c r="V93" s="1476"/>
      <c r="W93" s="1476"/>
      <c r="X93" s="666">
        <f t="shared" si="7"/>
        <v>16716</v>
      </c>
    </row>
    <row r="94" spans="1:24" s="1401" customFormat="1" ht="18" customHeight="1">
      <c r="A94" s="674" t="s">
        <v>373</v>
      </c>
      <c r="B94" s="664">
        <v>1831</v>
      </c>
      <c r="C94" s="664"/>
      <c r="D94" s="664"/>
      <c r="E94" s="664"/>
      <c r="F94" s="664">
        <v>1219</v>
      </c>
      <c r="G94" s="664"/>
      <c r="H94" s="664"/>
      <c r="I94" s="664"/>
      <c r="J94" s="664"/>
      <c r="K94" s="664"/>
      <c r="L94" s="664"/>
      <c r="M94" s="664"/>
      <c r="N94" s="664"/>
      <c r="O94" s="664"/>
      <c r="P94" s="664"/>
      <c r="Q94" s="664">
        <v>1517</v>
      </c>
      <c r="R94" s="664"/>
      <c r="S94" s="664"/>
      <c r="T94" s="664">
        <v>18000</v>
      </c>
      <c r="U94" s="664"/>
      <c r="V94" s="1476"/>
      <c r="W94" s="1476"/>
      <c r="X94" s="666">
        <f t="shared" si="7"/>
        <v>22567</v>
      </c>
    </row>
    <row r="95" spans="1:24" s="1401" customFormat="1" ht="18" customHeight="1">
      <c r="A95" s="674" t="s">
        <v>374</v>
      </c>
      <c r="B95" s="664">
        <v>6742</v>
      </c>
      <c r="C95" s="664"/>
      <c r="D95" s="664"/>
      <c r="E95" s="664"/>
      <c r="F95" s="664">
        <v>380</v>
      </c>
      <c r="G95" s="664">
        <v>459</v>
      </c>
      <c r="H95" s="664"/>
      <c r="I95" s="664"/>
      <c r="J95" s="664"/>
      <c r="K95" s="664"/>
      <c r="L95" s="664"/>
      <c r="M95" s="664"/>
      <c r="N95" s="664">
        <v>73</v>
      </c>
      <c r="O95" s="664"/>
      <c r="P95" s="664"/>
      <c r="Q95" s="664">
        <v>1536</v>
      </c>
      <c r="R95" s="664"/>
      <c r="S95" s="664"/>
      <c r="T95" s="664">
        <v>-500</v>
      </c>
      <c r="U95" s="664"/>
      <c r="V95" s="1476"/>
      <c r="W95" s="1476"/>
      <c r="X95" s="666">
        <f t="shared" si="7"/>
        <v>8690</v>
      </c>
    </row>
    <row r="96" spans="1:24" s="1401" customFormat="1" ht="18" customHeight="1">
      <c r="A96" s="674" t="s">
        <v>494</v>
      </c>
      <c r="B96" s="664">
        <v>2139</v>
      </c>
      <c r="C96" s="664"/>
      <c r="D96" s="664"/>
      <c r="E96" s="664"/>
      <c r="F96" s="664">
        <v>1829</v>
      </c>
      <c r="G96" s="664">
        <v>719</v>
      </c>
      <c r="H96" s="664"/>
      <c r="I96" s="664"/>
      <c r="J96" s="664"/>
      <c r="K96" s="664"/>
      <c r="L96" s="664"/>
      <c r="M96" s="664">
        <v>-51</v>
      </c>
      <c r="N96" s="664"/>
      <c r="O96" s="664"/>
      <c r="P96" s="664"/>
      <c r="Q96" s="664">
        <v>3316</v>
      </c>
      <c r="R96" s="664"/>
      <c r="S96" s="664"/>
      <c r="T96" s="664">
        <v>1500</v>
      </c>
      <c r="U96" s="664"/>
      <c r="V96" s="1476"/>
      <c r="W96" s="1476"/>
      <c r="X96" s="666">
        <f t="shared" si="7"/>
        <v>9452</v>
      </c>
    </row>
    <row r="97" spans="1:24" s="1401" customFormat="1" ht="18" customHeight="1">
      <c r="A97" s="674" t="s">
        <v>498</v>
      </c>
      <c r="B97" s="664">
        <v>8541</v>
      </c>
      <c r="C97" s="664"/>
      <c r="D97" s="664"/>
      <c r="E97" s="664"/>
      <c r="F97" s="664">
        <v>10213</v>
      </c>
      <c r="G97" s="664">
        <v>661</v>
      </c>
      <c r="H97" s="664"/>
      <c r="I97" s="664"/>
      <c r="J97" s="664"/>
      <c r="K97" s="664"/>
      <c r="L97" s="664"/>
      <c r="M97" s="664">
        <v>-29</v>
      </c>
      <c r="N97" s="664"/>
      <c r="O97" s="664"/>
      <c r="P97" s="664"/>
      <c r="Q97" s="664">
        <v>3001</v>
      </c>
      <c r="R97" s="664"/>
      <c r="S97" s="664"/>
      <c r="T97" s="664">
        <v>-1600</v>
      </c>
      <c r="U97" s="664"/>
      <c r="V97" s="1476"/>
      <c r="W97" s="1476"/>
      <c r="X97" s="666">
        <f t="shared" si="7"/>
        <v>20787</v>
      </c>
    </row>
    <row r="98" spans="1:24" s="1401" customFormat="1" ht="18" customHeight="1">
      <c r="A98" s="674" t="s">
        <v>375</v>
      </c>
      <c r="B98" s="664">
        <v>5983</v>
      </c>
      <c r="C98" s="664"/>
      <c r="D98" s="664"/>
      <c r="E98" s="664"/>
      <c r="F98" s="664">
        <v>2591</v>
      </c>
      <c r="G98" s="664">
        <v>777</v>
      </c>
      <c r="H98" s="664"/>
      <c r="I98" s="664"/>
      <c r="J98" s="664"/>
      <c r="K98" s="664"/>
      <c r="L98" s="664"/>
      <c r="M98" s="664"/>
      <c r="N98" s="664"/>
      <c r="O98" s="664"/>
      <c r="P98" s="664"/>
      <c r="Q98" s="664">
        <v>1518</v>
      </c>
      <c r="R98" s="664">
        <v>98</v>
      </c>
      <c r="S98" s="664"/>
      <c r="T98" s="664">
        <v>-98</v>
      </c>
      <c r="U98" s="664"/>
      <c r="V98" s="1476"/>
      <c r="W98" s="1476"/>
      <c r="X98" s="666">
        <f t="shared" si="7"/>
        <v>10869</v>
      </c>
    </row>
    <row r="99" spans="1:24" s="1401" customFormat="1" ht="18" customHeight="1">
      <c r="A99" s="674" t="s">
        <v>376</v>
      </c>
      <c r="B99" s="664">
        <v>8529</v>
      </c>
      <c r="C99" s="664"/>
      <c r="D99" s="664"/>
      <c r="E99" s="664"/>
      <c r="F99" s="664">
        <v>762</v>
      </c>
      <c r="G99" s="664">
        <v>482</v>
      </c>
      <c r="H99" s="664"/>
      <c r="I99" s="664"/>
      <c r="J99" s="664"/>
      <c r="K99" s="664"/>
      <c r="L99" s="664"/>
      <c r="M99" s="664"/>
      <c r="N99" s="664">
        <v>950</v>
      </c>
      <c r="O99" s="664"/>
      <c r="P99" s="664"/>
      <c r="Q99" s="664">
        <v>1833</v>
      </c>
      <c r="R99" s="664">
        <v>-950</v>
      </c>
      <c r="S99" s="664"/>
      <c r="T99" s="664"/>
      <c r="U99" s="664"/>
      <c r="V99" s="1476"/>
      <c r="W99" s="1476"/>
      <c r="X99" s="666">
        <f t="shared" si="7"/>
        <v>11606</v>
      </c>
    </row>
    <row r="100" spans="1:24" s="1401" customFormat="1" ht="18" customHeight="1">
      <c r="A100" s="674" t="s">
        <v>377</v>
      </c>
      <c r="B100" s="664">
        <v>2980</v>
      </c>
      <c r="C100" s="664"/>
      <c r="D100" s="664"/>
      <c r="E100" s="664"/>
      <c r="F100" s="664"/>
      <c r="G100" s="664"/>
      <c r="H100" s="664"/>
      <c r="I100" s="664"/>
      <c r="J100" s="664"/>
      <c r="K100" s="664"/>
      <c r="L100" s="664"/>
      <c r="M100" s="664">
        <v>2</v>
      </c>
      <c r="N100" s="664"/>
      <c r="O100" s="664"/>
      <c r="P100" s="664"/>
      <c r="Q100" s="664">
        <v>2437</v>
      </c>
      <c r="R100" s="664"/>
      <c r="S100" s="664"/>
      <c r="T100" s="664"/>
      <c r="U100" s="664"/>
      <c r="V100" s="1476"/>
      <c r="W100" s="1476"/>
      <c r="X100" s="666">
        <f t="shared" si="7"/>
        <v>5419</v>
      </c>
    </row>
    <row r="101" spans="1:24" s="1401" customFormat="1" ht="18" customHeight="1">
      <c r="A101" s="674" t="s">
        <v>274</v>
      </c>
      <c r="B101" s="664">
        <v>12238</v>
      </c>
      <c r="C101" s="664"/>
      <c r="D101" s="664"/>
      <c r="E101" s="664"/>
      <c r="F101" s="664">
        <v>2363</v>
      </c>
      <c r="G101" s="664">
        <v>391</v>
      </c>
      <c r="H101" s="664"/>
      <c r="I101" s="664"/>
      <c r="J101" s="664"/>
      <c r="K101" s="664"/>
      <c r="L101" s="664"/>
      <c r="M101" s="664">
        <v>-68</v>
      </c>
      <c r="N101" s="664"/>
      <c r="O101" s="664"/>
      <c r="P101" s="664"/>
      <c r="Q101" s="664">
        <v>1336</v>
      </c>
      <c r="R101" s="664"/>
      <c r="S101" s="664"/>
      <c r="T101" s="664">
        <v>-3000</v>
      </c>
      <c r="U101" s="664"/>
      <c r="V101" s="1476"/>
      <c r="W101" s="1476"/>
      <c r="X101" s="666">
        <f t="shared" si="7"/>
        <v>13260</v>
      </c>
    </row>
    <row r="102" spans="1:24" s="1401" customFormat="1" ht="18" customHeight="1">
      <c r="A102" s="674" t="s">
        <v>378</v>
      </c>
      <c r="B102" s="664">
        <v>10465</v>
      </c>
      <c r="C102" s="664"/>
      <c r="D102" s="664"/>
      <c r="E102" s="664"/>
      <c r="F102" s="664">
        <v>4573</v>
      </c>
      <c r="G102" s="664">
        <v>1130</v>
      </c>
      <c r="H102" s="664"/>
      <c r="I102" s="664"/>
      <c r="J102" s="664"/>
      <c r="K102" s="664"/>
      <c r="L102" s="664"/>
      <c r="M102" s="664">
        <v>-28</v>
      </c>
      <c r="N102" s="664">
        <v>400</v>
      </c>
      <c r="O102" s="664"/>
      <c r="P102" s="664">
        <v>600</v>
      </c>
      <c r="Q102" s="664">
        <v>2058</v>
      </c>
      <c r="R102" s="664"/>
      <c r="S102" s="664"/>
      <c r="T102" s="664"/>
      <c r="U102" s="664"/>
      <c r="V102" s="1476"/>
      <c r="W102" s="1476"/>
      <c r="X102" s="666">
        <f t="shared" si="7"/>
        <v>19198</v>
      </c>
    </row>
    <row r="103" spans="1:24" s="1401" customFormat="1" ht="18" customHeight="1">
      <c r="A103" s="674" t="s">
        <v>275</v>
      </c>
      <c r="B103" s="664">
        <v>14033</v>
      </c>
      <c r="C103" s="664"/>
      <c r="D103" s="664"/>
      <c r="E103" s="664"/>
      <c r="F103" s="664">
        <v>6631</v>
      </c>
      <c r="G103" s="664">
        <v>1390</v>
      </c>
      <c r="H103" s="664"/>
      <c r="I103" s="664"/>
      <c r="J103" s="664"/>
      <c r="K103" s="664"/>
      <c r="L103" s="664"/>
      <c r="M103" s="664"/>
      <c r="N103" s="664"/>
      <c r="O103" s="664"/>
      <c r="P103" s="664"/>
      <c r="Q103" s="664">
        <v>1608</v>
      </c>
      <c r="R103" s="664"/>
      <c r="S103" s="664"/>
      <c r="T103" s="664">
        <v>-3000</v>
      </c>
      <c r="U103" s="664"/>
      <c r="V103" s="1476"/>
      <c r="W103" s="1476"/>
      <c r="X103" s="666">
        <f t="shared" si="7"/>
        <v>20662</v>
      </c>
    </row>
    <row r="104" spans="1:24" s="1401" customFormat="1" ht="18" customHeight="1">
      <c r="A104" s="674" t="s">
        <v>379</v>
      </c>
      <c r="B104" s="664">
        <v>7422</v>
      </c>
      <c r="C104" s="664"/>
      <c r="D104" s="664"/>
      <c r="E104" s="664"/>
      <c r="F104" s="664">
        <v>9908</v>
      </c>
      <c r="G104" s="664">
        <v>377</v>
      </c>
      <c r="H104" s="664"/>
      <c r="I104" s="664"/>
      <c r="J104" s="664"/>
      <c r="K104" s="664"/>
      <c r="L104" s="664"/>
      <c r="M104" s="664"/>
      <c r="N104" s="664"/>
      <c r="O104" s="664"/>
      <c r="P104" s="664"/>
      <c r="Q104" s="664">
        <v>1087</v>
      </c>
      <c r="R104" s="664">
        <v>15000</v>
      </c>
      <c r="S104" s="664"/>
      <c r="T104" s="664"/>
      <c r="U104" s="664"/>
      <c r="V104" s="1476"/>
      <c r="W104" s="1476"/>
      <c r="X104" s="666">
        <f t="shared" si="7"/>
        <v>33794</v>
      </c>
    </row>
    <row r="105" spans="1:24" s="1401" customFormat="1" ht="18" customHeight="1">
      <c r="A105" s="674" t="s">
        <v>380</v>
      </c>
      <c r="B105" s="664">
        <v>12212</v>
      </c>
      <c r="C105" s="664"/>
      <c r="D105" s="664"/>
      <c r="E105" s="664"/>
      <c r="F105" s="664">
        <v>1219</v>
      </c>
      <c r="G105" s="664">
        <v>353</v>
      </c>
      <c r="H105" s="664"/>
      <c r="I105" s="664"/>
      <c r="J105" s="664"/>
      <c r="K105" s="664"/>
      <c r="L105" s="664"/>
      <c r="M105" s="664"/>
      <c r="N105" s="664"/>
      <c r="O105" s="664"/>
      <c r="P105" s="664"/>
      <c r="Q105" s="664">
        <v>914</v>
      </c>
      <c r="R105" s="664"/>
      <c r="S105" s="664"/>
      <c r="T105" s="664"/>
      <c r="U105" s="664"/>
      <c r="V105" s="1476"/>
      <c r="W105" s="1476"/>
      <c r="X105" s="666">
        <f t="shared" si="7"/>
        <v>14698</v>
      </c>
    </row>
    <row r="106" spans="1:24" s="1401" customFormat="1" ht="18" customHeight="1">
      <c r="A106" s="674" t="s">
        <v>381</v>
      </c>
      <c r="B106" s="664">
        <v>1131</v>
      </c>
      <c r="C106" s="664"/>
      <c r="D106" s="664"/>
      <c r="E106" s="664"/>
      <c r="F106" s="664">
        <v>686</v>
      </c>
      <c r="G106" s="664">
        <v>367</v>
      </c>
      <c r="H106" s="664"/>
      <c r="I106" s="664"/>
      <c r="J106" s="664"/>
      <c r="K106" s="664"/>
      <c r="L106" s="664"/>
      <c r="M106" s="664"/>
      <c r="N106" s="664"/>
      <c r="O106" s="664"/>
      <c r="P106" s="664"/>
      <c r="Q106" s="664">
        <v>389</v>
      </c>
      <c r="R106" s="664"/>
      <c r="S106" s="664"/>
      <c r="T106" s="664"/>
      <c r="U106" s="664"/>
      <c r="V106" s="1476"/>
      <c r="W106" s="1476"/>
      <c r="X106" s="666">
        <f t="shared" si="7"/>
        <v>2573</v>
      </c>
    </row>
    <row r="107" spans="1:24" s="1401" customFormat="1" ht="18" customHeight="1">
      <c r="A107" s="674" t="s">
        <v>382</v>
      </c>
      <c r="B107" s="664">
        <v>2883</v>
      </c>
      <c r="C107" s="664"/>
      <c r="D107" s="664"/>
      <c r="E107" s="664"/>
      <c r="F107" s="664">
        <v>1448</v>
      </c>
      <c r="G107" s="664">
        <v>414</v>
      </c>
      <c r="H107" s="664"/>
      <c r="I107" s="664"/>
      <c r="J107" s="664"/>
      <c r="K107" s="664"/>
      <c r="L107" s="664"/>
      <c r="M107" s="664"/>
      <c r="N107" s="664"/>
      <c r="O107" s="664"/>
      <c r="P107" s="664"/>
      <c r="Q107" s="664">
        <v>1564</v>
      </c>
      <c r="R107" s="664"/>
      <c r="S107" s="664"/>
      <c r="T107" s="664"/>
      <c r="U107" s="664"/>
      <c r="V107" s="1476"/>
      <c r="W107" s="1476"/>
      <c r="X107" s="666">
        <f t="shared" si="7"/>
        <v>6309</v>
      </c>
    </row>
    <row r="108" spans="1:24" s="1401" customFormat="1" ht="18" customHeight="1">
      <c r="A108" s="674" t="s">
        <v>383</v>
      </c>
      <c r="B108" s="664">
        <v>10984</v>
      </c>
      <c r="C108" s="664"/>
      <c r="D108" s="664"/>
      <c r="E108" s="664"/>
      <c r="F108" s="664"/>
      <c r="G108" s="664">
        <v>98</v>
      </c>
      <c r="H108" s="664"/>
      <c r="I108" s="664"/>
      <c r="J108" s="664"/>
      <c r="K108" s="664"/>
      <c r="L108" s="664"/>
      <c r="M108" s="664"/>
      <c r="N108" s="664"/>
      <c r="O108" s="664"/>
      <c r="P108" s="664"/>
      <c r="Q108" s="664">
        <v>2439</v>
      </c>
      <c r="R108" s="664"/>
      <c r="S108" s="664"/>
      <c r="T108" s="664"/>
      <c r="U108" s="664"/>
      <c r="V108" s="1476"/>
      <c r="W108" s="1476"/>
      <c r="X108" s="666">
        <f t="shared" si="7"/>
        <v>13521</v>
      </c>
    </row>
    <row r="109" spans="1:24" s="1401" customFormat="1" ht="18" customHeight="1">
      <c r="A109" s="674" t="s">
        <v>384</v>
      </c>
      <c r="B109" s="664">
        <v>11072</v>
      </c>
      <c r="C109" s="664"/>
      <c r="D109" s="664"/>
      <c r="E109" s="664"/>
      <c r="F109" s="664">
        <v>4116</v>
      </c>
      <c r="G109" s="664">
        <v>811</v>
      </c>
      <c r="H109" s="664"/>
      <c r="I109" s="664"/>
      <c r="J109" s="664"/>
      <c r="K109" s="664"/>
      <c r="L109" s="664"/>
      <c r="M109" s="664">
        <v>-60</v>
      </c>
      <c r="N109" s="664"/>
      <c r="O109" s="664"/>
      <c r="P109" s="664"/>
      <c r="Q109" s="664">
        <v>1207</v>
      </c>
      <c r="R109" s="664"/>
      <c r="S109" s="664"/>
      <c r="T109" s="664">
        <v>-3000</v>
      </c>
      <c r="U109" s="664"/>
      <c r="V109" s="1476"/>
      <c r="W109" s="1476"/>
      <c r="X109" s="666">
        <f t="shared" si="7"/>
        <v>14146</v>
      </c>
    </row>
    <row r="110" spans="1:24" s="1401" customFormat="1" ht="18" customHeight="1">
      <c r="A110" s="674" t="s">
        <v>276</v>
      </c>
      <c r="B110" s="664">
        <v>5029</v>
      </c>
      <c r="C110" s="664"/>
      <c r="D110" s="664"/>
      <c r="E110" s="664"/>
      <c r="F110" s="664">
        <v>1829</v>
      </c>
      <c r="G110" s="664">
        <v>590</v>
      </c>
      <c r="H110" s="664"/>
      <c r="I110" s="664"/>
      <c r="J110" s="664"/>
      <c r="K110" s="664"/>
      <c r="L110" s="664"/>
      <c r="M110" s="664"/>
      <c r="N110" s="664">
        <v>99</v>
      </c>
      <c r="O110" s="664"/>
      <c r="P110" s="664">
        <v>200</v>
      </c>
      <c r="Q110" s="664">
        <v>862</v>
      </c>
      <c r="R110" s="664">
        <f>20000-404</f>
        <v>19596</v>
      </c>
      <c r="S110" s="664">
        <v>105</v>
      </c>
      <c r="T110" s="664"/>
      <c r="U110" s="664"/>
      <c r="V110" s="1476"/>
      <c r="W110" s="1476"/>
      <c r="X110" s="666">
        <f t="shared" si="7"/>
        <v>28310</v>
      </c>
    </row>
    <row r="111" spans="1:24" s="1401" customFormat="1" ht="18" customHeight="1">
      <c r="A111" s="674" t="s">
        <v>277</v>
      </c>
      <c r="B111" s="664">
        <v>38073</v>
      </c>
      <c r="C111" s="664"/>
      <c r="D111" s="664"/>
      <c r="E111" s="664"/>
      <c r="F111" s="664">
        <v>5945</v>
      </c>
      <c r="G111" s="664">
        <v>1260</v>
      </c>
      <c r="H111" s="664"/>
      <c r="I111" s="664"/>
      <c r="J111" s="664"/>
      <c r="K111" s="664"/>
      <c r="L111" s="664"/>
      <c r="M111" s="664">
        <v>-96</v>
      </c>
      <c r="N111" s="664">
        <v>150</v>
      </c>
      <c r="O111" s="664"/>
      <c r="P111" s="664"/>
      <c r="Q111" s="664">
        <v>2230</v>
      </c>
      <c r="R111" s="664"/>
      <c r="S111" s="664"/>
      <c r="T111" s="664"/>
      <c r="U111" s="664"/>
      <c r="V111" s="1476"/>
      <c r="W111" s="1476">
        <v>-150</v>
      </c>
      <c r="X111" s="666">
        <f t="shared" si="7"/>
        <v>47412</v>
      </c>
    </row>
    <row r="112" spans="1:24" s="1401" customFormat="1" ht="18" customHeight="1">
      <c r="A112" s="674" t="s">
        <v>385</v>
      </c>
      <c r="B112" s="664">
        <v>8246</v>
      </c>
      <c r="C112" s="664"/>
      <c r="D112" s="664"/>
      <c r="E112" s="664"/>
      <c r="F112" s="664">
        <v>3582</v>
      </c>
      <c r="G112" s="664">
        <v>683</v>
      </c>
      <c r="H112" s="664"/>
      <c r="I112" s="664"/>
      <c r="J112" s="664"/>
      <c r="K112" s="664"/>
      <c r="L112" s="664"/>
      <c r="M112" s="664"/>
      <c r="N112" s="664"/>
      <c r="O112" s="664"/>
      <c r="P112" s="664"/>
      <c r="Q112" s="664">
        <v>1113</v>
      </c>
      <c r="R112" s="664"/>
      <c r="S112" s="664"/>
      <c r="T112" s="664"/>
      <c r="U112" s="664"/>
      <c r="V112" s="1476"/>
      <c r="W112" s="1476"/>
      <c r="X112" s="666">
        <f t="shared" si="7"/>
        <v>13624</v>
      </c>
    </row>
    <row r="113" spans="1:24" s="1401" customFormat="1" ht="18" customHeight="1">
      <c r="A113" s="674" t="s">
        <v>499</v>
      </c>
      <c r="B113" s="664">
        <v>15934</v>
      </c>
      <c r="C113" s="664"/>
      <c r="D113" s="664"/>
      <c r="E113" s="664"/>
      <c r="F113" s="664">
        <v>2972</v>
      </c>
      <c r="G113" s="664">
        <v>843</v>
      </c>
      <c r="H113" s="664"/>
      <c r="I113" s="664"/>
      <c r="J113" s="664"/>
      <c r="K113" s="664"/>
      <c r="L113" s="664"/>
      <c r="M113" s="664">
        <v>70</v>
      </c>
      <c r="N113" s="664">
        <v>48</v>
      </c>
      <c r="O113" s="664"/>
      <c r="P113" s="664"/>
      <c r="Q113" s="664">
        <v>2370</v>
      </c>
      <c r="R113" s="664"/>
      <c r="S113" s="664"/>
      <c r="T113" s="664"/>
      <c r="U113" s="664"/>
      <c r="V113" s="1476"/>
      <c r="W113" s="1476"/>
      <c r="X113" s="666">
        <f t="shared" si="7"/>
        <v>22237</v>
      </c>
    </row>
    <row r="114" spans="1:24" s="1401" customFormat="1" ht="18" customHeight="1">
      <c r="A114" s="674" t="s">
        <v>495</v>
      </c>
      <c r="B114" s="664">
        <v>2508</v>
      </c>
      <c r="C114" s="664"/>
      <c r="D114" s="664"/>
      <c r="E114" s="664"/>
      <c r="F114" s="664"/>
      <c r="G114" s="664">
        <v>244</v>
      </c>
      <c r="H114" s="664"/>
      <c r="I114" s="664"/>
      <c r="J114" s="664"/>
      <c r="K114" s="664"/>
      <c r="L114" s="664"/>
      <c r="M114" s="664">
        <v>-93</v>
      </c>
      <c r="N114" s="664"/>
      <c r="O114" s="664"/>
      <c r="P114" s="664"/>
      <c r="Q114" s="664">
        <v>2284</v>
      </c>
      <c r="R114" s="664"/>
      <c r="S114" s="664"/>
      <c r="T114" s="664"/>
      <c r="U114" s="664"/>
      <c r="V114" s="1476"/>
      <c r="W114" s="1476"/>
      <c r="X114" s="666">
        <f t="shared" si="7"/>
        <v>4943</v>
      </c>
    </row>
    <row r="115" spans="1:24" s="1401" customFormat="1" ht="18" customHeight="1">
      <c r="A115" s="674" t="s">
        <v>386</v>
      </c>
      <c r="B115" s="664">
        <v>1553</v>
      </c>
      <c r="C115" s="664"/>
      <c r="D115" s="664"/>
      <c r="E115" s="664"/>
      <c r="F115" s="664"/>
      <c r="G115" s="664">
        <v>107</v>
      </c>
      <c r="H115" s="664"/>
      <c r="I115" s="664"/>
      <c r="J115" s="664"/>
      <c r="K115" s="664"/>
      <c r="L115" s="664"/>
      <c r="M115" s="664"/>
      <c r="N115" s="664"/>
      <c r="O115" s="664"/>
      <c r="P115" s="664"/>
      <c r="Q115" s="664">
        <v>1094</v>
      </c>
      <c r="R115" s="664"/>
      <c r="S115" s="664"/>
      <c r="T115" s="664"/>
      <c r="U115" s="664"/>
      <c r="V115" s="1476"/>
      <c r="W115" s="1476"/>
      <c r="X115" s="666">
        <f t="shared" si="7"/>
        <v>2754</v>
      </c>
    </row>
    <row r="116" spans="1:24" s="1401" customFormat="1" ht="18" customHeight="1">
      <c r="A116" s="674" t="s">
        <v>500</v>
      </c>
      <c r="B116" s="664">
        <v>16094</v>
      </c>
      <c r="C116" s="664"/>
      <c r="D116" s="664"/>
      <c r="E116" s="664"/>
      <c r="F116" s="664"/>
      <c r="G116" s="664">
        <v>193</v>
      </c>
      <c r="H116" s="664"/>
      <c r="I116" s="664"/>
      <c r="J116" s="664"/>
      <c r="K116" s="664"/>
      <c r="L116" s="664"/>
      <c r="M116" s="664"/>
      <c r="N116" s="664">
        <v>4</v>
      </c>
      <c r="O116" s="664"/>
      <c r="P116" s="664"/>
      <c r="Q116" s="664">
        <v>2280</v>
      </c>
      <c r="R116" s="664">
        <v>15000</v>
      </c>
      <c r="S116" s="664"/>
      <c r="T116" s="664">
        <v>1000</v>
      </c>
      <c r="U116" s="664"/>
      <c r="V116" s="1476"/>
      <c r="W116" s="1476"/>
      <c r="X116" s="666">
        <f t="shared" si="7"/>
        <v>34571</v>
      </c>
    </row>
    <row r="117" spans="1:24" s="1401" customFormat="1" ht="18" customHeight="1">
      <c r="A117" s="674" t="s">
        <v>501</v>
      </c>
      <c r="B117" s="664">
        <v>4250</v>
      </c>
      <c r="C117" s="664"/>
      <c r="D117" s="664"/>
      <c r="E117" s="664"/>
      <c r="F117" s="664">
        <v>10975</v>
      </c>
      <c r="G117" s="664">
        <v>1858</v>
      </c>
      <c r="H117" s="664"/>
      <c r="I117" s="664"/>
      <c r="J117" s="664"/>
      <c r="K117" s="664"/>
      <c r="L117" s="664"/>
      <c r="M117" s="664">
        <v>-211</v>
      </c>
      <c r="N117" s="664"/>
      <c r="O117" s="664"/>
      <c r="P117" s="664"/>
      <c r="Q117" s="664">
        <v>1866</v>
      </c>
      <c r="R117" s="664"/>
      <c r="S117" s="664"/>
      <c r="T117" s="664"/>
      <c r="U117" s="664"/>
      <c r="V117" s="1476"/>
      <c r="W117" s="1476"/>
      <c r="X117" s="666">
        <f t="shared" si="7"/>
        <v>18738</v>
      </c>
    </row>
    <row r="118" spans="1:24" s="1401" customFormat="1" ht="18" customHeight="1">
      <c r="A118" s="674" t="s">
        <v>387</v>
      </c>
      <c r="B118" s="664">
        <v>3081</v>
      </c>
      <c r="C118" s="664"/>
      <c r="D118" s="664"/>
      <c r="E118" s="664"/>
      <c r="F118" s="664">
        <v>206</v>
      </c>
      <c r="G118" s="664">
        <v>309</v>
      </c>
      <c r="H118" s="664">
        <v>158</v>
      </c>
      <c r="I118" s="664"/>
      <c r="J118" s="664"/>
      <c r="K118" s="664"/>
      <c r="L118" s="664"/>
      <c r="M118" s="664">
        <v>-50</v>
      </c>
      <c r="N118" s="664"/>
      <c r="O118" s="664"/>
      <c r="P118" s="664"/>
      <c r="Q118" s="664">
        <v>1595</v>
      </c>
      <c r="R118" s="664">
        <f>7000-158</f>
        <v>6842</v>
      </c>
      <c r="S118" s="664"/>
      <c r="T118" s="664"/>
      <c r="U118" s="664"/>
      <c r="V118" s="1476"/>
      <c r="W118" s="1476"/>
      <c r="X118" s="666">
        <f t="shared" si="7"/>
        <v>12141</v>
      </c>
    </row>
    <row r="119" spans="1:24" s="1401" customFormat="1" ht="18" customHeight="1">
      <c r="A119" s="674" t="s">
        <v>278</v>
      </c>
      <c r="B119" s="664">
        <v>14709</v>
      </c>
      <c r="C119" s="664"/>
      <c r="D119" s="664"/>
      <c r="E119" s="664"/>
      <c r="F119" s="664">
        <v>3430</v>
      </c>
      <c r="G119" s="664">
        <v>1023</v>
      </c>
      <c r="H119" s="664"/>
      <c r="I119" s="664"/>
      <c r="J119" s="664"/>
      <c r="K119" s="664"/>
      <c r="L119" s="664"/>
      <c r="M119" s="664">
        <v>-12</v>
      </c>
      <c r="N119" s="664"/>
      <c r="O119" s="664"/>
      <c r="P119" s="664"/>
      <c r="Q119" s="664">
        <v>2240</v>
      </c>
      <c r="R119" s="664"/>
      <c r="S119" s="664"/>
      <c r="T119" s="664"/>
      <c r="U119" s="664"/>
      <c r="V119" s="1476"/>
      <c r="W119" s="1476"/>
      <c r="X119" s="666">
        <f t="shared" si="7"/>
        <v>21390</v>
      </c>
    </row>
    <row r="120" spans="1:24" s="1401" customFormat="1" ht="18" customHeight="1">
      <c r="A120" s="674" t="s">
        <v>388</v>
      </c>
      <c r="B120" s="664">
        <v>7813</v>
      </c>
      <c r="C120" s="664"/>
      <c r="D120" s="664"/>
      <c r="E120" s="664"/>
      <c r="F120" s="664">
        <v>8841</v>
      </c>
      <c r="G120" s="664">
        <v>1581</v>
      </c>
      <c r="H120" s="664"/>
      <c r="I120" s="664"/>
      <c r="J120" s="664"/>
      <c r="K120" s="664"/>
      <c r="L120" s="664"/>
      <c r="M120" s="664"/>
      <c r="N120" s="664"/>
      <c r="O120" s="664"/>
      <c r="P120" s="664"/>
      <c r="Q120" s="664">
        <v>1698</v>
      </c>
      <c r="R120" s="664">
        <v>23000</v>
      </c>
      <c r="S120" s="664"/>
      <c r="T120" s="664">
        <v>42</v>
      </c>
      <c r="U120" s="664"/>
      <c r="V120" s="1476"/>
      <c r="W120" s="1476"/>
      <c r="X120" s="666">
        <f t="shared" si="7"/>
        <v>42975</v>
      </c>
    </row>
    <row r="121" spans="1:24" s="1401" customFormat="1" ht="18" customHeight="1">
      <c r="A121" s="674" t="s">
        <v>391</v>
      </c>
      <c r="B121" s="664">
        <v>13175</v>
      </c>
      <c r="C121" s="664"/>
      <c r="D121" s="664"/>
      <c r="E121" s="664"/>
      <c r="F121" s="664">
        <v>1082</v>
      </c>
      <c r="G121" s="664">
        <v>1741</v>
      </c>
      <c r="H121" s="664"/>
      <c r="I121" s="664"/>
      <c r="J121" s="664"/>
      <c r="K121" s="664"/>
      <c r="L121" s="664"/>
      <c r="M121" s="664"/>
      <c r="N121" s="664"/>
      <c r="O121" s="664"/>
      <c r="P121" s="664"/>
      <c r="Q121" s="664">
        <v>4115</v>
      </c>
      <c r="R121" s="664"/>
      <c r="S121" s="664"/>
      <c r="T121" s="664">
        <v>320</v>
      </c>
      <c r="U121" s="664"/>
      <c r="V121" s="1476"/>
      <c r="W121" s="1476"/>
      <c r="X121" s="666">
        <f t="shared" si="7"/>
        <v>20433</v>
      </c>
    </row>
    <row r="122" spans="1:24" s="1401" customFormat="1" ht="18" customHeight="1">
      <c r="A122" s="674" t="s">
        <v>392</v>
      </c>
      <c r="B122" s="664"/>
      <c r="C122" s="664"/>
      <c r="D122" s="664"/>
      <c r="E122" s="664"/>
      <c r="F122" s="664">
        <v>1143</v>
      </c>
      <c r="G122" s="664">
        <v>324</v>
      </c>
      <c r="H122" s="664"/>
      <c r="I122" s="664"/>
      <c r="J122" s="664"/>
      <c r="K122" s="664"/>
      <c r="L122" s="664"/>
      <c r="M122" s="664"/>
      <c r="N122" s="664"/>
      <c r="O122" s="664"/>
      <c r="P122" s="664"/>
      <c r="Q122" s="664">
        <v>186</v>
      </c>
      <c r="R122" s="664"/>
      <c r="S122" s="664"/>
      <c r="T122" s="664">
        <v>1000</v>
      </c>
      <c r="U122" s="664"/>
      <c r="V122" s="1476"/>
      <c r="W122" s="1476"/>
      <c r="X122" s="666">
        <f t="shared" si="7"/>
        <v>2653</v>
      </c>
    </row>
    <row r="123" spans="1:24" s="1401" customFormat="1" ht="18" customHeight="1">
      <c r="A123" s="674" t="s">
        <v>393</v>
      </c>
      <c r="B123" s="664">
        <v>4122</v>
      </c>
      <c r="C123" s="664"/>
      <c r="D123" s="664"/>
      <c r="E123" s="664"/>
      <c r="F123" s="664">
        <v>1143</v>
      </c>
      <c r="G123" s="664">
        <v>1664</v>
      </c>
      <c r="H123" s="664"/>
      <c r="I123" s="664"/>
      <c r="J123" s="664"/>
      <c r="K123" s="664"/>
      <c r="L123" s="664"/>
      <c r="M123" s="664"/>
      <c r="N123" s="664"/>
      <c r="O123" s="664"/>
      <c r="P123" s="664"/>
      <c r="Q123" s="664">
        <v>790</v>
      </c>
      <c r="R123" s="664"/>
      <c r="S123" s="664"/>
      <c r="T123" s="664">
        <v>-1300</v>
      </c>
      <c r="U123" s="664"/>
      <c r="V123" s="1476"/>
      <c r="W123" s="1476"/>
      <c r="X123" s="666">
        <f t="shared" si="7"/>
        <v>6419</v>
      </c>
    </row>
    <row r="124" spans="1:24" s="1401" customFormat="1" ht="18" customHeight="1">
      <c r="A124" s="674" t="s">
        <v>394</v>
      </c>
      <c r="B124" s="664">
        <v>12655</v>
      </c>
      <c r="C124" s="664"/>
      <c r="D124" s="664"/>
      <c r="E124" s="664"/>
      <c r="F124" s="664">
        <v>5030</v>
      </c>
      <c r="G124" s="664">
        <v>491</v>
      </c>
      <c r="H124" s="664"/>
      <c r="I124" s="664"/>
      <c r="J124" s="664"/>
      <c r="K124" s="664"/>
      <c r="L124" s="664"/>
      <c r="M124" s="664">
        <v>-56</v>
      </c>
      <c r="N124" s="664"/>
      <c r="O124" s="664"/>
      <c r="P124" s="664"/>
      <c r="Q124" s="664">
        <v>2412</v>
      </c>
      <c r="R124" s="664">
        <v>18000</v>
      </c>
      <c r="S124" s="664"/>
      <c r="T124" s="664"/>
      <c r="U124" s="664"/>
      <c r="V124" s="1476"/>
      <c r="W124" s="1476"/>
      <c r="X124" s="666">
        <f t="shared" si="7"/>
        <v>38532</v>
      </c>
    </row>
    <row r="125" spans="1:24" s="1401" customFormat="1" ht="18" customHeight="1">
      <c r="A125" s="674" t="s">
        <v>395</v>
      </c>
      <c r="B125" s="664">
        <v>6317</v>
      </c>
      <c r="C125" s="664"/>
      <c r="D125" s="664"/>
      <c r="E125" s="664"/>
      <c r="F125" s="664">
        <v>610</v>
      </c>
      <c r="G125" s="664">
        <v>168</v>
      </c>
      <c r="H125" s="664"/>
      <c r="I125" s="664"/>
      <c r="J125" s="664"/>
      <c r="K125" s="664"/>
      <c r="L125" s="664"/>
      <c r="M125" s="664"/>
      <c r="N125" s="664"/>
      <c r="O125" s="664"/>
      <c r="P125" s="664"/>
      <c r="Q125" s="664">
        <v>66</v>
      </c>
      <c r="R125" s="664"/>
      <c r="S125" s="664"/>
      <c r="T125" s="664"/>
      <c r="U125" s="664"/>
      <c r="V125" s="1476"/>
      <c r="W125" s="1476"/>
      <c r="X125" s="666">
        <f t="shared" si="7"/>
        <v>7161</v>
      </c>
    </row>
    <row r="126" spans="1:24" s="1401" customFormat="1" ht="18" customHeight="1">
      <c r="A126" s="674" t="s">
        <v>233</v>
      </c>
      <c r="B126" s="664">
        <v>4415</v>
      </c>
      <c r="C126" s="664"/>
      <c r="D126" s="664"/>
      <c r="E126" s="664"/>
      <c r="F126" s="664"/>
      <c r="G126" s="664">
        <v>467</v>
      </c>
      <c r="H126" s="664"/>
      <c r="I126" s="664"/>
      <c r="J126" s="664"/>
      <c r="K126" s="664"/>
      <c r="L126" s="664"/>
      <c r="M126" s="664">
        <v>-104</v>
      </c>
      <c r="N126" s="664"/>
      <c r="O126" s="664"/>
      <c r="P126" s="664"/>
      <c r="Q126" s="664">
        <v>3151</v>
      </c>
      <c r="R126" s="664"/>
      <c r="S126" s="664"/>
      <c r="T126" s="664">
        <v>-800</v>
      </c>
      <c r="U126" s="664"/>
      <c r="V126" s="1476"/>
      <c r="W126" s="1476"/>
      <c r="X126" s="666">
        <f t="shared" si="7"/>
        <v>7129</v>
      </c>
    </row>
    <row r="127" spans="1:24" s="1401" customFormat="1" ht="18" customHeight="1">
      <c r="A127" s="674" t="s">
        <v>396</v>
      </c>
      <c r="B127" s="664">
        <v>4993</v>
      </c>
      <c r="C127" s="664"/>
      <c r="D127" s="664"/>
      <c r="E127" s="664"/>
      <c r="F127" s="664"/>
      <c r="G127" s="664">
        <v>86</v>
      </c>
      <c r="H127" s="664"/>
      <c r="I127" s="664"/>
      <c r="J127" s="664"/>
      <c r="K127" s="664"/>
      <c r="L127" s="664"/>
      <c r="M127" s="664">
        <v>-78</v>
      </c>
      <c r="N127" s="664"/>
      <c r="O127" s="664"/>
      <c r="P127" s="664"/>
      <c r="Q127" s="664">
        <v>1278</v>
      </c>
      <c r="R127" s="664"/>
      <c r="S127" s="664"/>
      <c r="T127" s="664">
        <v>-800</v>
      </c>
      <c r="U127" s="664"/>
      <c r="V127" s="1476"/>
      <c r="W127" s="1476"/>
      <c r="X127" s="666">
        <f t="shared" si="7"/>
        <v>5479</v>
      </c>
    </row>
    <row r="128" spans="1:24" s="1401" customFormat="1" ht="18" customHeight="1">
      <c r="A128" s="674" t="s">
        <v>496</v>
      </c>
      <c r="B128" s="664">
        <v>15400</v>
      </c>
      <c r="C128" s="664"/>
      <c r="D128" s="664"/>
      <c r="E128" s="664"/>
      <c r="F128" s="664">
        <v>7240</v>
      </c>
      <c r="G128" s="664">
        <v>1174</v>
      </c>
      <c r="H128" s="664"/>
      <c r="I128" s="664"/>
      <c r="J128" s="664"/>
      <c r="K128" s="664"/>
      <c r="L128" s="664"/>
      <c r="M128" s="664"/>
      <c r="N128" s="664">
        <v>23</v>
      </c>
      <c r="O128" s="664"/>
      <c r="P128" s="664"/>
      <c r="Q128" s="664">
        <v>2840</v>
      </c>
      <c r="R128" s="664">
        <v>-23</v>
      </c>
      <c r="S128" s="664"/>
      <c r="T128" s="664">
        <v>-800</v>
      </c>
      <c r="U128" s="664"/>
      <c r="V128" s="1476"/>
      <c r="W128" s="1476"/>
      <c r="X128" s="666">
        <f t="shared" si="7"/>
        <v>25854</v>
      </c>
    </row>
    <row r="129" spans="1:24" s="1401" customFormat="1" ht="18" customHeight="1">
      <c r="A129" s="674" t="s">
        <v>397</v>
      </c>
      <c r="B129" s="664">
        <v>27438</v>
      </c>
      <c r="C129" s="664"/>
      <c r="D129" s="664"/>
      <c r="E129" s="664"/>
      <c r="F129" s="664">
        <v>2058</v>
      </c>
      <c r="G129" s="664">
        <v>648</v>
      </c>
      <c r="H129" s="664"/>
      <c r="I129" s="664"/>
      <c r="J129" s="664"/>
      <c r="K129" s="664"/>
      <c r="L129" s="664"/>
      <c r="M129" s="664"/>
      <c r="N129" s="664"/>
      <c r="O129" s="664"/>
      <c r="P129" s="664"/>
      <c r="Q129" s="664">
        <v>2561</v>
      </c>
      <c r="R129" s="664"/>
      <c r="S129" s="664"/>
      <c r="T129" s="664"/>
      <c r="U129" s="664"/>
      <c r="V129" s="1476"/>
      <c r="W129" s="1476"/>
      <c r="X129" s="666">
        <f t="shared" si="7"/>
        <v>32705</v>
      </c>
    </row>
    <row r="130" spans="1:24" s="1401" customFormat="1" ht="18" customHeight="1">
      <c r="A130" s="674" t="s">
        <v>398</v>
      </c>
      <c r="B130" s="664">
        <v>13868</v>
      </c>
      <c r="C130" s="664"/>
      <c r="D130" s="664"/>
      <c r="E130" s="664"/>
      <c r="F130" s="664">
        <v>2820</v>
      </c>
      <c r="G130" s="664">
        <v>523</v>
      </c>
      <c r="H130" s="664"/>
      <c r="I130" s="664"/>
      <c r="J130" s="664"/>
      <c r="K130" s="664"/>
      <c r="L130" s="664"/>
      <c r="M130" s="664"/>
      <c r="N130" s="664"/>
      <c r="O130" s="664"/>
      <c r="P130" s="664"/>
      <c r="Q130" s="664">
        <v>1796</v>
      </c>
      <c r="R130" s="664"/>
      <c r="S130" s="664"/>
      <c r="T130" s="664"/>
      <c r="U130" s="664"/>
      <c r="V130" s="1476"/>
      <c r="W130" s="1476"/>
      <c r="X130" s="666">
        <f t="shared" si="7"/>
        <v>19007</v>
      </c>
    </row>
    <row r="131" spans="1:24" s="1401" customFormat="1" ht="18" customHeight="1">
      <c r="A131" s="674" t="s">
        <v>399</v>
      </c>
      <c r="B131" s="664">
        <v>13914</v>
      </c>
      <c r="C131" s="664"/>
      <c r="D131" s="664"/>
      <c r="E131" s="664"/>
      <c r="F131" s="664">
        <v>2667</v>
      </c>
      <c r="G131" s="664">
        <v>1104</v>
      </c>
      <c r="H131" s="664"/>
      <c r="I131" s="664"/>
      <c r="J131" s="664"/>
      <c r="K131" s="664"/>
      <c r="L131" s="664"/>
      <c r="M131" s="664"/>
      <c r="N131" s="664"/>
      <c r="O131" s="664"/>
      <c r="P131" s="664"/>
      <c r="Q131" s="664">
        <v>3236</v>
      </c>
      <c r="R131" s="664"/>
      <c r="S131" s="664"/>
      <c r="T131" s="664">
        <v>-400</v>
      </c>
      <c r="U131" s="664"/>
      <c r="V131" s="1476"/>
      <c r="W131" s="1476"/>
      <c r="X131" s="666">
        <f t="shared" si="7"/>
        <v>20521</v>
      </c>
    </row>
    <row r="132" spans="1:24" s="1401" customFormat="1" ht="18" customHeight="1">
      <c r="A132" s="674" t="s">
        <v>400</v>
      </c>
      <c r="B132" s="664">
        <v>8115</v>
      </c>
      <c r="C132" s="664"/>
      <c r="D132" s="664"/>
      <c r="E132" s="664"/>
      <c r="F132" s="664"/>
      <c r="G132" s="664">
        <v>939</v>
      </c>
      <c r="H132" s="664"/>
      <c r="I132" s="664"/>
      <c r="J132" s="664"/>
      <c r="K132" s="664"/>
      <c r="L132" s="664"/>
      <c r="M132" s="664"/>
      <c r="N132" s="664"/>
      <c r="O132" s="664"/>
      <c r="P132" s="664"/>
      <c r="Q132" s="664">
        <v>1903</v>
      </c>
      <c r="R132" s="664"/>
      <c r="S132" s="664"/>
      <c r="T132" s="664"/>
      <c r="U132" s="664"/>
      <c r="V132" s="1476"/>
      <c r="W132" s="1476"/>
      <c r="X132" s="666">
        <f t="shared" si="7"/>
        <v>10957</v>
      </c>
    </row>
    <row r="133" spans="1:24" s="1401" customFormat="1" ht="18" customHeight="1">
      <c r="A133" s="674" t="s">
        <v>401</v>
      </c>
      <c r="B133" s="664">
        <v>1478</v>
      </c>
      <c r="C133" s="664"/>
      <c r="D133" s="664"/>
      <c r="E133" s="664"/>
      <c r="F133" s="664">
        <v>762</v>
      </c>
      <c r="G133" s="664">
        <v>345</v>
      </c>
      <c r="H133" s="664"/>
      <c r="I133" s="664"/>
      <c r="J133" s="664"/>
      <c r="K133" s="664"/>
      <c r="L133" s="664"/>
      <c r="M133" s="664"/>
      <c r="N133" s="664"/>
      <c r="O133" s="664"/>
      <c r="P133" s="664"/>
      <c r="Q133" s="664">
        <v>805</v>
      </c>
      <c r="R133" s="664"/>
      <c r="S133" s="664"/>
      <c r="T133" s="664"/>
      <c r="U133" s="664"/>
      <c r="V133" s="1476"/>
      <c r="W133" s="1476"/>
      <c r="X133" s="666">
        <f t="shared" si="7"/>
        <v>3390</v>
      </c>
    </row>
    <row r="134" spans="1:24" s="1401" customFormat="1" ht="18" customHeight="1">
      <c r="A134" s="674" t="s">
        <v>522</v>
      </c>
      <c r="B134" s="664">
        <v>7946</v>
      </c>
      <c r="C134" s="664"/>
      <c r="D134" s="664"/>
      <c r="E134" s="664"/>
      <c r="F134" s="664">
        <v>4116</v>
      </c>
      <c r="G134" s="664">
        <v>921</v>
      </c>
      <c r="H134" s="664"/>
      <c r="I134" s="664"/>
      <c r="J134" s="664"/>
      <c r="K134" s="664"/>
      <c r="L134" s="664"/>
      <c r="M134" s="664"/>
      <c r="N134" s="664"/>
      <c r="O134" s="664"/>
      <c r="P134" s="664"/>
      <c r="Q134" s="664">
        <v>1954</v>
      </c>
      <c r="R134" s="664">
        <v>32000</v>
      </c>
      <c r="S134" s="664"/>
      <c r="T134" s="664">
        <v>-300</v>
      </c>
      <c r="U134" s="664"/>
      <c r="V134" s="1476"/>
      <c r="W134" s="1476"/>
      <c r="X134" s="666">
        <f t="shared" si="7"/>
        <v>46637</v>
      </c>
    </row>
    <row r="135" spans="1:24" s="1401" customFormat="1" ht="18" customHeight="1">
      <c r="A135" s="674" t="s">
        <v>402</v>
      </c>
      <c r="B135" s="664">
        <v>14011</v>
      </c>
      <c r="C135" s="664"/>
      <c r="D135" s="664"/>
      <c r="E135" s="664"/>
      <c r="F135" s="664">
        <v>2058</v>
      </c>
      <c r="G135" s="664">
        <v>666</v>
      </c>
      <c r="H135" s="664"/>
      <c r="I135" s="664"/>
      <c r="J135" s="664"/>
      <c r="K135" s="664"/>
      <c r="L135" s="664"/>
      <c r="M135" s="664"/>
      <c r="N135" s="664">
        <v>78</v>
      </c>
      <c r="O135" s="664"/>
      <c r="P135" s="664"/>
      <c r="Q135" s="664">
        <v>1969</v>
      </c>
      <c r="R135" s="664">
        <v>20000</v>
      </c>
      <c r="S135" s="664"/>
      <c r="T135" s="664"/>
      <c r="U135" s="664"/>
      <c r="V135" s="1476"/>
      <c r="W135" s="1476"/>
      <c r="X135" s="666">
        <f t="shared" si="7"/>
        <v>38782</v>
      </c>
    </row>
    <row r="136" spans="1:24" s="1401" customFormat="1" ht="18" customHeight="1">
      <c r="A136" s="674" t="s">
        <v>403</v>
      </c>
      <c r="B136" s="664">
        <v>6649</v>
      </c>
      <c r="C136" s="664"/>
      <c r="D136" s="664"/>
      <c r="E136" s="664"/>
      <c r="F136" s="664">
        <v>3658</v>
      </c>
      <c r="G136" s="664">
        <v>821</v>
      </c>
      <c r="H136" s="664"/>
      <c r="I136" s="664"/>
      <c r="J136" s="664"/>
      <c r="K136" s="664"/>
      <c r="L136" s="664"/>
      <c r="M136" s="664"/>
      <c r="N136" s="664">
        <v>14</v>
      </c>
      <c r="O136" s="664"/>
      <c r="P136" s="664"/>
      <c r="Q136" s="664">
        <v>121</v>
      </c>
      <c r="R136" s="664"/>
      <c r="S136" s="664"/>
      <c r="T136" s="664"/>
      <c r="U136" s="664"/>
      <c r="V136" s="1476"/>
      <c r="W136" s="1476"/>
      <c r="X136" s="666">
        <f t="shared" si="7"/>
        <v>11263</v>
      </c>
    </row>
    <row r="137" spans="1:24" s="1401" customFormat="1" ht="18" customHeight="1" thickBot="1">
      <c r="A137" s="674" t="s">
        <v>404</v>
      </c>
      <c r="B137" s="664">
        <v>5835</v>
      </c>
      <c r="C137" s="664"/>
      <c r="D137" s="664"/>
      <c r="E137" s="664"/>
      <c r="F137" s="664">
        <v>4497</v>
      </c>
      <c r="G137" s="664">
        <v>1026</v>
      </c>
      <c r="H137" s="664"/>
      <c r="I137" s="664"/>
      <c r="J137" s="664"/>
      <c r="K137" s="664"/>
      <c r="L137" s="664"/>
      <c r="M137" s="664"/>
      <c r="N137" s="664"/>
      <c r="O137" s="664"/>
      <c r="P137" s="664"/>
      <c r="Q137" s="664">
        <v>246</v>
      </c>
      <c r="R137" s="664"/>
      <c r="S137" s="664"/>
      <c r="T137" s="664">
        <v>-500</v>
      </c>
      <c r="U137" s="664"/>
      <c r="V137" s="1476"/>
      <c r="W137" s="1476"/>
      <c r="X137" s="666">
        <f t="shared" si="7"/>
        <v>11104</v>
      </c>
    </row>
    <row r="138" spans="1:24" s="356" customFormat="1" ht="26.25" thickBot="1">
      <c r="A138" s="693" t="s">
        <v>540</v>
      </c>
      <c r="B138" s="702">
        <f>SUM(B139:B140)</f>
        <v>21400</v>
      </c>
      <c r="C138" s="702"/>
      <c r="D138" s="702"/>
      <c r="E138" s="702"/>
      <c r="F138" s="702"/>
      <c r="G138" s="702">
        <f>SUM(G139:G140)</f>
        <v>-100</v>
      </c>
      <c r="H138" s="455"/>
      <c r="I138" s="455"/>
      <c r="J138" s="455"/>
      <c r="K138" s="455"/>
      <c r="L138" s="455"/>
      <c r="M138" s="455"/>
      <c r="N138" s="455"/>
      <c r="O138" s="455"/>
      <c r="P138" s="455"/>
      <c r="Q138" s="702"/>
      <c r="R138" s="455">
        <f>R139</f>
        <v>30000</v>
      </c>
      <c r="S138" s="455"/>
      <c r="T138" s="455"/>
      <c r="U138" s="455"/>
      <c r="V138" s="455"/>
      <c r="W138" s="455"/>
      <c r="X138" s="456">
        <f t="shared" si="7"/>
        <v>51300</v>
      </c>
    </row>
    <row r="139" spans="1:24" s="612" customFormat="1" ht="18" customHeight="1">
      <c r="A139" s="703" t="s">
        <v>541</v>
      </c>
      <c r="B139" s="706">
        <v>22400</v>
      </c>
      <c r="C139" s="706"/>
      <c r="D139" s="706"/>
      <c r="E139" s="706"/>
      <c r="F139" s="706"/>
      <c r="G139" s="706"/>
      <c r="H139" s="613"/>
      <c r="I139" s="613"/>
      <c r="J139" s="613"/>
      <c r="K139" s="613"/>
      <c r="L139" s="613"/>
      <c r="M139" s="613"/>
      <c r="N139" s="613"/>
      <c r="O139" s="613"/>
      <c r="P139" s="613"/>
      <c r="Q139" s="613"/>
      <c r="R139" s="613">
        <v>30000</v>
      </c>
      <c r="S139" s="613"/>
      <c r="T139" s="613"/>
      <c r="U139" s="613"/>
      <c r="V139" s="614"/>
      <c r="W139" s="614"/>
      <c r="X139" s="615">
        <f t="shared" si="7"/>
        <v>52400</v>
      </c>
    </row>
    <row r="140" spans="1:24" s="612" customFormat="1" ht="39" thickBot="1">
      <c r="A140" s="704" t="s">
        <v>564</v>
      </c>
      <c r="B140" s="705">
        <v>-1000</v>
      </c>
      <c r="C140" s="705"/>
      <c r="D140" s="705"/>
      <c r="E140" s="705"/>
      <c r="F140" s="705"/>
      <c r="G140" s="705">
        <v>-100</v>
      </c>
      <c r="H140" s="667"/>
      <c r="I140" s="667"/>
      <c r="J140" s="667"/>
      <c r="K140" s="667"/>
      <c r="L140" s="667"/>
      <c r="M140" s="667"/>
      <c r="N140" s="667"/>
      <c r="O140" s="667"/>
      <c r="P140" s="667"/>
      <c r="Q140" s="667"/>
      <c r="R140" s="667"/>
      <c r="S140" s="667"/>
      <c r="T140" s="667"/>
      <c r="U140" s="667"/>
      <c r="V140" s="668"/>
      <c r="W140" s="668"/>
      <c r="X140" s="597">
        <f t="shared" si="7"/>
        <v>-1100</v>
      </c>
    </row>
    <row r="141" spans="1:24" s="356" customFormat="1" ht="18" customHeight="1" thickBot="1">
      <c r="A141" s="693" t="s">
        <v>711</v>
      </c>
      <c r="B141" s="702">
        <f>SUM(B142:B159)</f>
        <v>119845</v>
      </c>
      <c r="C141" s="702"/>
      <c r="D141" s="702"/>
      <c r="E141" s="702">
        <f>SUM(E142:E159)</f>
        <v>-8650</v>
      </c>
      <c r="F141" s="702">
        <f>SUM(F142:F159)</f>
        <v>3000</v>
      </c>
      <c r="G141" s="702">
        <f>SUM(G142:G159)</f>
        <v>-700</v>
      </c>
      <c r="H141" s="702"/>
      <c r="I141" s="702"/>
      <c r="J141" s="702"/>
      <c r="K141" s="702"/>
      <c r="L141" s="702"/>
      <c r="M141" s="702"/>
      <c r="N141" s="702">
        <f>SUM(N142:N159)</f>
        <v>2000</v>
      </c>
      <c r="O141" s="702"/>
      <c r="P141" s="702"/>
      <c r="Q141" s="702">
        <f>SUM(Q142:Q159)</f>
        <v>55297</v>
      </c>
      <c r="R141" s="702">
        <f>SUM(R142:R159)</f>
        <v>71000</v>
      </c>
      <c r="S141" s="702"/>
      <c r="T141" s="702">
        <f>SUM(T142:T159)</f>
        <v>2000</v>
      </c>
      <c r="U141" s="702">
        <f>SUM(U142:U159)</f>
        <v>0</v>
      </c>
      <c r="V141" s="702">
        <f>SUM(V142:V159)</f>
        <v>-1100</v>
      </c>
      <c r="W141" s="702"/>
      <c r="X141" s="456">
        <f t="shared" si="7"/>
        <v>242692</v>
      </c>
    </row>
    <row r="142" spans="1:24" s="373" customFormat="1" ht="18" customHeight="1">
      <c r="A142" s="680" t="s">
        <v>104</v>
      </c>
      <c r="B142" s="664">
        <v>15000</v>
      </c>
      <c r="C142" s="664"/>
      <c r="D142" s="664"/>
      <c r="E142" s="664"/>
      <c r="F142" s="664"/>
      <c r="G142" s="664"/>
      <c r="H142" s="369"/>
      <c r="I142" s="369"/>
      <c r="J142" s="369"/>
      <c r="K142" s="369"/>
      <c r="L142" s="369"/>
      <c r="M142" s="369"/>
      <c r="N142" s="369"/>
      <c r="O142" s="369"/>
      <c r="P142" s="664"/>
      <c r="Q142" s="664">
        <v>-10000</v>
      </c>
      <c r="R142" s="664"/>
      <c r="S142" s="664"/>
      <c r="T142" s="664"/>
      <c r="U142" s="369"/>
      <c r="V142" s="370"/>
      <c r="W142" s="370"/>
      <c r="X142" s="448">
        <f t="shared" si="7"/>
        <v>5000</v>
      </c>
    </row>
    <row r="143" spans="1:24" s="373" customFormat="1" ht="25.5">
      <c r="A143" s="680" t="s">
        <v>542</v>
      </c>
      <c r="B143" s="664">
        <v>4000</v>
      </c>
      <c r="C143" s="664"/>
      <c r="D143" s="664"/>
      <c r="E143" s="664"/>
      <c r="F143" s="664"/>
      <c r="G143" s="664"/>
      <c r="H143" s="369"/>
      <c r="I143" s="369"/>
      <c r="J143" s="369"/>
      <c r="K143" s="369"/>
      <c r="L143" s="369"/>
      <c r="M143" s="369"/>
      <c r="N143" s="369"/>
      <c r="O143" s="369"/>
      <c r="P143" s="664"/>
      <c r="Q143" s="664"/>
      <c r="R143" s="664"/>
      <c r="S143" s="664"/>
      <c r="T143" s="664"/>
      <c r="U143" s="369"/>
      <c r="V143" s="370">
        <v>-1100</v>
      </c>
      <c r="W143" s="370"/>
      <c r="X143" s="448">
        <f t="shared" si="7"/>
        <v>2900</v>
      </c>
    </row>
    <row r="144" spans="1:24" s="373" customFormat="1" ht="19.5" customHeight="1">
      <c r="A144" s="680" t="s">
        <v>105</v>
      </c>
      <c r="B144" s="664">
        <v>25000</v>
      </c>
      <c r="C144" s="664"/>
      <c r="D144" s="664"/>
      <c r="E144" s="664">
        <v>-4000</v>
      </c>
      <c r="F144" s="664">
        <v>4000</v>
      </c>
      <c r="G144" s="664">
        <v>300</v>
      </c>
      <c r="H144" s="369"/>
      <c r="I144" s="369"/>
      <c r="J144" s="369"/>
      <c r="K144" s="369"/>
      <c r="L144" s="369"/>
      <c r="M144" s="369"/>
      <c r="N144" s="369">
        <v>2000</v>
      </c>
      <c r="O144" s="369"/>
      <c r="P144" s="664"/>
      <c r="Q144" s="664">
        <v>15000</v>
      </c>
      <c r="R144" s="664">
        <v>32000</v>
      </c>
      <c r="S144" s="664"/>
      <c r="T144" s="664">
        <v>2000</v>
      </c>
      <c r="U144" s="369"/>
      <c r="V144" s="370"/>
      <c r="W144" s="370"/>
      <c r="X144" s="448">
        <f t="shared" si="7"/>
        <v>76300</v>
      </c>
    </row>
    <row r="145" spans="1:24" s="373" customFormat="1" ht="25.5">
      <c r="A145" s="680" t="s">
        <v>565</v>
      </c>
      <c r="B145" s="369">
        <v>-30000</v>
      </c>
      <c r="C145" s="369"/>
      <c r="D145" s="369"/>
      <c r="E145" s="369"/>
      <c r="F145" s="369">
        <v>-3000</v>
      </c>
      <c r="G145" s="369"/>
      <c r="H145" s="369"/>
      <c r="I145" s="369"/>
      <c r="J145" s="369"/>
      <c r="K145" s="369"/>
      <c r="L145" s="369"/>
      <c r="M145" s="369"/>
      <c r="N145" s="369"/>
      <c r="O145" s="369"/>
      <c r="P145" s="664"/>
      <c r="Q145" s="664"/>
      <c r="R145" s="664"/>
      <c r="S145" s="664"/>
      <c r="T145" s="664"/>
      <c r="U145" s="369"/>
      <c r="V145" s="370"/>
      <c r="W145" s="370"/>
      <c r="X145" s="448">
        <f t="shared" si="7"/>
        <v>-33000</v>
      </c>
    </row>
    <row r="146" spans="1:24" s="373" customFormat="1" ht="19.5" customHeight="1">
      <c r="A146" s="680" t="s">
        <v>106</v>
      </c>
      <c r="B146" s="369">
        <v>15000</v>
      </c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664"/>
      <c r="Q146" s="664">
        <v>7000</v>
      </c>
      <c r="R146" s="664"/>
      <c r="S146" s="664"/>
      <c r="T146" s="664"/>
      <c r="U146" s="369"/>
      <c r="V146" s="370"/>
      <c r="W146" s="370"/>
      <c r="X146" s="448">
        <f t="shared" si="7"/>
        <v>22000</v>
      </c>
    </row>
    <row r="147" spans="1:24" s="373" customFormat="1" ht="18" customHeight="1">
      <c r="A147" s="680" t="s">
        <v>107</v>
      </c>
      <c r="B147" s="369">
        <v>15000</v>
      </c>
      <c r="C147" s="369"/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664"/>
      <c r="Q147" s="664">
        <v>3000</v>
      </c>
      <c r="R147" s="664"/>
      <c r="S147" s="664"/>
      <c r="T147" s="664"/>
      <c r="U147" s="369"/>
      <c r="V147" s="370"/>
      <c r="W147" s="370"/>
      <c r="X147" s="448">
        <f t="shared" si="7"/>
        <v>18000</v>
      </c>
    </row>
    <row r="148" spans="1:24" s="373" customFormat="1" ht="18" customHeight="1">
      <c r="A148" s="680" t="s">
        <v>108</v>
      </c>
      <c r="B148" s="369">
        <v>20000</v>
      </c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664"/>
      <c r="Q148" s="664"/>
      <c r="R148" s="664"/>
      <c r="S148" s="664"/>
      <c r="T148" s="664"/>
      <c r="U148" s="369"/>
      <c r="V148" s="370"/>
      <c r="W148" s="370"/>
      <c r="X148" s="448">
        <f t="shared" si="7"/>
        <v>20000</v>
      </c>
    </row>
    <row r="149" spans="1:24" s="373" customFormat="1" ht="18" customHeight="1">
      <c r="A149" s="680" t="s">
        <v>109</v>
      </c>
      <c r="B149" s="369"/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664"/>
      <c r="Q149" s="664"/>
      <c r="R149" s="664">
        <v>20000</v>
      </c>
      <c r="S149" s="664"/>
      <c r="T149" s="664"/>
      <c r="U149" s="369"/>
      <c r="V149" s="370"/>
      <c r="W149" s="370"/>
      <c r="X149" s="448">
        <f t="shared" si="7"/>
        <v>20000</v>
      </c>
    </row>
    <row r="150" spans="1:24" s="373" customFormat="1" ht="18" customHeight="1">
      <c r="A150" s="680" t="s">
        <v>752</v>
      </c>
      <c r="B150" s="369"/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664"/>
      <c r="Q150" s="664">
        <v>11000</v>
      </c>
      <c r="R150" s="664"/>
      <c r="S150" s="664"/>
      <c r="T150" s="664"/>
      <c r="U150" s="369"/>
      <c r="V150" s="370"/>
      <c r="W150" s="370"/>
      <c r="X150" s="448">
        <f t="shared" si="7"/>
        <v>11000</v>
      </c>
    </row>
    <row r="151" spans="1:24" s="373" customFormat="1" ht="18" customHeight="1">
      <c r="A151" s="680" t="s">
        <v>110</v>
      </c>
      <c r="B151" s="369">
        <v>3000</v>
      </c>
      <c r="C151" s="369"/>
      <c r="D151" s="369"/>
      <c r="E151" s="369"/>
      <c r="F151" s="369"/>
      <c r="G151" s="369">
        <v>-1300</v>
      </c>
      <c r="H151" s="369"/>
      <c r="I151" s="369"/>
      <c r="J151" s="369"/>
      <c r="K151" s="369"/>
      <c r="L151" s="369"/>
      <c r="M151" s="369"/>
      <c r="N151" s="369"/>
      <c r="O151" s="369"/>
      <c r="P151" s="664"/>
      <c r="Q151" s="664"/>
      <c r="R151" s="664"/>
      <c r="S151" s="664"/>
      <c r="T151" s="664"/>
      <c r="U151" s="369"/>
      <c r="V151" s="370"/>
      <c r="W151" s="370"/>
      <c r="X151" s="448">
        <f t="shared" si="7"/>
        <v>1700</v>
      </c>
    </row>
    <row r="152" spans="1:24" s="373" customFormat="1" ht="18" customHeight="1">
      <c r="A152" s="680" t="s">
        <v>584</v>
      </c>
      <c r="B152" s="92">
        <v>-18000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663"/>
      <c r="Q152" s="663"/>
      <c r="R152" s="663"/>
      <c r="S152" s="663"/>
      <c r="T152" s="663"/>
      <c r="U152" s="92"/>
      <c r="V152" s="616"/>
      <c r="W152" s="616"/>
      <c r="X152" s="448">
        <f aca="true" t="shared" si="8" ref="X152:X205">SUM(B152:W152)</f>
        <v>-18000</v>
      </c>
    </row>
    <row r="153" spans="1:24" s="373" customFormat="1" ht="18" customHeight="1">
      <c r="A153" s="680" t="s">
        <v>712</v>
      </c>
      <c r="B153" s="369"/>
      <c r="C153" s="369"/>
      <c r="D153" s="369"/>
      <c r="E153" s="369">
        <v>-3500</v>
      </c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664"/>
      <c r="Q153" s="664">
        <v>3500</v>
      </c>
      <c r="R153" s="664">
        <v>14000</v>
      </c>
      <c r="S153" s="664"/>
      <c r="T153" s="664"/>
      <c r="U153" s="369"/>
      <c r="V153" s="370"/>
      <c r="W153" s="370"/>
      <c r="X153" s="448">
        <f t="shared" si="8"/>
        <v>14000</v>
      </c>
    </row>
    <row r="154" spans="1:24" s="373" customFormat="1" ht="18" customHeight="1">
      <c r="A154" s="680" t="s">
        <v>713</v>
      </c>
      <c r="B154" s="369">
        <v>25000</v>
      </c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664"/>
      <c r="Q154" s="664">
        <v>6000</v>
      </c>
      <c r="R154" s="664"/>
      <c r="S154" s="664"/>
      <c r="T154" s="664"/>
      <c r="U154" s="369"/>
      <c r="V154" s="370"/>
      <c r="W154" s="370"/>
      <c r="X154" s="448">
        <f t="shared" si="8"/>
        <v>31000</v>
      </c>
    </row>
    <row r="155" spans="1:24" s="373" customFormat="1" ht="18" customHeight="1">
      <c r="A155" s="680" t="s">
        <v>111</v>
      </c>
      <c r="B155" s="369">
        <v>45845</v>
      </c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664"/>
      <c r="Q155" s="664">
        <v>20000</v>
      </c>
      <c r="R155" s="664"/>
      <c r="S155" s="664"/>
      <c r="T155" s="664"/>
      <c r="U155" s="369"/>
      <c r="V155" s="370"/>
      <c r="W155" s="370"/>
      <c r="X155" s="448">
        <f t="shared" si="8"/>
        <v>65845</v>
      </c>
    </row>
    <row r="156" spans="1:24" s="373" customFormat="1" ht="18" customHeight="1">
      <c r="A156" s="680" t="s">
        <v>715</v>
      </c>
      <c r="B156" s="369"/>
      <c r="C156" s="369"/>
      <c r="D156" s="369"/>
      <c r="E156" s="369">
        <v>-1150</v>
      </c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664"/>
      <c r="Q156" s="664"/>
      <c r="R156" s="664"/>
      <c r="S156" s="664"/>
      <c r="T156" s="664"/>
      <c r="U156" s="369"/>
      <c r="V156" s="370"/>
      <c r="W156" s="370"/>
      <c r="X156" s="448">
        <f t="shared" si="8"/>
        <v>-1150</v>
      </c>
    </row>
    <row r="157" spans="1:24" s="373" customFormat="1" ht="18" customHeight="1">
      <c r="A157" s="680" t="s">
        <v>112</v>
      </c>
      <c r="B157" s="369"/>
      <c r="C157" s="369"/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664"/>
      <c r="Q157" s="664"/>
      <c r="R157" s="664">
        <v>5000</v>
      </c>
      <c r="S157" s="664"/>
      <c r="T157" s="664"/>
      <c r="U157" s="369"/>
      <c r="V157" s="370"/>
      <c r="W157" s="370"/>
      <c r="X157" s="448">
        <f t="shared" si="8"/>
        <v>5000</v>
      </c>
    </row>
    <row r="158" spans="1:24" s="373" customFormat="1" ht="18" customHeight="1">
      <c r="A158" s="680" t="s">
        <v>113</v>
      </c>
      <c r="B158" s="369"/>
      <c r="C158" s="369"/>
      <c r="D158" s="369"/>
      <c r="E158" s="369"/>
      <c r="F158" s="369">
        <v>2000</v>
      </c>
      <c r="G158" s="369">
        <v>300</v>
      </c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664"/>
      <c r="S158" s="369"/>
      <c r="T158" s="369"/>
      <c r="U158" s="369"/>
      <c r="V158" s="370"/>
      <c r="W158" s="370"/>
      <c r="X158" s="448">
        <f t="shared" si="8"/>
        <v>2300</v>
      </c>
    </row>
    <row r="159" spans="1:24" s="373" customFormat="1" ht="18" customHeight="1" thickBot="1">
      <c r="A159" s="680" t="s">
        <v>566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>
        <v>-203</v>
      </c>
      <c r="R159" s="663"/>
      <c r="S159" s="92"/>
      <c r="T159" s="92"/>
      <c r="U159" s="92"/>
      <c r="V159" s="616"/>
      <c r="W159" s="616"/>
      <c r="X159" s="596">
        <f t="shared" si="8"/>
        <v>-203</v>
      </c>
    </row>
    <row r="160" spans="1:24" s="373" customFormat="1" ht="30" customHeight="1" thickBot="1">
      <c r="A160" s="693" t="s">
        <v>543</v>
      </c>
      <c r="B160" s="456">
        <f>SUM(B161:B163)</f>
        <v>15000</v>
      </c>
      <c r="C160" s="456"/>
      <c r="D160" s="456"/>
      <c r="E160" s="456">
        <f>SUM(E161:E163)</f>
        <v>-100</v>
      </c>
      <c r="F160" s="456">
        <f>SUM(F161:F163)</f>
        <v>-1500</v>
      </c>
      <c r="G160" s="456">
        <f>SUM(G161:G163)</f>
        <v>-300</v>
      </c>
      <c r="H160" s="456"/>
      <c r="I160" s="456"/>
      <c r="J160" s="456"/>
      <c r="K160" s="456"/>
      <c r="L160" s="456"/>
      <c r="M160" s="456"/>
      <c r="N160" s="456"/>
      <c r="O160" s="456"/>
      <c r="P160" s="456"/>
      <c r="Q160" s="456">
        <f>SUM(Q161:Q163)</f>
        <v>-2000</v>
      </c>
      <c r="R160" s="456"/>
      <c r="S160" s="456"/>
      <c r="T160" s="456"/>
      <c r="U160" s="456"/>
      <c r="V160" s="456"/>
      <c r="W160" s="456"/>
      <c r="X160" s="456">
        <f t="shared" si="8"/>
        <v>11100</v>
      </c>
    </row>
    <row r="161" spans="1:24" s="373" customFormat="1" ht="25.5">
      <c r="A161" s="680" t="s">
        <v>544</v>
      </c>
      <c r="B161" s="457">
        <v>16000</v>
      </c>
      <c r="C161" s="457"/>
      <c r="D161" s="457"/>
      <c r="E161" s="457"/>
      <c r="F161" s="457"/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  <c r="Q161" s="457"/>
      <c r="R161" s="457"/>
      <c r="S161" s="457"/>
      <c r="T161" s="457"/>
      <c r="U161" s="457"/>
      <c r="V161" s="458"/>
      <c r="W161" s="458"/>
      <c r="X161" s="448">
        <f t="shared" si="8"/>
        <v>16000</v>
      </c>
    </row>
    <row r="162" spans="1:24" s="373" customFormat="1" ht="51">
      <c r="A162" s="678" t="s">
        <v>567</v>
      </c>
      <c r="B162" s="457">
        <v>-1000</v>
      </c>
      <c r="C162" s="457"/>
      <c r="D162" s="457"/>
      <c r="E162" s="457">
        <v>-100</v>
      </c>
      <c r="F162" s="457">
        <v>-500</v>
      </c>
      <c r="G162" s="457">
        <v>-300</v>
      </c>
      <c r="H162" s="457"/>
      <c r="I162" s="457"/>
      <c r="J162" s="457"/>
      <c r="K162" s="457"/>
      <c r="L162" s="457"/>
      <c r="M162" s="457"/>
      <c r="N162" s="457"/>
      <c r="O162" s="457"/>
      <c r="P162" s="457"/>
      <c r="Q162" s="457">
        <v>-2000</v>
      </c>
      <c r="R162" s="457"/>
      <c r="S162" s="457"/>
      <c r="T162" s="457"/>
      <c r="U162" s="457"/>
      <c r="V162" s="458"/>
      <c r="W162" s="458"/>
      <c r="X162" s="448">
        <f t="shared" si="8"/>
        <v>-3900</v>
      </c>
    </row>
    <row r="163" spans="1:24" s="373" customFormat="1" ht="51">
      <c r="A163" s="680" t="s">
        <v>545</v>
      </c>
      <c r="B163" s="459"/>
      <c r="C163" s="459"/>
      <c r="D163" s="459"/>
      <c r="E163" s="459"/>
      <c r="F163" s="459">
        <v>-1000</v>
      </c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459"/>
      <c r="S163" s="459"/>
      <c r="T163" s="459"/>
      <c r="U163" s="459"/>
      <c r="V163" s="460"/>
      <c r="W163" s="460"/>
      <c r="X163" s="448">
        <f t="shared" si="8"/>
        <v>-1000</v>
      </c>
    </row>
    <row r="164" spans="1:24" s="356" customFormat="1" ht="26.25" thickBot="1">
      <c r="A164" s="734" t="s">
        <v>528</v>
      </c>
      <c r="B164" s="451"/>
      <c r="C164" s="451"/>
      <c r="D164" s="451"/>
      <c r="E164" s="451"/>
      <c r="F164" s="451"/>
      <c r="G164" s="451"/>
      <c r="H164" s="451"/>
      <c r="I164" s="451"/>
      <c r="J164" s="451"/>
      <c r="K164" s="451"/>
      <c r="L164" s="451"/>
      <c r="M164" s="451"/>
      <c r="N164" s="451"/>
      <c r="O164" s="451"/>
      <c r="P164" s="451"/>
      <c r="Q164" s="451"/>
      <c r="R164" s="451"/>
      <c r="S164" s="451"/>
      <c r="T164" s="451">
        <f>SUM(T165:T174)</f>
        <v>-35237</v>
      </c>
      <c r="U164" s="451"/>
      <c r="V164" s="451"/>
      <c r="W164" s="451"/>
      <c r="X164" s="452">
        <f t="shared" si="8"/>
        <v>-35237</v>
      </c>
    </row>
    <row r="165" spans="1:24" s="373" customFormat="1" ht="18" customHeight="1">
      <c r="A165" s="680" t="s">
        <v>583</v>
      </c>
      <c r="B165" s="369"/>
      <c r="C165" s="369"/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>
        <v>-183</v>
      </c>
      <c r="U165" s="369"/>
      <c r="V165" s="370"/>
      <c r="W165" s="370"/>
      <c r="X165" s="448">
        <f t="shared" si="8"/>
        <v>-183</v>
      </c>
    </row>
    <row r="166" spans="1:24" s="373" customFormat="1" ht="18" customHeight="1">
      <c r="A166" s="680" t="s">
        <v>726</v>
      </c>
      <c r="B166" s="369"/>
      <c r="C166" s="369"/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>
        <v>-1240</v>
      </c>
      <c r="U166" s="369"/>
      <c r="V166" s="370"/>
      <c r="W166" s="370"/>
      <c r="X166" s="448">
        <f t="shared" si="8"/>
        <v>-1240</v>
      </c>
    </row>
    <row r="167" spans="1:24" s="373" customFormat="1" ht="18" customHeight="1">
      <c r="A167" s="680" t="s">
        <v>793</v>
      </c>
      <c r="B167" s="369"/>
      <c r="C167" s="369"/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>
        <v>-2200</v>
      </c>
      <c r="U167" s="369"/>
      <c r="V167" s="370"/>
      <c r="W167" s="370"/>
      <c r="X167" s="448">
        <f t="shared" si="8"/>
        <v>-2200</v>
      </c>
    </row>
    <row r="168" spans="1:24" s="373" customFormat="1" ht="18" customHeight="1">
      <c r="A168" s="680" t="s">
        <v>794</v>
      </c>
      <c r="B168" s="369"/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>
        <v>-770</v>
      </c>
      <c r="U168" s="369"/>
      <c r="V168" s="370"/>
      <c r="W168" s="370"/>
      <c r="X168" s="448">
        <f t="shared" si="8"/>
        <v>-770</v>
      </c>
    </row>
    <row r="169" spans="1:24" s="373" customFormat="1" ht="18" customHeight="1">
      <c r="A169" s="680" t="s">
        <v>104</v>
      </c>
      <c r="B169" s="369"/>
      <c r="C169" s="369"/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>
        <v>-937</v>
      </c>
      <c r="U169" s="369"/>
      <c r="V169" s="370"/>
      <c r="W169" s="370"/>
      <c r="X169" s="448">
        <f t="shared" si="8"/>
        <v>-937</v>
      </c>
    </row>
    <row r="170" spans="1:24" s="373" customFormat="1" ht="18" customHeight="1">
      <c r="A170" s="680" t="s">
        <v>106</v>
      </c>
      <c r="B170" s="369"/>
      <c r="C170" s="369"/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>
        <v>-645</v>
      </c>
      <c r="U170" s="369"/>
      <c r="V170" s="370"/>
      <c r="W170" s="370"/>
      <c r="X170" s="448">
        <f t="shared" si="8"/>
        <v>-645</v>
      </c>
    </row>
    <row r="171" spans="1:24" s="373" customFormat="1" ht="18" customHeight="1">
      <c r="A171" s="680" t="s">
        <v>752</v>
      </c>
      <c r="B171" s="369"/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>
        <v>-11000</v>
      </c>
      <c r="U171" s="369"/>
      <c r="V171" s="370"/>
      <c r="W171" s="370"/>
      <c r="X171" s="448">
        <f t="shared" si="8"/>
        <v>-11000</v>
      </c>
    </row>
    <row r="172" spans="1:24" s="373" customFormat="1" ht="18" customHeight="1">
      <c r="A172" s="680" t="s">
        <v>712</v>
      </c>
      <c r="B172" s="369"/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>
        <v>-18605</v>
      </c>
      <c r="U172" s="369"/>
      <c r="V172" s="370"/>
      <c r="W172" s="370"/>
      <c r="X172" s="448">
        <f t="shared" si="8"/>
        <v>-18605</v>
      </c>
    </row>
    <row r="173" spans="1:24" s="373" customFormat="1" ht="18" customHeight="1">
      <c r="A173" s="680" t="s">
        <v>753</v>
      </c>
      <c r="B173" s="369"/>
      <c r="C173" s="369"/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>
        <v>203</v>
      </c>
      <c r="U173" s="369"/>
      <c r="V173" s="370"/>
      <c r="W173" s="370"/>
      <c r="X173" s="448">
        <f t="shared" si="8"/>
        <v>203</v>
      </c>
    </row>
    <row r="174" spans="1:24" s="373" customFormat="1" ht="43.5" customHeight="1" thickBot="1">
      <c r="A174" s="678" t="s">
        <v>754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>
        <v>140</v>
      </c>
      <c r="U174" s="92"/>
      <c r="V174" s="616"/>
      <c r="W174" s="616"/>
      <c r="X174" s="596">
        <f t="shared" si="8"/>
        <v>140</v>
      </c>
    </row>
    <row r="175" spans="1:24" s="373" customFormat="1" ht="30" customHeight="1" thickBot="1">
      <c r="A175" s="374" t="s">
        <v>716</v>
      </c>
      <c r="B175" s="456">
        <f>SUM(B176:B194)</f>
        <v>-49464</v>
      </c>
      <c r="C175" s="456"/>
      <c r="D175" s="456"/>
      <c r="E175" s="456">
        <f>SUM(E176:E194)</f>
        <v>-4000</v>
      </c>
      <c r="F175" s="456">
        <f>SUM(F176:F194)</f>
        <v>-6500</v>
      </c>
      <c r="G175" s="456">
        <f>SUM(G176:G194)</f>
        <v>-502</v>
      </c>
      <c r="H175" s="456"/>
      <c r="I175" s="456"/>
      <c r="J175" s="456"/>
      <c r="K175" s="456"/>
      <c r="L175" s="456"/>
      <c r="M175" s="456">
        <f>SUM(M176:M194)</f>
        <v>1530</v>
      </c>
      <c r="N175" s="456"/>
      <c r="O175" s="456"/>
      <c r="P175" s="456"/>
      <c r="Q175" s="456">
        <f>SUM(Q176:Q194)</f>
        <v>23000</v>
      </c>
      <c r="R175" s="456">
        <f>SUM(R176:R194)</f>
        <v>30040</v>
      </c>
      <c r="S175" s="456"/>
      <c r="T175" s="456"/>
      <c r="U175" s="456"/>
      <c r="V175" s="456">
        <f>SUM(V176:V194)</f>
        <v>-2238</v>
      </c>
      <c r="W175" s="456"/>
      <c r="X175" s="456">
        <f t="shared" si="8"/>
        <v>-8134</v>
      </c>
    </row>
    <row r="176" spans="1:24" s="373" customFormat="1" ht="19.5" customHeight="1">
      <c r="A176" s="696" t="s">
        <v>717</v>
      </c>
      <c r="B176" s="457">
        <v>37000</v>
      </c>
      <c r="C176" s="457"/>
      <c r="D176" s="457"/>
      <c r="E176" s="457"/>
      <c r="F176" s="457"/>
      <c r="G176" s="457"/>
      <c r="H176" s="457"/>
      <c r="I176" s="457"/>
      <c r="J176" s="457"/>
      <c r="K176" s="457"/>
      <c r="L176" s="457"/>
      <c r="M176" s="457"/>
      <c r="N176" s="457"/>
      <c r="O176" s="457"/>
      <c r="P176" s="457"/>
      <c r="Q176" s="457"/>
      <c r="R176" s="457"/>
      <c r="S176" s="457"/>
      <c r="T176" s="457"/>
      <c r="U176" s="457"/>
      <c r="V176" s="458"/>
      <c r="W176" s="458"/>
      <c r="X176" s="448">
        <f t="shared" si="8"/>
        <v>37000</v>
      </c>
    </row>
    <row r="177" spans="1:24" s="373" customFormat="1" ht="19.5" customHeight="1">
      <c r="A177" s="696" t="s">
        <v>114</v>
      </c>
      <c r="B177" s="457"/>
      <c r="C177" s="457"/>
      <c r="D177" s="457"/>
      <c r="E177" s="457"/>
      <c r="F177" s="457"/>
      <c r="G177" s="457"/>
      <c r="H177" s="457"/>
      <c r="I177" s="457"/>
      <c r="J177" s="457"/>
      <c r="K177" s="457"/>
      <c r="L177" s="457"/>
      <c r="M177" s="457"/>
      <c r="N177" s="457"/>
      <c r="O177" s="457"/>
      <c r="P177" s="457"/>
      <c r="Q177" s="457"/>
      <c r="R177" s="457">
        <v>15000</v>
      </c>
      <c r="S177" s="457"/>
      <c r="T177" s="457"/>
      <c r="U177" s="457"/>
      <c r="V177" s="458"/>
      <c r="W177" s="458"/>
      <c r="X177" s="448">
        <f t="shared" si="8"/>
        <v>15000</v>
      </c>
    </row>
    <row r="178" spans="1:24" s="373" customFormat="1" ht="19.5" customHeight="1">
      <c r="A178" s="696" t="s">
        <v>115</v>
      </c>
      <c r="B178" s="457"/>
      <c r="C178" s="457"/>
      <c r="D178" s="457"/>
      <c r="E178" s="457"/>
      <c r="F178" s="457"/>
      <c r="G178" s="457"/>
      <c r="H178" s="457"/>
      <c r="I178" s="457"/>
      <c r="J178" s="457"/>
      <c r="K178" s="457"/>
      <c r="L178" s="457"/>
      <c r="M178" s="457">
        <v>1530</v>
      </c>
      <c r="N178" s="457"/>
      <c r="O178" s="457"/>
      <c r="P178" s="457"/>
      <c r="Q178" s="457"/>
      <c r="R178" s="457"/>
      <c r="S178" s="457"/>
      <c r="T178" s="457"/>
      <c r="U178" s="457"/>
      <c r="V178" s="458"/>
      <c r="W178" s="458"/>
      <c r="X178" s="448">
        <f t="shared" si="8"/>
        <v>1530</v>
      </c>
    </row>
    <row r="179" spans="1:24" s="373" customFormat="1" ht="19.5" customHeight="1">
      <c r="A179" s="696" t="s">
        <v>116</v>
      </c>
      <c r="B179" s="457">
        <v>-19000</v>
      </c>
      <c r="C179" s="457"/>
      <c r="D179" s="457"/>
      <c r="E179" s="457"/>
      <c r="F179" s="457"/>
      <c r="G179" s="457"/>
      <c r="H179" s="457"/>
      <c r="I179" s="457"/>
      <c r="J179" s="457"/>
      <c r="K179" s="457"/>
      <c r="L179" s="457"/>
      <c r="M179" s="457"/>
      <c r="N179" s="457"/>
      <c r="O179" s="457"/>
      <c r="P179" s="457"/>
      <c r="Q179" s="457">
        <v>4000</v>
      </c>
      <c r="R179" s="457"/>
      <c r="S179" s="457"/>
      <c r="T179" s="457"/>
      <c r="U179" s="457"/>
      <c r="V179" s="458"/>
      <c r="W179" s="458"/>
      <c r="X179" s="448">
        <f t="shared" si="8"/>
        <v>-15000</v>
      </c>
    </row>
    <row r="180" spans="1:24" s="373" customFormat="1" ht="19.5" customHeight="1">
      <c r="A180" s="696" t="s">
        <v>591</v>
      </c>
      <c r="B180" s="457"/>
      <c r="C180" s="457"/>
      <c r="D180" s="457"/>
      <c r="E180" s="457"/>
      <c r="F180" s="457"/>
      <c r="G180" s="457"/>
      <c r="H180" s="457"/>
      <c r="I180" s="457"/>
      <c r="J180" s="457"/>
      <c r="K180" s="457"/>
      <c r="L180" s="457"/>
      <c r="M180" s="457"/>
      <c r="N180" s="457"/>
      <c r="O180" s="457"/>
      <c r="P180" s="457"/>
      <c r="Q180" s="457">
        <v>6000</v>
      </c>
      <c r="R180" s="457"/>
      <c r="S180" s="457"/>
      <c r="T180" s="457"/>
      <c r="U180" s="457"/>
      <c r="V180" s="458"/>
      <c r="W180" s="458"/>
      <c r="X180" s="448">
        <f t="shared" si="8"/>
        <v>6000</v>
      </c>
    </row>
    <row r="181" spans="1:24" s="373" customFormat="1" ht="19.5" customHeight="1">
      <c r="A181" s="696" t="s">
        <v>117</v>
      </c>
      <c r="B181" s="457">
        <v>-30000</v>
      </c>
      <c r="C181" s="457"/>
      <c r="D181" s="457"/>
      <c r="E181" s="457"/>
      <c r="F181" s="457"/>
      <c r="G181" s="457">
        <v>-700</v>
      </c>
      <c r="H181" s="457"/>
      <c r="I181" s="457"/>
      <c r="J181" s="457"/>
      <c r="K181" s="457"/>
      <c r="L181" s="457"/>
      <c r="M181" s="457"/>
      <c r="N181" s="457"/>
      <c r="O181" s="457"/>
      <c r="P181" s="457"/>
      <c r="Q181" s="457">
        <v>5000</v>
      </c>
      <c r="R181" s="457"/>
      <c r="S181" s="457"/>
      <c r="T181" s="457"/>
      <c r="U181" s="457"/>
      <c r="V181" s="458"/>
      <c r="W181" s="458"/>
      <c r="X181" s="448">
        <f t="shared" si="8"/>
        <v>-25700</v>
      </c>
    </row>
    <row r="182" spans="1:24" s="373" customFormat="1" ht="19.5" customHeight="1">
      <c r="A182" s="696" t="s">
        <v>718</v>
      </c>
      <c r="B182" s="457"/>
      <c r="C182" s="457"/>
      <c r="D182" s="457"/>
      <c r="E182" s="457"/>
      <c r="F182" s="457"/>
      <c r="G182" s="457"/>
      <c r="H182" s="457"/>
      <c r="I182" s="457"/>
      <c r="J182" s="457"/>
      <c r="K182" s="457"/>
      <c r="L182" s="457"/>
      <c r="M182" s="457"/>
      <c r="N182" s="457"/>
      <c r="O182" s="457"/>
      <c r="P182" s="457"/>
      <c r="Q182" s="457"/>
      <c r="R182" s="457">
        <v>6200</v>
      </c>
      <c r="S182" s="457"/>
      <c r="T182" s="457"/>
      <c r="U182" s="457"/>
      <c r="V182" s="458"/>
      <c r="W182" s="458"/>
      <c r="X182" s="448">
        <f t="shared" si="8"/>
        <v>6200</v>
      </c>
    </row>
    <row r="183" spans="1:24" s="373" customFormat="1" ht="19.5" customHeight="1">
      <c r="A183" s="696" t="s">
        <v>118</v>
      </c>
      <c r="B183" s="457">
        <v>-19800</v>
      </c>
      <c r="C183" s="457"/>
      <c r="D183" s="457"/>
      <c r="E183" s="457">
        <v>-4000</v>
      </c>
      <c r="F183" s="457">
        <v>-5600</v>
      </c>
      <c r="G183" s="457">
        <v>-800</v>
      </c>
      <c r="H183" s="457"/>
      <c r="I183" s="457"/>
      <c r="J183" s="457"/>
      <c r="K183" s="457"/>
      <c r="L183" s="457"/>
      <c r="M183" s="457"/>
      <c r="N183" s="457"/>
      <c r="O183" s="457"/>
      <c r="P183" s="457"/>
      <c r="Q183" s="457"/>
      <c r="R183" s="457"/>
      <c r="S183" s="457"/>
      <c r="T183" s="457"/>
      <c r="U183" s="457"/>
      <c r="V183" s="458"/>
      <c r="W183" s="458"/>
      <c r="X183" s="448">
        <f t="shared" si="8"/>
        <v>-30200</v>
      </c>
    </row>
    <row r="184" spans="1:24" s="373" customFormat="1" ht="19.5" customHeight="1">
      <c r="A184" s="696" t="s">
        <v>580</v>
      </c>
      <c r="B184" s="457"/>
      <c r="C184" s="457"/>
      <c r="D184" s="457"/>
      <c r="E184" s="457"/>
      <c r="F184" s="457"/>
      <c r="G184" s="457"/>
      <c r="H184" s="457"/>
      <c r="I184" s="457"/>
      <c r="J184" s="457"/>
      <c r="K184" s="457"/>
      <c r="L184" s="457"/>
      <c r="M184" s="457"/>
      <c r="N184" s="457"/>
      <c r="O184" s="457"/>
      <c r="P184" s="457"/>
      <c r="Q184" s="457">
        <v>3000</v>
      </c>
      <c r="R184" s="457">
        <v>5540</v>
      </c>
      <c r="S184" s="457"/>
      <c r="T184" s="457"/>
      <c r="U184" s="457"/>
      <c r="V184" s="458"/>
      <c r="W184" s="458"/>
      <c r="X184" s="448">
        <f t="shared" si="8"/>
        <v>8540</v>
      </c>
    </row>
    <row r="185" spans="1:24" s="373" customFormat="1" ht="25.5">
      <c r="A185" s="700" t="s">
        <v>546</v>
      </c>
      <c r="B185" s="457">
        <v>2000</v>
      </c>
      <c r="C185" s="457"/>
      <c r="D185" s="457"/>
      <c r="E185" s="457"/>
      <c r="F185" s="457"/>
      <c r="G185" s="457"/>
      <c r="H185" s="457"/>
      <c r="I185" s="457"/>
      <c r="J185" s="457"/>
      <c r="K185" s="457"/>
      <c r="L185" s="457"/>
      <c r="M185" s="457"/>
      <c r="N185" s="457"/>
      <c r="O185" s="457"/>
      <c r="P185" s="457"/>
      <c r="Q185" s="457"/>
      <c r="R185" s="457"/>
      <c r="S185" s="457"/>
      <c r="T185" s="457"/>
      <c r="U185" s="457"/>
      <c r="V185" s="458"/>
      <c r="W185" s="458"/>
      <c r="X185" s="448">
        <f t="shared" si="8"/>
        <v>2000</v>
      </c>
    </row>
    <row r="186" spans="1:24" s="373" customFormat="1" ht="25.5">
      <c r="A186" s="700" t="s">
        <v>568</v>
      </c>
      <c r="B186" s="457">
        <v>-15000</v>
      </c>
      <c r="C186" s="457"/>
      <c r="D186" s="457"/>
      <c r="E186" s="457"/>
      <c r="F186" s="457">
        <v>-500</v>
      </c>
      <c r="G186" s="457"/>
      <c r="H186" s="457"/>
      <c r="I186" s="457"/>
      <c r="J186" s="457"/>
      <c r="K186" s="457"/>
      <c r="L186" s="457"/>
      <c r="M186" s="457"/>
      <c r="N186" s="457"/>
      <c r="O186" s="457"/>
      <c r="P186" s="457"/>
      <c r="Q186" s="457">
        <v>3000</v>
      </c>
      <c r="R186" s="457"/>
      <c r="S186" s="457"/>
      <c r="T186" s="457"/>
      <c r="U186" s="457"/>
      <c r="V186" s="458"/>
      <c r="W186" s="458"/>
      <c r="X186" s="448">
        <f t="shared" si="8"/>
        <v>-12500</v>
      </c>
    </row>
    <row r="187" spans="1:24" s="373" customFormat="1" ht="25.5">
      <c r="A187" s="700" t="s">
        <v>547</v>
      </c>
      <c r="B187" s="457">
        <v>6500</v>
      </c>
      <c r="C187" s="457"/>
      <c r="D187" s="457"/>
      <c r="E187" s="457"/>
      <c r="F187" s="457"/>
      <c r="G187" s="457"/>
      <c r="H187" s="457"/>
      <c r="I187" s="457"/>
      <c r="J187" s="457"/>
      <c r="K187" s="457"/>
      <c r="L187" s="457"/>
      <c r="M187" s="457"/>
      <c r="N187" s="457"/>
      <c r="O187" s="457"/>
      <c r="P187" s="457"/>
      <c r="Q187" s="457">
        <v>-8000</v>
      </c>
      <c r="R187" s="457"/>
      <c r="S187" s="457"/>
      <c r="T187" s="457"/>
      <c r="U187" s="457"/>
      <c r="V187" s="458"/>
      <c r="W187" s="458"/>
      <c r="X187" s="448">
        <f t="shared" si="8"/>
        <v>-1500</v>
      </c>
    </row>
    <row r="188" spans="1:24" s="373" customFormat="1" ht="25.5">
      <c r="A188" s="700" t="s">
        <v>548</v>
      </c>
      <c r="B188" s="457"/>
      <c r="C188" s="457"/>
      <c r="D188" s="457"/>
      <c r="E188" s="457"/>
      <c r="F188" s="457"/>
      <c r="G188" s="457"/>
      <c r="H188" s="457"/>
      <c r="I188" s="457"/>
      <c r="J188" s="457"/>
      <c r="K188" s="457"/>
      <c r="L188" s="457"/>
      <c r="M188" s="457"/>
      <c r="N188" s="457"/>
      <c r="O188" s="457"/>
      <c r="P188" s="457"/>
      <c r="Q188" s="457"/>
      <c r="R188" s="457"/>
      <c r="S188" s="457"/>
      <c r="T188" s="457"/>
      <c r="U188" s="457"/>
      <c r="V188" s="458">
        <v>-2238</v>
      </c>
      <c r="W188" s="458"/>
      <c r="X188" s="448">
        <f t="shared" si="8"/>
        <v>-2238</v>
      </c>
    </row>
    <row r="189" spans="1:24" s="373" customFormat="1" ht="25.5">
      <c r="A189" s="700" t="s">
        <v>550</v>
      </c>
      <c r="B189" s="457">
        <v>8204</v>
      </c>
      <c r="C189" s="457"/>
      <c r="D189" s="457"/>
      <c r="E189" s="457"/>
      <c r="F189" s="457"/>
      <c r="G189" s="457"/>
      <c r="H189" s="457"/>
      <c r="I189" s="457"/>
      <c r="J189" s="457"/>
      <c r="K189" s="457"/>
      <c r="L189" s="457"/>
      <c r="M189" s="457"/>
      <c r="N189" s="457"/>
      <c r="O189" s="457"/>
      <c r="P189" s="457"/>
      <c r="Q189" s="457">
        <v>-1000</v>
      </c>
      <c r="R189" s="457"/>
      <c r="S189" s="457"/>
      <c r="T189" s="457"/>
      <c r="U189" s="457"/>
      <c r="V189" s="458"/>
      <c r="W189" s="458"/>
      <c r="X189" s="448">
        <f t="shared" si="8"/>
        <v>7204</v>
      </c>
    </row>
    <row r="190" spans="1:24" s="373" customFormat="1" ht="25.5">
      <c r="A190" s="700" t="s">
        <v>549</v>
      </c>
      <c r="B190" s="457">
        <v>-10380</v>
      </c>
      <c r="C190" s="457"/>
      <c r="D190" s="457"/>
      <c r="E190" s="457"/>
      <c r="F190" s="457"/>
      <c r="G190" s="457">
        <v>998</v>
      </c>
      <c r="H190" s="457"/>
      <c r="I190" s="457"/>
      <c r="J190" s="457"/>
      <c r="K190" s="457"/>
      <c r="L190" s="457"/>
      <c r="M190" s="457"/>
      <c r="N190" s="457"/>
      <c r="O190" s="457"/>
      <c r="P190" s="457"/>
      <c r="Q190" s="457"/>
      <c r="R190" s="457"/>
      <c r="S190" s="457"/>
      <c r="T190" s="457"/>
      <c r="U190" s="457"/>
      <c r="V190" s="458"/>
      <c r="W190" s="458"/>
      <c r="X190" s="448">
        <f t="shared" si="8"/>
        <v>-9382</v>
      </c>
    </row>
    <row r="191" spans="1:24" s="373" customFormat="1" ht="25.5">
      <c r="A191" s="700" t="s">
        <v>551</v>
      </c>
      <c r="B191" s="457">
        <v>-8988</v>
      </c>
      <c r="C191" s="457"/>
      <c r="D191" s="457"/>
      <c r="E191" s="457"/>
      <c r="F191" s="457">
        <v>-400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57"/>
      <c r="R191" s="457"/>
      <c r="S191" s="457"/>
      <c r="T191" s="457"/>
      <c r="U191" s="457"/>
      <c r="V191" s="458"/>
      <c r="W191" s="458"/>
      <c r="X191" s="448">
        <f t="shared" si="8"/>
        <v>-9388</v>
      </c>
    </row>
    <row r="192" spans="1:24" s="373" customFormat="1" ht="25.5">
      <c r="A192" s="674" t="s">
        <v>755</v>
      </c>
      <c r="B192" s="457"/>
      <c r="C192" s="457"/>
      <c r="D192" s="457"/>
      <c r="E192" s="457"/>
      <c r="F192" s="457"/>
      <c r="G192" s="457"/>
      <c r="H192" s="457"/>
      <c r="I192" s="457"/>
      <c r="J192" s="457"/>
      <c r="K192" s="457"/>
      <c r="L192" s="457"/>
      <c r="M192" s="457"/>
      <c r="N192" s="457"/>
      <c r="O192" s="457"/>
      <c r="P192" s="457"/>
      <c r="Q192" s="457">
        <v>3000</v>
      </c>
      <c r="R192" s="457"/>
      <c r="S192" s="457"/>
      <c r="T192" s="457"/>
      <c r="U192" s="457"/>
      <c r="V192" s="458"/>
      <c r="W192" s="458"/>
      <c r="X192" s="448">
        <f t="shared" si="8"/>
        <v>3000</v>
      </c>
    </row>
    <row r="193" spans="1:24" s="373" customFormat="1" ht="27.75" customHeight="1">
      <c r="A193" s="674" t="s">
        <v>358</v>
      </c>
      <c r="B193" s="457"/>
      <c r="C193" s="457"/>
      <c r="D193" s="457"/>
      <c r="E193" s="457"/>
      <c r="F193" s="457"/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57">
        <v>5000</v>
      </c>
      <c r="R193" s="457">
        <v>3300</v>
      </c>
      <c r="S193" s="457"/>
      <c r="T193" s="457"/>
      <c r="U193" s="457"/>
      <c r="V193" s="458"/>
      <c r="W193" s="458"/>
      <c r="X193" s="448">
        <f t="shared" si="8"/>
        <v>8300</v>
      </c>
    </row>
    <row r="194" spans="1:24" s="373" customFormat="1" ht="18" customHeight="1" thickBot="1">
      <c r="A194" s="701" t="s">
        <v>552</v>
      </c>
      <c r="B194" s="598"/>
      <c r="C194" s="598"/>
      <c r="D194" s="598"/>
      <c r="E194" s="598"/>
      <c r="F194" s="598"/>
      <c r="G194" s="598"/>
      <c r="H194" s="598"/>
      <c r="I194" s="598"/>
      <c r="J194" s="598"/>
      <c r="K194" s="598"/>
      <c r="L194" s="598"/>
      <c r="M194" s="598"/>
      <c r="N194" s="598"/>
      <c r="O194" s="598"/>
      <c r="P194" s="598"/>
      <c r="Q194" s="598">
        <v>3000</v>
      </c>
      <c r="R194" s="598"/>
      <c r="S194" s="598"/>
      <c r="T194" s="598"/>
      <c r="U194" s="598"/>
      <c r="V194" s="599"/>
      <c r="W194" s="599"/>
      <c r="X194" s="448">
        <f t="shared" si="8"/>
        <v>3000</v>
      </c>
    </row>
    <row r="195" spans="1:24" s="373" customFormat="1" ht="29.25" customHeight="1" thickBot="1">
      <c r="A195" s="374" t="s">
        <v>529</v>
      </c>
      <c r="B195" s="456">
        <f>SUM(B196:B196)</f>
        <v>15000</v>
      </c>
      <c r="C195" s="456"/>
      <c r="D195" s="456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>
        <f>SUM(Q196:Q196)</f>
        <v>-1700</v>
      </c>
      <c r="R195" s="456"/>
      <c r="S195" s="456"/>
      <c r="T195" s="456"/>
      <c r="U195" s="456"/>
      <c r="V195" s="456"/>
      <c r="W195" s="456"/>
      <c r="X195" s="456">
        <f t="shared" si="8"/>
        <v>13300</v>
      </c>
    </row>
    <row r="196" spans="1:24" s="373" customFormat="1" ht="39" thickBot="1">
      <c r="A196" s="700" t="s">
        <v>553</v>
      </c>
      <c r="B196" s="598">
        <v>15000</v>
      </c>
      <c r="C196" s="598"/>
      <c r="D196" s="598"/>
      <c r="E196" s="598"/>
      <c r="F196" s="598"/>
      <c r="G196" s="598"/>
      <c r="H196" s="598"/>
      <c r="I196" s="598"/>
      <c r="J196" s="598"/>
      <c r="K196" s="598"/>
      <c r="L196" s="598"/>
      <c r="M196" s="598"/>
      <c r="N196" s="598"/>
      <c r="O196" s="598"/>
      <c r="P196" s="598"/>
      <c r="Q196" s="598">
        <v>-1700</v>
      </c>
      <c r="R196" s="598"/>
      <c r="S196" s="598"/>
      <c r="T196" s="598"/>
      <c r="U196" s="598"/>
      <c r="V196" s="599"/>
      <c r="W196" s="599"/>
      <c r="X196" s="448">
        <f t="shared" si="8"/>
        <v>13300</v>
      </c>
    </row>
    <row r="197" spans="1:24" s="373" customFormat="1" ht="20.25" customHeight="1" thickBot="1">
      <c r="A197" s="374" t="s">
        <v>530</v>
      </c>
      <c r="B197" s="456">
        <f>SUM(B198:B200)</f>
        <v>-3914</v>
      </c>
      <c r="C197" s="456"/>
      <c r="D197" s="456"/>
      <c r="E197" s="456"/>
      <c r="F197" s="456"/>
      <c r="G197" s="456">
        <f>SUM(G198:G200)</f>
        <v>-200</v>
      </c>
      <c r="H197" s="456"/>
      <c r="I197" s="456"/>
      <c r="J197" s="456"/>
      <c r="K197" s="456"/>
      <c r="L197" s="456"/>
      <c r="M197" s="456"/>
      <c r="N197" s="456"/>
      <c r="O197" s="456"/>
      <c r="P197" s="456"/>
      <c r="Q197" s="456"/>
      <c r="R197" s="456"/>
      <c r="S197" s="456"/>
      <c r="T197" s="456"/>
      <c r="U197" s="456"/>
      <c r="V197" s="456">
        <f>SUM(V198:V200)</f>
        <v>-250</v>
      </c>
      <c r="W197" s="456"/>
      <c r="X197" s="456">
        <f t="shared" si="8"/>
        <v>-4364</v>
      </c>
    </row>
    <row r="198" spans="1:24" s="373" customFormat="1" ht="25.5">
      <c r="A198" s="696" t="s">
        <v>569</v>
      </c>
      <c r="B198" s="457">
        <v>1086</v>
      </c>
      <c r="C198" s="457"/>
      <c r="D198" s="457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57"/>
      <c r="R198" s="457"/>
      <c r="S198" s="457"/>
      <c r="T198" s="457"/>
      <c r="U198" s="457"/>
      <c r="V198" s="458"/>
      <c r="W198" s="458"/>
      <c r="X198" s="448">
        <f t="shared" si="8"/>
        <v>1086</v>
      </c>
    </row>
    <row r="199" spans="1:24" s="373" customFormat="1" ht="25.5">
      <c r="A199" s="700" t="s">
        <v>570</v>
      </c>
      <c r="B199" s="459">
        <v>-5000</v>
      </c>
      <c r="C199" s="459"/>
      <c r="D199" s="459"/>
      <c r="E199" s="459"/>
      <c r="F199" s="459"/>
      <c r="G199" s="459"/>
      <c r="H199" s="459"/>
      <c r="I199" s="459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459"/>
      <c r="U199" s="459"/>
      <c r="V199" s="460"/>
      <c r="W199" s="460"/>
      <c r="X199" s="448">
        <f t="shared" si="8"/>
        <v>-5000</v>
      </c>
    </row>
    <row r="200" spans="1:24" s="373" customFormat="1" ht="27.75" customHeight="1" thickBot="1">
      <c r="A200" s="700" t="s">
        <v>571</v>
      </c>
      <c r="B200" s="459"/>
      <c r="C200" s="459"/>
      <c r="D200" s="459"/>
      <c r="E200" s="459"/>
      <c r="F200" s="459"/>
      <c r="G200" s="459">
        <v>-200</v>
      </c>
      <c r="H200" s="459"/>
      <c r="I200" s="459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59"/>
      <c r="V200" s="460">
        <v>-250</v>
      </c>
      <c r="W200" s="460"/>
      <c r="X200" s="448">
        <f t="shared" si="8"/>
        <v>-450</v>
      </c>
    </row>
    <row r="201" spans="1:24" s="373" customFormat="1" ht="26.25" thickBot="1">
      <c r="A201" s="374" t="s">
        <v>572</v>
      </c>
      <c r="B201" s="456">
        <f>B202</f>
        <v>-2500</v>
      </c>
      <c r="C201" s="456"/>
      <c r="D201" s="456"/>
      <c r="E201" s="456"/>
      <c r="F201" s="456"/>
      <c r="G201" s="456"/>
      <c r="H201" s="456"/>
      <c r="I201" s="456"/>
      <c r="J201" s="456"/>
      <c r="K201" s="456"/>
      <c r="L201" s="456"/>
      <c r="M201" s="456"/>
      <c r="N201" s="456"/>
      <c r="O201" s="456"/>
      <c r="P201" s="456"/>
      <c r="Q201" s="456"/>
      <c r="R201" s="456"/>
      <c r="S201" s="456"/>
      <c r="T201" s="456"/>
      <c r="U201" s="456"/>
      <c r="V201" s="456"/>
      <c r="W201" s="456"/>
      <c r="X201" s="456">
        <f t="shared" si="8"/>
        <v>-2500</v>
      </c>
    </row>
    <row r="202" spans="1:24" s="373" customFormat="1" ht="51.75" thickBot="1">
      <c r="A202" s="699" t="s">
        <v>406</v>
      </c>
      <c r="B202" s="669">
        <v>-2500</v>
      </c>
      <c r="C202" s="669"/>
      <c r="D202" s="669"/>
      <c r="E202" s="669"/>
      <c r="F202" s="669"/>
      <c r="G202" s="669"/>
      <c r="H202" s="669"/>
      <c r="I202" s="669"/>
      <c r="J202" s="669"/>
      <c r="K202" s="669"/>
      <c r="L202" s="669"/>
      <c r="M202" s="669"/>
      <c r="N202" s="669"/>
      <c r="O202" s="669"/>
      <c r="P202" s="669"/>
      <c r="Q202" s="669"/>
      <c r="R202" s="669"/>
      <c r="S202" s="669"/>
      <c r="T202" s="669"/>
      <c r="U202" s="669"/>
      <c r="V202" s="670"/>
      <c r="W202" s="670"/>
      <c r="X202" s="671">
        <f t="shared" si="8"/>
        <v>-2500</v>
      </c>
    </row>
    <row r="203" spans="1:24" s="373" customFormat="1" ht="21.75" customHeight="1" thickBot="1">
      <c r="A203" s="371" t="s">
        <v>189</v>
      </c>
      <c r="B203" s="452">
        <f>SUM(B204:B212)</f>
        <v>-82900</v>
      </c>
      <c r="C203" s="452"/>
      <c r="D203" s="452">
        <f>SUM(D204:D212)</f>
        <v>-361</v>
      </c>
      <c r="E203" s="452"/>
      <c r="F203" s="452">
        <f>SUM(F204:F212)</f>
        <v>-4000</v>
      </c>
      <c r="G203" s="452">
        <f>SUM(G204:G212)</f>
        <v>-4000</v>
      </c>
      <c r="H203" s="452"/>
      <c r="I203" s="452"/>
      <c r="J203" s="452"/>
      <c r="K203" s="452"/>
      <c r="L203" s="452"/>
      <c r="M203" s="452"/>
      <c r="N203" s="452"/>
      <c r="O203" s="452"/>
      <c r="P203" s="452"/>
      <c r="Q203" s="452">
        <f>SUM(Q204:Q212)</f>
        <v>-32200</v>
      </c>
      <c r="R203" s="452">
        <f>SUM(R204:R212)</f>
        <v>31139</v>
      </c>
      <c r="S203" s="452"/>
      <c r="T203" s="452"/>
      <c r="U203" s="452"/>
      <c r="V203" s="452">
        <f>SUM(V204:V212)</f>
        <v>-2600</v>
      </c>
      <c r="W203" s="452"/>
      <c r="X203" s="452">
        <f t="shared" si="8"/>
        <v>-94922</v>
      </c>
    </row>
    <row r="204" spans="1:24" s="353" customFormat="1" ht="30" customHeight="1">
      <c r="A204" s="680" t="s">
        <v>407</v>
      </c>
      <c r="B204" s="369"/>
      <c r="C204" s="369"/>
      <c r="D204" s="369"/>
      <c r="E204" s="369"/>
      <c r="F204" s="369">
        <v>4000</v>
      </c>
      <c r="G204" s="369"/>
      <c r="H204" s="369"/>
      <c r="I204" s="369"/>
      <c r="J204" s="369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369"/>
      <c r="V204" s="370"/>
      <c r="W204" s="370"/>
      <c r="X204" s="448">
        <f t="shared" si="8"/>
        <v>4000</v>
      </c>
    </row>
    <row r="205" spans="1:24" s="353" customFormat="1" ht="19.5" customHeight="1">
      <c r="A205" s="678" t="s">
        <v>585</v>
      </c>
      <c r="B205" s="369">
        <v>-39000</v>
      </c>
      <c r="C205" s="369"/>
      <c r="D205" s="369"/>
      <c r="E205" s="369"/>
      <c r="F205" s="369">
        <v>-9000</v>
      </c>
      <c r="G205" s="369">
        <v>-4000</v>
      </c>
      <c r="H205" s="369"/>
      <c r="I205" s="369"/>
      <c r="J205" s="369"/>
      <c r="K205" s="369"/>
      <c r="L205" s="369"/>
      <c r="M205" s="369"/>
      <c r="N205" s="369"/>
      <c r="O205" s="369"/>
      <c r="P205" s="369"/>
      <c r="Q205" s="369">
        <v>-5000</v>
      </c>
      <c r="R205" s="369"/>
      <c r="S205" s="369"/>
      <c r="T205" s="369"/>
      <c r="U205" s="369"/>
      <c r="V205" s="370"/>
      <c r="W205" s="370"/>
      <c r="X205" s="448">
        <f t="shared" si="8"/>
        <v>-57000</v>
      </c>
    </row>
    <row r="206" spans="1:24" s="353" customFormat="1" ht="19.5" customHeight="1">
      <c r="A206" s="698" t="s">
        <v>592</v>
      </c>
      <c r="B206" s="369"/>
      <c r="C206" s="369"/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>
        <v>31139</v>
      </c>
      <c r="S206" s="369"/>
      <c r="T206" s="369"/>
      <c r="U206" s="369"/>
      <c r="V206" s="370"/>
      <c r="W206" s="370"/>
      <c r="X206" s="448">
        <f aca="true" t="shared" si="9" ref="X206:X234">SUM(B206:W206)</f>
        <v>31139</v>
      </c>
    </row>
    <row r="207" spans="1:24" s="353" customFormat="1" ht="19.5" customHeight="1">
      <c r="A207" s="698" t="s">
        <v>191</v>
      </c>
      <c r="B207" s="568">
        <v>-3000</v>
      </c>
      <c r="C207" s="568"/>
      <c r="D207" s="568">
        <v>-361</v>
      </c>
      <c r="E207" s="568"/>
      <c r="F207" s="568"/>
      <c r="G207" s="568"/>
      <c r="H207" s="568"/>
      <c r="I207" s="568"/>
      <c r="J207" s="568"/>
      <c r="K207" s="568"/>
      <c r="L207" s="568"/>
      <c r="M207" s="568"/>
      <c r="N207" s="568"/>
      <c r="O207" s="568"/>
      <c r="P207" s="568"/>
      <c r="Q207" s="568"/>
      <c r="R207" s="568"/>
      <c r="S207" s="568"/>
      <c r="T207" s="568"/>
      <c r="U207" s="568"/>
      <c r="V207" s="662"/>
      <c r="W207" s="662"/>
      <c r="X207" s="448">
        <f t="shared" si="9"/>
        <v>-3361</v>
      </c>
    </row>
    <row r="208" spans="1:24" s="353" customFormat="1" ht="30" customHeight="1">
      <c r="A208" s="698" t="s">
        <v>122</v>
      </c>
      <c r="B208" s="568"/>
      <c r="C208" s="568"/>
      <c r="D208" s="568"/>
      <c r="E208" s="568"/>
      <c r="F208" s="568"/>
      <c r="G208" s="568"/>
      <c r="H208" s="568"/>
      <c r="I208" s="568"/>
      <c r="J208" s="568"/>
      <c r="K208" s="568"/>
      <c r="L208" s="568"/>
      <c r="M208" s="568"/>
      <c r="N208" s="568"/>
      <c r="O208" s="568"/>
      <c r="P208" s="568"/>
      <c r="Q208" s="568">
        <v>-3000</v>
      </c>
      <c r="R208" s="568"/>
      <c r="S208" s="568"/>
      <c r="T208" s="568"/>
      <c r="U208" s="568"/>
      <c r="V208" s="662"/>
      <c r="W208" s="662"/>
      <c r="X208" s="448">
        <f t="shared" si="9"/>
        <v>-3000</v>
      </c>
    </row>
    <row r="209" spans="1:24" s="353" customFormat="1" ht="30" customHeight="1">
      <c r="A209" s="698" t="s">
        <v>408</v>
      </c>
      <c r="B209" s="568">
        <v>-25000</v>
      </c>
      <c r="C209" s="568"/>
      <c r="D209" s="568"/>
      <c r="E209" s="568"/>
      <c r="F209" s="568">
        <v>-1000</v>
      </c>
      <c r="G209" s="568"/>
      <c r="H209" s="568"/>
      <c r="I209" s="568"/>
      <c r="J209" s="568"/>
      <c r="K209" s="568"/>
      <c r="L209" s="568"/>
      <c r="M209" s="568"/>
      <c r="N209" s="568"/>
      <c r="O209" s="568"/>
      <c r="P209" s="568"/>
      <c r="Q209" s="568"/>
      <c r="R209" s="568"/>
      <c r="S209" s="568"/>
      <c r="T209" s="568"/>
      <c r="U209" s="568"/>
      <c r="V209" s="662"/>
      <c r="W209" s="662"/>
      <c r="X209" s="569">
        <f t="shared" si="9"/>
        <v>-26000</v>
      </c>
    </row>
    <row r="210" spans="1:24" ht="19.5" customHeight="1">
      <c r="A210" s="698" t="s">
        <v>192</v>
      </c>
      <c r="B210" s="568">
        <v>1100</v>
      </c>
      <c r="C210" s="568"/>
      <c r="D210" s="568"/>
      <c r="E210" s="568"/>
      <c r="F210" s="568">
        <v>2000</v>
      </c>
      <c r="G210" s="568"/>
      <c r="H210" s="568"/>
      <c r="I210" s="568"/>
      <c r="J210" s="568"/>
      <c r="K210" s="568"/>
      <c r="L210" s="568"/>
      <c r="M210" s="568"/>
      <c r="N210" s="568"/>
      <c r="O210" s="568"/>
      <c r="P210" s="568"/>
      <c r="Q210" s="568">
        <v>-10000</v>
      </c>
      <c r="R210" s="568"/>
      <c r="S210" s="568"/>
      <c r="T210" s="568"/>
      <c r="U210" s="568"/>
      <c r="V210" s="568"/>
      <c r="W210" s="568"/>
      <c r="X210" s="569">
        <f t="shared" si="9"/>
        <v>-6900</v>
      </c>
    </row>
    <row r="211" spans="1:24" ht="19.5" customHeight="1">
      <c r="A211" s="684" t="s">
        <v>193</v>
      </c>
      <c r="B211" s="369">
        <v>-17000</v>
      </c>
      <c r="C211" s="369"/>
      <c r="D211" s="369"/>
      <c r="E211" s="369"/>
      <c r="F211" s="369"/>
      <c r="G211" s="369"/>
      <c r="H211" s="369"/>
      <c r="I211" s="369"/>
      <c r="J211" s="369"/>
      <c r="K211" s="369"/>
      <c r="L211" s="369"/>
      <c r="M211" s="369"/>
      <c r="N211" s="369"/>
      <c r="O211" s="369"/>
      <c r="P211" s="369"/>
      <c r="Q211" s="369">
        <v>-5000</v>
      </c>
      <c r="R211" s="369"/>
      <c r="S211" s="369"/>
      <c r="T211" s="369"/>
      <c r="U211" s="369"/>
      <c r="V211" s="369"/>
      <c r="W211" s="369"/>
      <c r="X211" s="448">
        <f t="shared" si="9"/>
        <v>-22000</v>
      </c>
    </row>
    <row r="212" spans="1:24" ht="19.5" customHeight="1" thickBot="1">
      <c r="A212" s="684" t="s">
        <v>594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>
        <v>-9200</v>
      </c>
      <c r="R212" s="92"/>
      <c r="S212" s="92"/>
      <c r="T212" s="92"/>
      <c r="U212" s="92"/>
      <c r="V212" s="92">
        <v>-2600</v>
      </c>
      <c r="W212" s="92"/>
      <c r="X212" s="596">
        <f t="shared" si="9"/>
        <v>-11800</v>
      </c>
    </row>
    <row r="213" spans="1:24" s="373" customFormat="1" ht="29.25" customHeight="1" thickBot="1">
      <c r="A213" s="374" t="s">
        <v>756</v>
      </c>
      <c r="B213" s="456">
        <f>B214</f>
        <v>66000</v>
      </c>
      <c r="C213" s="456"/>
      <c r="D213" s="456"/>
      <c r="E213" s="456"/>
      <c r="F213" s="456"/>
      <c r="G213" s="456"/>
      <c r="H213" s="456"/>
      <c r="I213" s="456"/>
      <c r="J213" s="456"/>
      <c r="K213" s="456"/>
      <c r="L213" s="456"/>
      <c r="M213" s="456"/>
      <c r="N213" s="456"/>
      <c r="O213" s="456"/>
      <c r="P213" s="456"/>
      <c r="Q213" s="456"/>
      <c r="R213" s="456"/>
      <c r="S213" s="456"/>
      <c r="T213" s="456"/>
      <c r="U213" s="456"/>
      <c r="V213" s="456"/>
      <c r="W213" s="456"/>
      <c r="X213" s="456">
        <f t="shared" si="9"/>
        <v>66000</v>
      </c>
    </row>
    <row r="214" spans="1:24" s="373" customFormat="1" ht="26.25" thickBot="1">
      <c r="A214" s="696" t="s">
        <v>757</v>
      </c>
      <c r="B214" s="457">
        <v>66000</v>
      </c>
      <c r="C214" s="457"/>
      <c r="D214" s="457"/>
      <c r="E214" s="457"/>
      <c r="F214" s="457"/>
      <c r="G214" s="457"/>
      <c r="H214" s="457"/>
      <c r="I214" s="457"/>
      <c r="J214" s="457"/>
      <c r="K214" s="457"/>
      <c r="L214" s="457"/>
      <c r="M214" s="457"/>
      <c r="N214" s="457"/>
      <c r="O214" s="457"/>
      <c r="P214" s="457"/>
      <c r="Q214" s="457"/>
      <c r="R214" s="457"/>
      <c r="S214" s="457"/>
      <c r="T214" s="457"/>
      <c r="U214" s="457"/>
      <c r="V214" s="458"/>
      <c r="W214" s="458"/>
      <c r="X214" s="448">
        <f t="shared" si="9"/>
        <v>66000</v>
      </c>
    </row>
    <row r="215" spans="1:24" s="373" customFormat="1" ht="29.25" customHeight="1" thickBot="1">
      <c r="A215" s="374" t="s">
        <v>575</v>
      </c>
      <c r="B215" s="456">
        <f>B216</f>
        <v>35000</v>
      </c>
      <c r="C215" s="456"/>
      <c r="D215" s="456"/>
      <c r="E215" s="456"/>
      <c r="F215" s="456"/>
      <c r="G215" s="456"/>
      <c r="H215" s="456"/>
      <c r="I215" s="456"/>
      <c r="J215" s="456"/>
      <c r="K215" s="456"/>
      <c r="L215" s="456"/>
      <c r="M215" s="456"/>
      <c r="N215" s="456"/>
      <c r="O215" s="456"/>
      <c r="P215" s="456"/>
      <c r="Q215" s="456"/>
      <c r="R215" s="456"/>
      <c r="S215" s="456"/>
      <c r="T215" s="456"/>
      <c r="U215" s="456"/>
      <c r="V215" s="456"/>
      <c r="W215" s="456"/>
      <c r="X215" s="456">
        <f>SUM(B215:W215)</f>
        <v>35000</v>
      </c>
    </row>
    <row r="216" spans="1:24" s="373" customFormat="1" ht="26.25" thickBot="1">
      <c r="A216" s="699" t="s">
        <v>554</v>
      </c>
      <c r="B216" s="669">
        <v>35000</v>
      </c>
      <c r="C216" s="669"/>
      <c r="D216" s="669"/>
      <c r="E216" s="669"/>
      <c r="F216" s="669"/>
      <c r="G216" s="669"/>
      <c r="H216" s="669"/>
      <c r="I216" s="669"/>
      <c r="J216" s="669"/>
      <c r="K216" s="669"/>
      <c r="L216" s="669"/>
      <c r="M216" s="669"/>
      <c r="N216" s="669"/>
      <c r="O216" s="669"/>
      <c r="P216" s="669"/>
      <c r="Q216" s="669"/>
      <c r="R216" s="669"/>
      <c r="S216" s="669"/>
      <c r="T216" s="669"/>
      <c r="U216" s="669"/>
      <c r="V216" s="670"/>
      <c r="W216" s="670"/>
      <c r="X216" s="671">
        <f>SUM(B216:W216)</f>
        <v>35000</v>
      </c>
    </row>
    <row r="217" spans="1:24" s="373" customFormat="1" ht="51.75" thickBot="1">
      <c r="A217" s="374" t="s">
        <v>555</v>
      </c>
      <c r="B217" s="456">
        <f>SUM(B218:B220)</f>
        <v>34800</v>
      </c>
      <c r="C217" s="456"/>
      <c r="D217" s="456"/>
      <c r="E217" s="456">
        <f>SUM(E218:E220)</f>
        <v>-1000</v>
      </c>
      <c r="F217" s="456">
        <f>SUM(F218:F220)</f>
        <v>-1800</v>
      </c>
      <c r="G217" s="456">
        <f>SUM(G218:G220)</f>
        <v>-500</v>
      </c>
      <c r="H217" s="456"/>
      <c r="I217" s="456"/>
      <c r="J217" s="456"/>
      <c r="K217" s="456"/>
      <c r="L217" s="456"/>
      <c r="M217" s="456"/>
      <c r="N217" s="456"/>
      <c r="O217" s="456"/>
      <c r="P217" s="456"/>
      <c r="Q217" s="456"/>
      <c r="R217" s="456"/>
      <c r="S217" s="456"/>
      <c r="T217" s="456"/>
      <c r="U217" s="456"/>
      <c r="V217" s="456"/>
      <c r="W217" s="456"/>
      <c r="X217" s="456">
        <f t="shared" si="9"/>
        <v>31500</v>
      </c>
    </row>
    <row r="218" spans="1:24" s="373" customFormat="1" ht="25.5">
      <c r="A218" s="674" t="s">
        <v>409</v>
      </c>
      <c r="B218" s="457"/>
      <c r="C218" s="457"/>
      <c r="D218" s="457"/>
      <c r="E218" s="457"/>
      <c r="F218" s="457"/>
      <c r="G218" s="457"/>
      <c r="H218" s="457"/>
      <c r="I218" s="457"/>
      <c r="J218" s="457"/>
      <c r="K218" s="457"/>
      <c r="L218" s="457"/>
      <c r="M218" s="457"/>
      <c r="N218" s="457"/>
      <c r="O218" s="457"/>
      <c r="P218" s="457"/>
      <c r="Q218" s="457"/>
      <c r="R218" s="457"/>
      <c r="S218" s="457"/>
      <c r="T218" s="457"/>
      <c r="U218" s="457"/>
      <c r="V218" s="458"/>
      <c r="W218" s="458"/>
      <c r="X218" s="448">
        <f t="shared" si="9"/>
        <v>0</v>
      </c>
    </row>
    <row r="219" spans="1:24" s="373" customFormat="1" ht="25.5">
      <c r="A219" s="684" t="s">
        <v>410</v>
      </c>
      <c r="B219" s="459">
        <v>34800</v>
      </c>
      <c r="C219" s="459"/>
      <c r="D219" s="459"/>
      <c r="E219" s="459"/>
      <c r="F219" s="459">
        <v>8200</v>
      </c>
      <c r="G219" s="459"/>
      <c r="H219" s="459"/>
      <c r="I219" s="459"/>
      <c r="J219" s="459"/>
      <c r="K219" s="459"/>
      <c r="L219" s="459"/>
      <c r="M219" s="459"/>
      <c r="N219" s="459"/>
      <c r="O219" s="459"/>
      <c r="P219" s="459"/>
      <c r="Q219" s="459"/>
      <c r="R219" s="459"/>
      <c r="S219" s="459"/>
      <c r="T219" s="459"/>
      <c r="U219" s="459"/>
      <c r="V219" s="460"/>
      <c r="W219" s="460"/>
      <c r="X219" s="448">
        <f t="shared" si="9"/>
        <v>43000</v>
      </c>
    </row>
    <row r="220" spans="1:24" s="373" customFormat="1" ht="30" customHeight="1" thickBot="1">
      <c r="A220" s="685" t="s">
        <v>123</v>
      </c>
      <c r="B220" s="598"/>
      <c r="C220" s="598"/>
      <c r="D220" s="598"/>
      <c r="E220" s="598">
        <v>-1000</v>
      </c>
      <c r="F220" s="598">
        <v>-10000</v>
      </c>
      <c r="G220" s="598">
        <v>-500</v>
      </c>
      <c r="H220" s="598"/>
      <c r="I220" s="598"/>
      <c r="J220" s="598"/>
      <c r="K220" s="598"/>
      <c r="L220" s="598"/>
      <c r="M220" s="598"/>
      <c r="N220" s="598"/>
      <c r="O220" s="598"/>
      <c r="P220" s="598"/>
      <c r="Q220" s="598"/>
      <c r="R220" s="598"/>
      <c r="S220" s="598"/>
      <c r="T220" s="598"/>
      <c r="U220" s="598"/>
      <c r="V220" s="599"/>
      <c r="W220" s="599"/>
      <c r="X220" s="596">
        <f t="shared" si="9"/>
        <v>-11500</v>
      </c>
    </row>
    <row r="221" spans="1:24" ht="25.5" customHeight="1" thickBot="1">
      <c r="A221" s="374" t="s">
        <v>357</v>
      </c>
      <c r="B221" s="455"/>
      <c r="C221" s="455"/>
      <c r="D221" s="455"/>
      <c r="E221" s="455">
        <f>SUM(E222:E244)</f>
        <v>-11591</v>
      </c>
      <c r="F221" s="455">
        <f>SUM(F222:F244)</f>
        <v>70</v>
      </c>
      <c r="G221" s="455">
        <f>SUM(G222:G244)</f>
        <v>10</v>
      </c>
      <c r="H221" s="455"/>
      <c r="I221" s="455"/>
      <c r="J221" s="455"/>
      <c r="K221" s="455"/>
      <c r="L221" s="455"/>
      <c r="M221" s="455"/>
      <c r="N221" s="455"/>
      <c r="O221" s="455"/>
      <c r="P221" s="455"/>
      <c r="Q221" s="455"/>
      <c r="R221" s="455"/>
      <c r="S221" s="455"/>
      <c r="T221" s="455">
        <f>SUM(T222:T244)</f>
        <v>11511</v>
      </c>
      <c r="U221" s="455"/>
      <c r="V221" s="455"/>
      <c r="W221" s="455"/>
      <c r="X221" s="456">
        <f t="shared" si="9"/>
        <v>0</v>
      </c>
    </row>
    <row r="222" spans="1:24" ht="16.5" customHeight="1">
      <c r="A222" s="697" t="s">
        <v>719</v>
      </c>
      <c r="B222" s="369"/>
      <c r="C222" s="369"/>
      <c r="D222" s="369"/>
      <c r="E222" s="369">
        <v>-800</v>
      </c>
      <c r="F222" s="369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>
        <v>800</v>
      </c>
      <c r="U222" s="369"/>
      <c r="V222" s="369"/>
      <c r="W222" s="369"/>
      <c r="X222" s="448">
        <f>SUM(B222:W222)</f>
        <v>0</v>
      </c>
    </row>
    <row r="223" spans="1:24" ht="16.5" customHeight="1">
      <c r="A223" s="697" t="s">
        <v>724</v>
      </c>
      <c r="B223" s="369"/>
      <c r="C223" s="369"/>
      <c r="D223" s="369"/>
      <c r="E223" s="369">
        <v>-800</v>
      </c>
      <c r="F223" s="369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>
        <v>800</v>
      </c>
      <c r="U223" s="369"/>
      <c r="V223" s="369"/>
      <c r="W223" s="369"/>
      <c r="X223" s="448">
        <f t="shared" si="9"/>
        <v>0</v>
      </c>
    </row>
    <row r="224" spans="1:24" ht="19.5" customHeight="1">
      <c r="A224" s="697" t="s">
        <v>527</v>
      </c>
      <c r="B224" s="369"/>
      <c r="C224" s="369"/>
      <c r="D224" s="369"/>
      <c r="E224" s="369">
        <v>-800</v>
      </c>
      <c r="F224" s="369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>
        <v>800</v>
      </c>
      <c r="U224" s="369"/>
      <c r="V224" s="369"/>
      <c r="W224" s="369"/>
      <c r="X224" s="448">
        <f t="shared" si="9"/>
        <v>0</v>
      </c>
    </row>
    <row r="225" spans="1:24" ht="16.5" customHeight="1">
      <c r="A225" s="697" t="s">
        <v>790</v>
      </c>
      <c r="B225" s="369"/>
      <c r="C225" s="369"/>
      <c r="D225" s="369"/>
      <c r="E225" s="369">
        <v>-1400</v>
      </c>
      <c r="F225" s="369"/>
      <c r="G225" s="369"/>
      <c r="H225" s="369"/>
      <c r="I225" s="369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>
        <v>1400</v>
      </c>
      <c r="U225" s="369"/>
      <c r="V225" s="369"/>
      <c r="W225" s="369"/>
      <c r="X225" s="448">
        <f t="shared" si="9"/>
        <v>0</v>
      </c>
    </row>
    <row r="226" spans="1:24" ht="16.5" customHeight="1">
      <c r="A226" s="697" t="s">
        <v>791</v>
      </c>
      <c r="B226" s="369"/>
      <c r="C226" s="369"/>
      <c r="D226" s="369"/>
      <c r="E226" s="369">
        <v>-800</v>
      </c>
      <c r="F226" s="369"/>
      <c r="G226" s="369"/>
      <c r="H226" s="369"/>
      <c r="I226" s="369"/>
      <c r="J226" s="369"/>
      <c r="K226" s="369"/>
      <c r="L226" s="369"/>
      <c r="M226" s="369"/>
      <c r="N226" s="369"/>
      <c r="O226" s="369"/>
      <c r="P226" s="369"/>
      <c r="Q226" s="369"/>
      <c r="R226" s="369"/>
      <c r="S226" s="369"/>
      <c r="T226" s="369">
        <v>800</v>
      </c>
      <c r="U226" s="369"/>
      <c r="V226" s="369"/>
      <c r="W226" s="369"/>
      <c r="X226" s="448">
        <f t="shared" si="9"/>
        <v>0</v>
      </c>
    </row>
    <row r="227" spans="1:24" ht="16.5" customHeight="1">
      <c r="A227" s="697" t="s">
        <v>794</v>
      </c>
      <c r="B227" s="369"/>
      <c r="C227" s="369"/>
      <c r="D227" s="369"/>
      <c r="E227" s="369">
        <v>-800</v>
      </c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>
        <v>800</v>
      </c>
      <c r="U227" s="369"/>
      <c r="V227" s="369"/>
      <c r="W227" s="369"/>
      <c r="X227" s="448">
        <f t="shared" si="9"/>
        <v>0</v>
      </c>
    </row>
    <row r="228" spans="1:24" ht="16.5" customHeight="1">
      <c r="A228" s="697" t="s">
        <v>97</v>
      </c>
      <c r="B228" s="369"/>
      <c r="C228" s="369"/>
      <c r="D228" s="369"/>
      <c r="E228" s="369">
        <v>-800</v>
      </c>
      <c r="F228" s="369"/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69"/>
      <c r="R228" s="369"/>
      <c r="S228" s="369"/>
      <c r="T228" s="369">
        <v>800</v>
      </c>
      <c r="U228" s="369"/>
      <c r="V228" s="369"/>
      <c r="W228" s="369"/>
      <c r="X228" s="448">
        <f t="shared" si="9"/>
        <v>0</v>
      </c>
    </row>
    <row r="229" spans="1:24" ht="16.5" customHeight="1">
      <c r="A229" s="697" t="s">
        <v>100</v>
      </c>
      <c r="B229" s="369"/>
      <c r="C229" s="369"/>
      <c r="D229" s="369"/>
      <c r="E229" s="369">
        <v>-800</v>
      </c>
      <c r="F229" s="369"/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>
        <v>800</v>
      </c>
      <c r="U229" s="369"/>
      <c r="V229" s="370"/>
      <c r="W229" s="370"/>
      <c r="X229" s="448">
        <f t="shared" si="9"/>
        <v>0</v>
      </c>
    </row>
    <row r="230" spans="1:24" ht="18" customHeight="1">
      <c r="A230" s="372" t="s">
        <v>361</v>
      </c>
      <c r="B230" s="369"/>
      <c r="C230" s="369"/>
      <c r="D230" s="369"/>
      <c r="E230" s="369">
        <v>-300</v>
      </c>
      <c r="F230" s="369"/>
      <c r="G230" s="369"/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664">
        <v>300</v>
      </c>
      <c r="U230" s="369"/>
      <c r="V230" s="370"/>
      <c r="W230" s="370"/>
      <c r="X230" s="448">
        <f t="shared" si="9"/>
        <v>0</v>
      </c>
    </row>
    <row r="231" spans="1:24" ht="18" customHeight="1">
      <c r="A231" s="674" t="s">
        <v>380</v>
      </c>
      <c r="B231" s="369"/>
      <c r="C231" s="369"/>
      <c r="D231" s="369"/>
      <c r="E231" s="369">
        <v>226</v>
      </c>
      <c r="F231" s="369"/>
      <c r="G231" s="369"/>
      <c r="H231" s="369"/>
      <c r="I231" s="369"/>
      <c r="J231" s="369"/>
      <c r="K231" s="369"/>
      <c r="L231" s="369"/>
      <c r="M231" s="369"/>
      <c r="N231" s="369"/>
      <c r="O231" s="369"/>
      <c r="P231" s="369"/>
      <c r="Q231" s="369"/>
      <c r="R231" s="664"/>
      <c r="S231" s="664"/>
      <c r="T231" s="664">
        <v>-226</v>
      </c>
      <c r="U231" s="369"/>
      <c r="V231" s="370"/>
      <c r="W231" s="370"/>
      <c r="X231" s="448">
        <f t="shared" si="9"/>
        <v>0</v>
      </c>
    </row>
    <row r="232" spans="1:24" ht="18" customHeight="1">
      <c r="A232" s="674" t="s">
        <v>382</v>
      </c>
      <c r="B232" s="369"/>
      <c r="C232" s="369"/>
      <c r="D232" s="369"/>
      <c r="E232" s="369">
        <v>63</v>
      </c>
      <c r="F232" s="369"/>
      <c r="G232" s="369"/>
      <c r="H232" s="369"/>
      <c r="I232" s="369"/>
      <c r="J232" s="369"/>
      <c r="K232" s="369"/>
      <c r="L232" s="369"/>
      <c r="M232" s="369"/>
      <c r="N232" s="369"/>
      <c r="O232" s="369"/>
      <c r="P232" s="369"/>
      <c r="Q232" s="369"/>
      <c r="R232" s="664"/>
      <c r="S232" s="664"/>
      <c r="T232" s="664">
        <v>-63</v>
      </c>
      <c r="U232" s="369"/>
      <c r="V232" s="370"/>
      <c r="W232" s="370"/>
      <c r="X232" s="448">
        <f t="shared" si="9"/>
        <v>0</v>
      </c>
    </row>
    <row r="233" spans="1:24" ht="18" customHeight="1">
      <c r="A233" s="674" t="s">
        <v>277</v>
      </c>
      <c r="B233" s="369"/>
      <c r="C233" s="369"/>
      <c r="D233" s="369"/>
      <c r="E233" s="369">
        <v>-100</v>
      </c>
      <c r="F233" s="369"/>
      <c r="G233" s="369"/>
      <c r="H233" s="369"/>
      <c r="I233" s="369"/>
      <c r="J233" s="369"/>
      <c r="K233" s="369"/>
      <c r="L233" s="369"/>
      <c r="M233" s="369"/>
      <c r="N233" s="369"/>
      <c r="O233" s="369"/>
      <c r="P233" s="369"/>
      <c r="Q233" s="369"/>
      <c r="R233" s="664"/>
      <c r="S233" s="369"/>
      <c r="T233" s="664">
        <v>100</v>
      </c>
      <c r="U233" s="369"/>
      <c r="V233" s="370"/>
      <c r="W233" s="370"/>
      <c r="X233" s="448">
        <f t="shared" si="9"/>
        <v>0</v>
      </c>
    </row>
    <row r="234" spans="1:24" ht="18" customHeight="1">
      <c r="A234" s="674" t="s">
        <v>385</v>
      </c>
      <c r="B234" s="369"/>
      <c r="C234" s="369"/>
      <c r="D234" s="369"/>
      <c r="E234" s="369">
        <v>220</v>
      </c>
      <c r="F234" s="369"/>
      <c r="G234" s="369"/>
      <c r="H234" s="369"/>
      <c r="I234" s="369"/>
      <c r="J234" s="369"/>
      <c r="K234" s="369"/>
      <c r="L234" s="369"/>
      <c r="M234" s="369"/>
      <c r="N234" s="369"/>
      <c r="O234" s="369"/>
      <c r="P234" s="369"/>
      <c r="Q234" s="369"/>
      <c r="R234" s="664"/>
      <c r="S234" s="369"/>
      <c r="T234" s="664">
        <v>-220</v>
      </c>
      <c r="U234" s="369"/>
      <c r="V234" s="370"/>
      <c r="W234" s="370"/>
      <c r="X234" s="448">
        <f t="shared" si="9"/>
        <v>0</v>
      </c>
    </row>
    <row r="235" spans="1:24" ht="18" customHeight="1">
      <c r="A235" s="674" t="s">
        <v>278</v>
      </c>
      <c r="B235" s="369"/>
      <c r="C235" s="369"/>
      <c r="D235" s="369"/>
      <c r="E235" s="369"/>
      <c r="F235" s="369"/>
      <c r="G235" s="369"/>
      <c r="H235" s="369"/>
      <c r="I235" s="369"/>
      <c r="J235" s="369"/>
      <c r="K235" s="369"/>
      <c r="L235" s="369"/>
      <c r="M235" s="369"/>
      <c r="N235" s="369"/>
      <c r="O235" s="369"/>
      <c r="P235" s="369"/>
      <c r="Q235" s="369"/>
      <c r="R235" s="664"/>
      <c r="S235" s="369"/>
      <c r="T235" s="664">
        <v>-850</v>
      </c>
      <c r="U235" s="369"/>
      <c r="V235" s="370"/>
      <c r="W235" s="370"/>
      <c r="X235" s="448">
        <f>SUM(B235:W235)</f>
        <v>-850</v>
      </c>
    </row>
    <row r="236" spans="1:24" ht="18" customHeight="1">
      <c r="A236" s="372" t="s">
        <v>393</v>
      </c>
      <c r="B236" s="369"/>
      <c r="C236" s="369"/>
      <c r="D236" s="369"/>
      <c r="E236" s="369">
        <f>-80+430</f>
        <v>350</v>
      </c>
      <c r="F236" s="369">
        <v>70</v>
      </c>
      <c r="G236" s="369">
        <v>10</v>
      </c>
      <c r="H236" s="369"/>
      <c r="I236" s="369"/>
      <c r="J236" s="369"/>
      <c r="K236" s="369"/>
      <c r="L236" s="369"/>
      <c r="M236" s="369"/>
      <c r="N236" s="369"/>
      <c r="O236" s="369"/>
      <c r="P236" s="369"/>
      <c r="Q236" s="369"/>
      <c r="R236" s="664"/>
      <c r="S236" s="369"/>
      <c r="T236" s="664">
        <v>-430</v>
      </c>
      <c r="U236" s="369"/>
      <c r="V236" s="370"/>
      <c r="W236" s="370"/>
      <c r="X236" s="448">
        <f aca="true" t="shared" si="10" ref="X236:X244">SUM(B236:W236)</f>
        <v>0</v>
      </c>
    </row>
    <row r="237" spans="1:24" ht="18" customHeight="1">
      <c r="A237" s="674" t="s">
        <v>400</v>
      </c>
      <c r="B237" s="369"/>
      <c r="C237" s="369"/>
      <c r="D237" s="369"/>
      <c r="E237" s="369"/>
      <c r="F237" s="369"/>
      <c r="G237" s="369"/>
      <c r="H237" s="369"/>
      <c r="I237" s="369"/>
      <c r="J237" s="369"/>
      <c r="K237" s="369"/>
      <c r="L237" s="369"/>
      <c r="M237" s="369"/>
      <c r="N237" s="369"/>
      <c r="O237" s="369"/>
      <c r="P237" s="369"/>
      <c r="Q237" s="369"/>
      <c r="R237" s="664"/>
      <c r="S237" s="369"/>
      <c r="T237" s="664">
        <v>850</v>
      </c>
      <c r="U237" s="369"/>
      <c r="V237" s="370"/>
      <c r="W237" s="370"/>
      <c r="X237" s="448">
        <f t="shared" si="10"/>
        <v>850</v>
      </c>
    </row>
    <row r="238" spans="1:24" ht="25.5">
      <c r="A238" s="697" t="s">
        <v>121</v>
      </c>
      <c r="B238" s="369"/>
      <c r="C238" s="369"/>
      <c r="D238" s="369"/>
      <c r="E238" s="369">
        <v>-800</v>
      </c>
      <c r="F238" s="369"/>
      <c r="G238" s="369"/>
      <c r="H238" s="369"/>
      <c r="I238" s="369"/>
      <c r="J238" s="369"/>
      <c r="K238" s="369"/>
      <c r="L238" s="369"/>
      <c r="M238" s="369"/>
      <c r="N238" s="369"/>
      <c r="O238" s="369"/>
      <c r="P238" s="369"/>
      <c r="Q238" s="369"/>
      <c r="R238" s="369"/>
      <c r="S238" s="369"/>
      <c r="T238" s="369">
        <v>800</v>
      </c>
      <c r="U238" s="369"/>
      <c r="V238" s="369"/>
      <c r="W238" s="369"/>
      <c r="X238" s="448">
        <f t="shared" si="10"/>
        <v>0</v>
      </c>
    </row>
    <row r="239" spans="1:24" ht="18" customHeight="1">
      <c r="A239" s="674" t="s">
        <v>102</v>
      </c>
      <c r="B239" s="369"/>
      <c r="C239" s="369"/>
      <c r="D239" s="369"/>
      <c r="E239" s="369">
        <v>-800</v>
      </c>
      <c r="F239" s="369"/>
      <c r="G239" s="369"/>
      <c r="H239" s="369"/>
      <c r="I239" s="369"/>
      <c r="J239" s="369"/>
      <c r="K239" s="369"/>
      <c r="L239" s="369"/>
      <c r="M239" s="369"/>
      <c r="N239" s="369"/>
      <c r="O239" s="369"/>
      <c r="P239" s="369"/>
      <c r="Q239" s="369"/>
      <c r="R239" s="664"/>
      <c r="S239" s="369"/>
      <c r="T239" s="664">
        <v>800</v>
      </c>
      <c r="U239" s="369"/>
      <c r="V239" s="370"/>
      <c r="W239" s="370"/>
      <c r="X239" s="448">
        <f t="shared" si="10"/>
        <v>0</v>
      </c>
    </row>
    <row r="240" spans="1:24" ht="18" customHeight="1">
      <c r="A240" s="674" t="s">
        <v>107</v>
      </c>
      <c r="B240" s="369"/>
      <c r="C240" s="369"/>
      <c r="D240" s="369"/>
      <c r="E240" s="369">
        <v>-450</v>
      </c>
      <c r="F240" s="369"/>
      <c r="G240" s="369"/>
      <c r="H240" s="369"/>
      <c r="I240" s="369"/>
      <c r="J240" s="369"/>
      <c r="K240" s="369"/>
      <c r="L240" s="369"/>
      <c r="M240" s="369"/>
      <c r="N240" s="369"/>
      <c r="O240" s="369"/>
      <c r="P240" s="369"/>
      <c r="Q240" s="369"/>
      <c r="R240" s="664"/>
      <c r="S240" s="369"/>
      <c r="T240" s="664">
        <v>450</v>
      </c>
      <c r="U240" s="369"/>
      <c r="V240" s="370"/>
      <c r="W240" s="370"/>
      <c r="X240" s="448">
        <f t="shared" si="10"/>
        <v>0</v>
      </c>
    </row>
    <row r="241" spans="1:24" ht="18" customHeight="1">
      <c r="A241" s="674" t="s">
        <v>113</v>
      </c>
      <c r="B241" s="369"/>
      <c r="C241" s="369"/>
      <c r="D241" s="369"/>
      <c r="E241" s="369">
        <v>-800</v>
      </c>
      <c r="F241" s="369"/>
      <c r="G241" s="369"/>
      <c r="H241" s="369"/>
      <c r="I241" s="369"/>
      <c r="J241" s="369"/>
      <c r="K241" s="369"/>
      <c r="L241" s="369"/>
      <c r="M241" s="369"/>
      <c r="N241" s="369"/>
      <c r="O241" s="369"/>
      <c r="P241" s="369"/>
      <c r="Q241" s="369"/>
      <c r="R241" s="664"/>
      <c r="S241" s="369"/>
      <c r="T241" s="664">
        <v>800</v>
      </c>
      <c r="U241" s="369"/>
      <c r="V241" s="370"/>
      <c r="W241" s="370"/>
      <c r="X241" s="448">
        <f t="shared" si="10"/>
        <v>0</v>
      </c>
    </row>
    <row r="242" spans="1:24" ht="18" customHeight="1">
      <c r="A242" s="697" t="s">
        <v>591</v>
      </c>
      <c r="B242" s="369"/>
      <c r="C242" s="369"/>
      <c r="D242" s="369"/>
      <c r="E242" s="369">
        <v>-800</v>
      </c>
      <c r="F242" s="369"/>
      <c r="G242" s="369"/>
      <c r="H242" s="369"/>
      <c r="I242" s="369"/>
      <c r="J242" s="369"/>
      <c r="K242" s="369"/>
      <c r="L242" s="369"/>
      <c r="M242" s="369"/>
      <c r="N242" s="369"/>
      <c r="O242" s="369"/>
      <c r="P242" s="369"/>
      <c r="Q242" s="369"/>
      <c r="R242" s="664"/>
      <c r="S242" s="369"/>
      <c r="T242" s="664">
        <v>800</v>
      </c>
      <c r="U242" s="369"/>
      <c r="V242" s="370"/>
      <c r="W242" s="370"/>
      <c r="X242" s="448">
        <f t="shared" si="10"/>
        <v>0</v>
      </c>
    </row>
    <row r="243" spans="1:24" ht="19.5" customHeight="1">
      <c r="A243" s="697" t="s">
        <v>118</v>
      </c>
      <c r="B243" s="369"/>
      <c r="C243" s="369"/>
      <c r="D243" s="369"/>
      <c r="E243" s="369">
        <v>-600</v>
      </c>
      <c r="F243" s="369"/>
      <c r="G243" s="369"/>
      <c r="H243" s="369"/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>
        <v>600</v>
      </c>
      <c r="U243" s="369"/>
      <c r="V243" s="369"/>
      <c r="W243" s="369"/>
      <c r="X243" s="448">
        <f t="shared" si="10"/>
        <v>0</v>
      </c>
    </row>
    <row r="244" spans="1:24" ht="26.25" thickBot="1">
      <c r="A244" s="674" t="s">
        <v>758</v>
      </c>
      <c r="B244" s="369"/>
      <c r="C244" s="369"/>
      <c r="D244" s="369"/>
      <c r="E244" s="369">
        <v>-800</v>
      </c>
      <c r="F244" s="369"/>
      <c r="G244" s="369"/>
      <c r="H244" s="369"/>
      <c r="I244" s="369"/>
      <c r="J244" s="369"/>
      <c r="K244" s="369"/>
      <c r="L244" s="369"/>
      <c r="M244" s="369"/>
      <c r="N244" s="369"/>
      <c r="O244" s="369"/>
      <c r="P244" s="369"/>
      <c r="Q244" s="369"/>
      <c r="R244" s="369"/>
      <c r="S244" s="369"/>
      <c r="T244" s="369">
        <v>800</v>
      </c>
      <c r="U244" s="369"/>
      <c r="V244" s="369"/>
      <c r="W244" s="369"/>
      <c r="X244" s="448">
        <f t="shared" si="10"/>
        <v>0</v>
      </c>
    </row>
    <row r="245" spans="1:24" s="394" customFormat="1" ht="18" customHeight="1" thickBot="1">
      <c r="A245" s="580" t="s">
        <v>199</v>
      </c>
      <c r="B245" s="581"/>
      <c r="C245" s="581"/>
      <c r="D245" s="581"/>
      <c r="E245" s="581">
        <f>E247+E252</f>
        <v>-68</v>
      </c>
      <c r="F245" s="581">
        <f>F247+F252</f>
        <v>60</v>
      </c>
      <c r="G245" s="581">
        <f>G247+G252</f>
        <v>8</v>
      </c>
      <c r="H245" s="581"/>
      <c r="I245" s="581"/>
      <c r="J245" s="581"/>
      <c r="K245" s="581"/>
      <c r="L245" s="581"/>
      <c r="M245" s="581"/>
      <c r="N245" s="581"/>
      <c r="O245" s="581"/>
      <c r="P245" s="581"/>
      <c r="Q245" s="581"/>
      <c r="R245" s="581"/>
      <c r="S245" s="581"/>
      <c r="T245" s="581"/>
      <c r="U245" s="581"/>
      <c r="V245" s="581"/>
      <c r="W245" s="581"/>
      <c r="X245" s="581">
        <f aca="true" t="shared" si="11" ref="X245:X266">SUM(B245:W245)</f>
        <v>0</v>
      </c>
    </row>
    <row r="246" spans="1:24" s="373" customFormat="1" ht="19.5" customHeight="1" thickBot="1" thickTop="1">
      <c r="A246" s="696" t="s">
        <v>107</v>
      </c>
      <c r="B246" s="672"/>
      <c r="C246" s="672"/>
      <c r="D246" s="672"/>
      <c r="E246" s="672"/>
      <c r="F246" s="672"/>
      <c r="G246" s="672"/>
      <c r="H246" s="672"/>
      <c r="I246" s="672"/>
      <c r="J246" s="672"/>
      <c r="K246" s="672"/>
      <c r="L246" s="672"/>
      <c r="M246" s="672"/>
      <c r="N246" s="672"/>
      <c r="O246" s="672"/>
      <c r="P246" s="672"/>
      <c r="Q246" s="672"/>
      <c r="R246" s="457"/>
      <c r="S246" s="457"/>
      <c r="T246" s="457"/>
      <c r="U246" s="457"/>
      <c r="V246" s="458"/>
      <c r="W246" s="458"/>
      <c r="X246" s="448">
        <f t="shared" si="11"/>
        <v>0</v>
      </c>
    </row>
    <row r="247" spans="1:24" ht="28.5" customHeight="1" thickBot="1">
      <c r="A247" s="374" t="s">
        <v>785</v>
      </c>
      <c r="B247" s="455"/>
      <c r="C247" s="455"/>
      <c r="D247" s="455"/>
      <c r="E247" s="455">
        <f aca="true" t="shared" si="12" ref="E247:G248">E248</f>
        <v>74</v>
      </c>
      <c r="F247" s="455">
        <f t="shared" si="12"/>
        <v>-64</v>
      </c>
      <c r="G247" s="455">
        <f t="shared" si="12"/>
        <v>-10</v>
      </c>
      <c r="H247" s="455"/>
      <c r="I247" s="455"/>
      <c r="J247" s="455"/>
      <c r="K247" s="455"/>
      <c r="L247" s="455"/>
      <c r="M247" s="455"/>
      <c r="N247" s="455"/>
      <c r="O247" s="455"/>
      <c r="P247" s="455"/>
      <c r="Q247" s="455"/>
      <c r="R247" s="455"/>
      <c r="S247" s="455"/>
      <c r="T247" s="455"/>
      <c r="U247" s="455"/>
      <c r="V247" s="455"/>
      <c r="W247" s="455"/>
      <c r="X247" s="570">
        <f t="shared" si="11"/>
        <v>0</v>
      </c>
    </row>
    <row r="248" spans="1:24" s="390" customFormat="1" ht="51" customHeight="1">
      <c r="A248" s="384" t="s">
        <v>780</v>
      </c>
      <c r="B248" s="388"/>
      <c r="C248" s="388"/>
      <c r="D248" s="388"/>
      <c r="E248" s="388">
        <f t="shared" si="12"/>
        <v>74</v>
      </c>
      <c r="F248" s="388">
        <f t="shared" si="12"/>
        <v>-64</v>
      </c>
      <c r="G248" s="388">
        <f t="shared" si="12"/>
        <v>-10</v>
      </c>
      <c r="H248" s="388"/>
      <c r="I248" s="388"/>
      <c r="J248" s="388"/>
      <c r="K248" s="388"/>
      <c r="L248" s="388"/>
      <c r="M248" s="388"/>
      <c r="N248" s="388"/>
      <c r="O248" s="388"/>
      <c r="P248" s="388"/>
      <c r="Q248" s="388"/>
      <c r="R248" s="388"/>
      <c r="S248" s="388"/>
      <c r="T248" s="388"/>
      <c r="U248" s="388"/>
      <c r="V248" s="388"/>
      <c r="W248" s="388"/>
      <c r="X248" s="389">
        <f t="shared" si="11"/>
        <v>0</v>
      </c>
    </row>
    <row r="249" spans="1:24" s="391" customFormat="1" ht="185.25" customHeight="1">
      <c r="A249" s="522" t="s">
        <v>781</v>
      </c>
      <c r="B249" s="582"/>
      <c r="C249" s="582"/>
      <c r="D249" s="582"/>
      <c r="E249" s="582">
        <f>SUM(E250:E251)</f>
        <v>74</v>
      </c>
      <c r="F249" s="582">
        <f>SUM(F250:F251)</f>
        <v>-64</v>
      </c>
      <c r="G249" s="582">
        <f>SUM(G250:G251)</f>
        <v>-10</v>
      </c>
      <c r="H249" s="582"/>
      <c r="I249" s="582"/>
      <c r="J249" s="582"/>
      <c r="K249" s="582"/>
      <c r="L249" s="582"/>
      <c r="M249" s="582"/>
      <c r="N249" s="582"/>
      <c r="O249" s="582"/>
      <c r="P249" s="582"/>
      <c r="Q249" s="582"/>
      <c r="R249" s="582"/>
      <c r="S249" s="582"/>
      <c r="T249" s="582"/>
      <c r="U249" s="582"/>
      <c r="V249" s="582"/>
      <c r="W249" s="582"/>
      <c r="X249" s="393">
        <f t="shared" si="11"/>
        <v>0</v>
      </c>
    </row>
    <row r="250" spans="1:24" s="392" customFormat="1" ht="26.25" customHeight="1">
      <c r="A250" s="692" t="s">
        <v>119</v>
      </c>
      <c r="B250" s="606"/>
      <c r="C250" s="606"/>
      <c r="D250" s="606"/>
      <c r="E250" s="606">
        <v>47</v>
      </c>
      <c r="F250" s="606">
        <v>-41</v>
      </c>
      <c r="G250" s="606">
        <v>-6</v>
      </c>
      <c r="H250" s="606"/>
      <c r="I250" s="606"/>
      <c r="J250" s="606"/>
      <c r="K250" s="606"/>
      <c r="L250" s="606"/>
      <c r="M250" s="606"/>
      <c r="N250" s="606"/>
      <c r="O250" s="606"/>
      <c r="P250" s="606"/>
      <c r="Q250" s="606"/>
      <c r="R250" s="606"/>
      <c r="S250" s="606"/>
      <c r="T250" s="606"/>
      <c r="U250" s="606"/>
      <c r="V250" s="606"/>
      <c r="W250" s="606"/>
      <c r="X250" s="583">
        <f t="shared" si="11"/>
        <v>0</v>
      </c>
    </row>
    <row r="251" spans="1:24" s="392" customFormat="1" ht="42" customHeight="1">
      <c r="A251" s="632" t="s">
        <v>281</v>
      </c>
      <c r="B251" s="1474"/>
      <c r="C251" s="736"/>
      <c r="D251" s="736"/>
      <c r="E251" s="736">
        <v>27</v>
      </c>
      <c r="F251" s="736">
        <v>-23</v>
      </c>
      <c r="G251" s="736">
        <v>-4</v>
      </c>
      <c r="H251" s="736"/>
      <c r="I251" s="736"/>
      <c r="J251" s="736"/>
      <c r="K251" s="736"/>
      <c r="L251" s="736"/>
      <c r="M251" s="736"/>
      <c r="N251" s="736"/>
      <c r="O251" s="736"/>
      <c r="P251" s="736"/>
      <c r="Q251" s="737"/>
      <c r="R251" s="737"/>
      <c r="S251" s="737"/>
      <c r="T251" s="738"/>
      <c r="U251" s="738"/>
      <c r="V251" s="738"/>
      <c r="W251" s="738"/>
      <c r="X251" s="739">
        <f t="shared" si="11"/>
        <v>0</v>
      </c>
    </row>
    <row r="252" spans="1:24" ht="30" customHeight="1" thickBot="1">
      <c r="A252" s="734" t="s">
        <v>784</v>
      </c>
      <c r="B252" s="451"/>
      <c r="C252" s="451"/>
      <c r="D252" s="451"/>
      <c r="E252" s="451">
        <f aca="true" t="shared" si="13" ref="E252:G254">E253</f>
        <v>-142</v>
      </c>
      <c r="F252" s="451">
        <f t="shared" si="13"/>
        <v>124</v>
      </c>
      <c r="G252" s="451">
        <f t="shared" si="13"/>
        <v>18</v>
      </c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1"/>
      <c r="S252" s="451"/>
      <c r="T252" s="451"/>
      <c r="U252" s="451"/>
      <c r="V252" s="451"/>
      <c r="W252" s="451"/>
      <c r="X252" s="735">
        <f t="shared" si="11"/>
        <v>0</v>
      </c>
    </row>
    <row r="253" spans="1:24" s="392" customFormat="1" ht="40.5" customHeight="1">
      <c r="A253" s="694" t="s">
        <v>783</v>
      </c>
      <c r="B253" s="587"/>
      <c r="C253" s="588"/>
      <c r="D253" s="588"/>
      <c r="E253" s="588">
        <f t="shared" si="13"/>
        <v>-142</v>
      </c>
      <c r="F253" s="588">
        <f t="shared" si="13"/>
        <v>124</v>
      </c>
      <c r="G253" s="588">
        <f t="shared" si="13"/>
        <v>18</v>
      </c>
      <c r="H253" s="588"/>
      <c r="I253" s="588"/>
      <c r="J253" s="588"/>
      <c r="K253" s="588"/>
      <c r="L253" s="588"/>
      <c r="M253" s="588"/>
      <c r="N253" s="588"/>
      <c r="O253" s="588"/>
      <c r="P253" s="588"/>
      <c r="Q253" s="588"/>
      <c r="R253" s="588"/>
      <c r="S253" s="588"/>
      <c r="T253" s="589"/>
      <c r="U253" s="589"/>
      <c r="V253" s="589"/>
      <c r="W253" s="588"/>
      <c r="X253" s="590">
        <f t="shared" si="11"/>
        <v>0</v>
      </c>
    </row>
    <row r="254" spans="1:24" s="391" customFormat="1" ht="40.5" customHeight="1">
      <c r="A254" s="695" t="s">
        <v>557</v>
      </c>
      <c r="B254" s="584"/>
      <c r="C254" s="584"/>
      <c r="D254" s="584"/>
      <c r="E254" s="584">
        <f t="shared" si="13"/>
        <v>-142</v>
      </c>
      <c r="F254" s="584">
        <f t="shared" si="13"/>
        <v>124</v>
      </c>
      <c r="G254" s="584">
        <f t="shared" si="13"/>
        <v>18</v>
      </c>
      <c r="H254" s="584"/>
      <c r="I254" s="584"/>
      <c r="J254" s="584"/>
      <c r="K254" s="584"/>
      <c r="L254" s="584"/>
      <c r="M254" s="584"/>
      <c r="N254" s="584"/>
      <c r="O254" s="584"/>
      <c r="P254" s="584"/>
      <c r="Q254" s="585"/>
      <c r="R254" s="585"/>
      <c r="S254" s="585"/>
      <c r="T254" s="586"/>
      <c r="U254" s="586"/>
      <c r="V254" s="586"/>
      <c r="W254" s="584"/>
      <c r="X254" s="586">
        <f t="shared" si="11"/>
        <v>0</v>
      </c>
    </row>
    <row r="255" spans="1:24" s="392" customFormat="1" ht="38.25">
      <c r="A255" s="632" t="s">
        <v>281</v>
      </c>
      <c r="B255" s="654"/>
      <c r="C255" s="654"/>
      <c r="D255" s="654"/>
      <c r="E255" s="654">
        <v>-142</v>
      </c>
      <c r="F255" s="654">
        <v>124</v>
      </c>
      <c r="G255" s="654">
        <v>18</v>
      </c>
      <c r="H255" s="654"/>
      <c r="I255" s="654"/>
      <c r="J255" s="654"/>
      <c r="K255" s="654"/>
      <c r="L255" s="654"/>
      <c r="M255" s="654"/>
      <c r="N255" s="654"/>
      <c r="O255" s="654"/>
      <c r="P255" s="654"/>
      <c r="Q255" s="655"/>
      <c r="R255" s="655"/>
      <c r="S255" s="655"/>
      <c r="T255" s="583"/>
      <c r="U255" s="583"/>
      <c r="V255" s="583"/>
      <c r="W255" s="583"/>
      <c r="X255" s="583">
        <f t="shared" si="11"/>
        <v>0</v>
      </c>
    </row>
    <row r="256" spans="1:24" s="356" customFormat="1" ht="32.25" customHeight="1" thickBot="1">
      <c r="A256" s="619" t="s">
        <v>124</v>
      </c>
      <c r="B256" s="461">
        <f>B257+B273+B278+B281+B284+B287+B394+B398+B404+B396</f>
        <v>27233</v>
      </c>
      <c r="C256" s="461"/>
      <c r="D256" s="461">
        <f aca="true" t="shared" si="14" ref="D256:W256">D257+D273+D278+D281+D284+D287+D394+D398+D404+D396</f>
        <v>0</v>
      </c>
      <c r="E256" s="461">
        <f t="shared" si="14"/>
        <v>365</v>
      </c>
      <c r="F256" s="461">
        <f t="shared" si="14"/>
        <v>7146</v>
      </c>
      <c r="G256" s="461">
        <f t="shared" si="14"/>
        <v>-2936</v>
      </c>
      <c r="H256" s="461">
        <f t="shared" si="14"/>
        <v>0</v>
      </c>
      <c r="I256" s="461">
        <f t="shared" si="14"/>
        <v>888340</v>
      </c>
      <c r="J256" s="461">
        <f t="shared" si="14"/>
        <v>0</v>
      </c>
      <c r="K256" s="461">
        <f t="shared" si="14"/>
        <v>0</v>
      </c>
      <c r="L256" s="461">
        <f t="shared" si="14"/>
        <v>74463</v>
      </c>
      <c r="M256" s="461">
        <f t="shared" si="14"/>
        <v>0</v>
      </c>
      <c r="N256" s="461">
        <f t="shared" si="14"/>
        <v>90</v>
      </c>
      <c r="O256" s="461">
        <f t="shared" si="14"/>
        <v>-10000</v>
      </c>
      <c r="P256" s="461">
        <f t="shared" si="14"/>
        <v>0</v>
      </c>
      <c r="Q256" s="461">
        <f t="shared" si="14"/>
        <v>-17516</v>
      </c>
      <c r="R256" s="461">
        <f t="shared" si="14"/>
        <v>10000</v>
      </c>
      <c r="S256" s="461">
        <f t="shared" si="14"/>
        <v>0</v>
      </c>
      <c r="T256" s="461">
        <f t="shared" si="14"/>
        <v>-1400</v>
      </c>
      <c r="U256" s="461">
        <f t="shared" si="14"/>
        <v>0</v>
      </c>
      <c r="V256" s="461">
        <f t="shared" si="14"/>
        <v>-2892</v>
      </c>
      <c r="W256" s="461">
        <f t="shared" si="14"/>
        <v>-90</v>
      </c>
      <c r="X256" s="567">
        <f t="shared" si="11"/>
        <v>972803</v>
      </c>
    </row>
    <row r="257" spans="1:24" ht="21" customHeight="1" thickBot="1" thickTop="1">
      <c r="A257" s="618" t="s">
        <v>576</v>
      </c>
      <c r="B257" s="456">
        <f>SUM(B258:B272)</f>
        <v>-14696</v>
      </c>
      <c r="C257" s="456"/>
      <c r="D257" s="456"/>
      <c r="E257" s="456"/>
      <c r="F257" s="456">
        <f>SUM(F258:F272)</f>
        <v>7030</v>
      </c>
      <c r="G257" s="456">
        <f>SUM(G258:G272)</f>
        <v>-600</v>
      </c>
      <c r="H257" s="456"/>
      <c r="I257" s="456"/>
      <c r="J257" s="456"/>
      <c r="K257" s="456"/>
      <c r="L257" s="456"/>
      <c r="M257" s="456"/>
      <c r="N257" s="456"/>
      <c r="O257" s="456"/>
      <c r="P257" s="456"/>
      <c r="Q257" s="456"/>
      <c r="R257" s="456"/>
      <c r="S257" s="456"/>
      <c r="T257" s="456"/>
      <c r="U257" s="456"/>
      <c r="V257" s="456">
        <f>SUM(V258:V272)</f>
        <v>-2073</v>
      </c>
      <c r="W257" s="456"/>
      <c r="X257" s="456">
        <f t="shared" si="11"/>
        <v>-10339</v>
      </c>
    </row>
    <row r="258" spans="1:24" ht="19.5" customHeight="1">
      <c r="A258" s="684" t="s">
        <v>720</v>
      </c>
      <c r="B258" s="666">
        <v>3200</v>
      </c>
      <c r="C258" s="666"/>
      <c r="D258" s="666"/>
      <c r="E258" s="666"/>
      <c r="F258" s="666">
        <v>1390</v>
      </c>
      <c r="G258" s="459">
        <v>160</v>
      </c>
      <c r="H258" s="459"/>
      <c r="I258" s="459"/>
      <c r="J258" s="459"/>
      <c r="K258" s="459"/>
      <c r="L258" s="459"/>
      <c r="M258" s="459"/>
      <c r="N258" s="459"/>
      <c r="O258" s="459"/>
      <c r="P258" s="459"/>
      <c r="Q258" s="459"/>
      <c r="R258" s="459"/>
      <c r="S258" s="459"/>
      <c r="T258" s="459"/>
      <c r="U258" s="459"/>
      <c r="V258" s="460"/>
      <c r="W258" s="460"/>
      <c r="X258" s="448">
        <f t="shared" si="11"/>
        <v>4750</v>
      </c>
    </row>
    <row r="259" spans="1:24" ht="19.5" customHeight="1">
      <c r="A259" s="684" t="s">
        <v>724</v>
      </c>
      <c r="B259" s="666">
        <v>4000</v>
      </c>
      <c r="C259" s="666"/>
      <c r="D259" s="666"/>
      <c r="E259" s="666"/>
      <c r="F259" s="666"/>
      <c r="G259" s="459"/>
      <c r="H259" s="459"/>
      <c r="I259" s="459"/>
      <c r="J259" s="459"/>
      <c r="K259" s="459"/>
      <c r="L259" s="459"/>
      <c r="M259" s="459"/>
      <c r="N259" s="459"/>
      <c r="O259" s="459"/>
      <c r="P259" s="459"/>
      <c r="Q259" s="459"/>
      <c r="R259" s="459"/>
      <c r="S259" s="459"/>
      <c r="T259" s="459"/>
      <c r="U259" s="459"/>
      <c r="V259" s="460"/>
      <c r="W259" s="460"/>
      <c r="X259" s="448">
        <f t="shared" si="11"/>
        <v>4000</v>
      </c>
    </row>
    <row r="260" spans="1:24" ht="19.5" customHeight="1">
      <c r="A260" s="684" t="s">
        <v>726</v>
      </c>
      <c r="B260" s="666"/>
      <c r="C260" s="666"/>
      <c r="D260" s="666"/>
      <c r="E260" s="666"/>
      <c r="F260" s="666">
        <v>4000</v>
      </c>
      <c r="G260" s="459"/>
      <c r="H260" s="459"/>
      <c r="I260" s="459"/>
      <c r="J260" s="459"/>
      <c r="K260" s="459"/>
      <c r="L260" s="459"/>
      <c r="M260" s="459"/>
      <c r="N260" s="459"/>
      <c r="O260" s="459"/>
      <c r="P260" s="459"/>
      <c r="Q260" s="459"/>
      <c r="R260" s="459"/>
      <c r="S260" s="459"/>
      <c r="T260" s="459"/>
      <c r="U260" s="459"/>
      <c r="V260" s="460"/>
      <c r="W260" s="460"/>
      <c r="X260" s="448">
        <f t="shared" si="11"/>
        <v>4000</v>
      </c>
    </row>
    <row r="261" spans="1:24" ht="19.5" customHeight="1">
      <c r="A261" s="684" t="s">
        <v>727</v>
      </c>
      <c r="B261" s="666">
        <v>-1300</v>
      </c>
      <c r="C261" s="666"/>
      <c r="D261" s="666"/>
      <c r="E261" s="666"/>
      <c r="F261" s="666"/>
      <c r="G261" s="459"/>
      <c r="H261" s="459"/>
      <c r="I261" s="459"/>
      <c r="J261" s="459"/>
      <c r="K261" s="459"/>
      <c r="L261" s="459"/>
      <c r="M261" s="459"/>
      <c r="N261" s="459"/>
      <c r="O261" s="459"/>
      <c r="P261" s="459"/>
      <c r="Q261" s="459"/>
      <c r="R261" s="459"/>
      <c r="S261" s="459"/>
      <c r="T261" s="459"/>
      <c r="U261" s="459"/>
      <c r="V261" s="460"/>
      <c r="W261" s="460"/>
      <c r="X261" s="448">
        <f t="shared" si="11"/>
        <v>-1300</v>
      </c>
    </row>
    <row r="262" spans="1:24" ht="19.5" customHeight="1">
      <c r="A262" s="684" t="s">
        <v>728</v>
      </c>
      <c r="B262" s="666">
        <v>2140</v>
      </c>
      <c r="C262" s="666"/>
      <c r="D262" s="666"/>
      <c r="E262" s="666"/>
      <c r="F262" s="666">
        <v>190</v>
      </c>
      <c r="G262" s="459">
        <v>90</v>
      </c>
      <c r="H262" s="459"/>
      <c r="I262" s="459"/>
      <c r="J262" s="459"/>
      <c r="K262" s="459"/>
      <c r="L262" s="459"/>
      <c r="M262" s="459"/>
      <c r="N262" s="459"/>
      <c r="O262" s="459"/>
      <c r="P262" s="459"/>
      <c r="Q262" s="459"/>
      <c r="R262" s="459"/>
      <c r="S262" s="459"/>
      <c r="T262" s="459"/>
      <c r="U262" s="459"/>
      <c r="V262" s="460"/>
      <c r="W262" s="460"/>
      <c r="X262" s="448">
        <f t="shared" si="11"/>
        <v>2420</v>
      </c>
    </row>
    <row r="263" spans="1:24" ht="19.5" customHeight="1">
      <c r="A263" s="684" t="s">
        <v>786</v>
      </c>
      <c r="B263" s="666">
        <v>-3000</v>
      </c>
      <c r="C263" s="666"/>
      <c r="D263" s="666"/>
      <c r="E263" s="666"/>
      <c r="F263" s="666"/>
      <c r="G263" s="459"/>
      <c r="H263" s="459"/>
      <c r="I263" s="459"/>
      <c r="J263" s="459"/>
      <c r="K263" s="459"/>
      <c r="L263" s="459"/>
      <c r="M263" s="459"/>
      <c r="N263" s="459"/>
      <c r="O263" s="459"/>
      <c r="P263" s="459"/>
      <c r="Q263" s="459"/>
      <c r="R263" s="459"/>
      <c r="S263" s="459"/>
      <c r="T263" s="459"/>
      <c r="U263" s="459"/>
      <c r="V263" s="460"/>
      <c r="W263" s="460"/>
      <c r="X263" s="448">
        <f t="shared" si="11"/>
        <v>-3000</v>
      </c>
    </row>
    <row r="264" spans="1:24" ht="19.5" customHeight="1">
      <c r="A264" s="684" t="s">
        <v>787</v>
      </c>
      <c r="B264" s="666">
        <v>-8000</v>
      </c>
      <c r="C264" s="666"/>
      <c r="D264" s="666"/>
      <c r="E264" s="666"/>
      <c r="F264" s="666"/>
      <c r="G264" s="459">
        <v>-600</v>
      </c>
      <c r="H264" s="459"/>
      <c r="I264" s="459"/>
      <c r="J264" s="459"/>
      <c r="K264" s="459"/>
      <c r="L264" s="459"/>
      <c r="M264" s="459"/>
      <c r="N264" s="459"/>
      <c r="O264" s="459"/>
      <c r="P264" s="459"/>
      <c r="Q264" s="459"/>
      <c r="R264" s="459"/>
      <c r="S264" s="459"/>
      <c r="T264" s="459"/>
      <c r="U264" s="459"/>
      <c r="V264" s="460"/>
      <c r="W264" s="460"/>
      <c r="X264" s="448">
        <f t="shared" si="11"/>
        <v>-8600</v>
      </c>
    </row>
    <row r="265" spans="1:24" ht="19.5" customHeight="1">
      <c r="A265" s="684" t="s">
        <v>788</v>
      </c>
      <c r="B265" s="666">
        <v>-8000</v>
      </c>
      <c r="C265" s="666"/>
      <c r="D265" s="666"/>
      <c r="E265" s="666"/>
      <c r="F265" s="666"/>
      <c r="G265" s="459"/>
      <c r="H265" s="459"/>
      <c r="I265" s="459"/>
      <c r="J265" s="459"/>
      <c r="K265" s="459"/>
      <c r="L265" s="459"/>
      <c r="M265" s="459"/>
      <c r="N265" s="459"/>
      <c r="O265" s="459"/>
      <c r="P265" s="459"/>
      <c r="Q265" s="459"/>
      <c r="R265" s="459"/>
      <c r="S265" s="459"/>
      <c r="T265" s="459"/>
      <c r="U265" s="459"/>
      <c r="V265" s="460"/>
      <c r="W265" s="460"/>
      <c r="X265" s="448">
        <f t="shared" si="11"/>
        <v>-8000</v>
      </c>
    </row>
    <row r="266" spans="1:24" ht="19.5" customHeight="1">
      <c r="A266" s="684" t="s">
        <v>789</v>
      </c>
      <c r="B266" s="666">
        <v>1000</v>
      </c>
      <c r="C266" s="666"/>
      <c r="D266" s="666"/>
      <c r="E266" s="666"/>
      <c r="F266" s="666"/>
      <c r="G266" s="459"/>
      <c r="H266" s="459"/>
      <c r="I266" s="459"/>
      <c r="J266" s="459"/>
      <c r="K266" s="459"/>
      <c r="L266" s="459"/>
      <c r="M266" s="459"/>
      <c r="N266" s="459"/>
      <c r="O266" s="459"/>
      <c r="P266" s="459"/>
      <c r="Q266" s="459"/>
      <c r="R266" s="459"/>
      <c r="S266" s="459"/>
      <c r="T266" s="459"/>
      <c r="U266" s="459"/>
      <c r="V266" s="460"/>
      <c r="W266" s="460"/>
      <c r="X266" s="448">
        <f t="shared" si="11"/>
        <v>1000</v>
      </c>
    </row>
    <row r="267" spans="1:24" ht="19.5" customHeight="1">
      <c r="A267" s="684" t="s">
        <v>793</v>
      </c>
      <c r="B267" s="666"/>
      <c r="C267" s="666"/>
      <c r="D267" s="666"/>
      <c r="E267" s="666"/>
      <c r="F267" s="666">
        <v>-500</v>
      </c>
      <c r="G267" s="459">
        <v>-50</v>
      </c>
      <c r="H267" s="459"/>
      <c r="I267" s="459"/>
      <c r="J267" s="459"/>
      <c r="K267" s="459"/>
      <c r="L267" s="459"/>
      <c r="M267" s="459"/>
      <c r="N267" s="459"/>
      <c r="O267" s="459"/>
      <c r="P267" s="459"/>
      <c r="Q267" s="459"/>
      <c r="R267" s="459"/>
      <c r="S267" s="459"/>
      <c r="T267" s="459"/>
      <c r="U267" s="459"/>
      <c r="V267" s="460"/>
      <c r="W267" s="460"/>
      <c r="X267" s="448">
        <f aca="true" t="shared" si="15" ref="X267:X396">SUM(B267:W267)</f>
        <v>-550</v>
      </c>
    </row>
    <row r="268" spans="1:24" ht="19.5" customHeight="1">
      <c r="A268" s="684" t="s">
        <v>795</v>
      </c>
      <c r="B268" s="666">
        <v>1800</v>
      </c>
      <c r="C268" s="666"/>
      <c r="D268" s="666"/>
      <c r="E268" s="666"/>
      <c r="F268" s="666"/>
      <c r="G268" s="459"/>
      <c r="H268" s="459"/>
      <c r="I268" s="459"/>
      <c r="J268" s="459"/>
      <c r="K268" s="459"/>
      <c r="L268" s="459"/>
      <c r="M268" s="459"/>
      <c r="N268" s="459"/>
      <c r="O268" s="459"/>
      <c r="P268" s="459"/>
      <c r="Q268" s="459"/>
      <c r="R268" s="459"/>
      <c r="S268" s="459"/>
      <c r="T268" s="459"/>
      <c r="U268" s="459"/>
      <c r="V268" s="460"/>
      <c r="W268" s="460"/>
      <c r="X268" s="448">
        <f t="shared" si="15"/>
        <v>1800</v>
      </c>
    </row>
    <row r="269" spans="1:24" ht="19.5" customHeight="1">
      <c r="A269" s="684" t="s">
        <v>100</v>
      </c>
      <c r="B269" s="666"/>
      <c r="C269" s="666"/>
      <c r="D269" s="666"/>
      <c r="E269" s="666"/>
      <c r="F269" s="666">
        <v>2500</v>
      </c>
      <c r="G269" s="459">
        <v>300</v>
      </c>
      <c r="H269" s="459"/>
      <c r="I269" s="459"/>
      <c r="J269" s="459"/>
      <c r="K269" s="459"/>
      <c r="L269" s="459"/>
      <c r="M269" s="459"/>
      <c r="N269" s="459"/>
      <c r="O269" s="459"/>
      <c r="P269" s="459"/>
      <c r="Q269" s="459"/>
      <c r="R269" s="459"/>
      <c r="S269" s="459"/>
      <c r="T269" s="459"/>
      <c r="U269" s="459"/>
      <c r="V269" s="460"/>
      <c r="W269" s="460"/>
      <c r="X269" s="448">
        <f t="shared" si="15"/>
        <v>2800</v>
      </c>
    </row>
    <row r="270" spans="1:24" ht="19.5" customHeight="1">
      <c r="A270" s="684" t="s">
        <v>101</v>
      </c>
      <c r="B270" s="666">
        <v>1500</v>
      </c>
      <c r="C270" s="666"/>
      <c r="D270" s="666"/>
      <c r="E270" s="666"/>
      <c r="F270" s="666"/>
      <c r="G270" s="459"/>
      <c r="H270" s="459"/>
      <c r="I270" s="459"/>
      <c r="J270" s="459"/>
      <c r="K270" s="459"/>
      <c r="L270" s="459"/>
      <c r="M270" s="459"/>
      <c r="N270" s="459"/>
      <c r="O270" s="459"/>
      <c r="P270" s="459"/>
      <c r="Q270" s="459"/>
      <c r="R270" s="459"/>
      <c r="S270" s="459"/>
      <c r="T270" s="459"/>
      <c r="U270" s="459"/>
      <c r="V270" s="460"/>
      <c r="W270" s="460"/>
      <c r="X270" s="448">
        <f t="shared" si="15"/>
        <v>1500</v>
      </c>
    </row>
    <row r="271" spans="1:24" ht="24.75" customHeight="1">
      <c r="A271" s="684" t="s">
        <v>119</v>
      </c>
      <c r="B271" s="666"/>
      <c r="C271" s="666"/>
      <c r="D271" s="666"/>
      <c r="E271" s="666"/>
      <c r="F271" s="666"/>
      <c r="G271" s="459"/>
      <c r="H271" s="459"/>
      <c r="I271" s="459"/>
      <c r="J271" s="459"/>
      <c r="K271" s="459"/>
      <c r="L271" s="459"/>
      <c r="M271" s="459"/>
      <c r="N271" s="459"/>
      <c r="O271" s="459"/>
      <c r="P271" s="459"/>
      <c r="Q271" s="459"/>
      <c r="R271" s="459"/>
      <c r="S271" s="459"/>
      <c r="T271" s="459"/>
      <c r="U271" s="459"/>
      <c r="V271" s="460">
        <v>-2073</v>
      </c>
      <c r="W271" s="460"/>
      <c r="X271" s="448">
        <f t="shared" si="15"/>
        <v>-2073</v>
      </c>
    </row>
    <row r="272" spans="1:24" ht="26.25" thickBot="1">
      <c r="A272" s="684" t="s">
        <v>590</v>
      </c>
      <c r="B272" s="666">
        <v>-8036</v>
      </c>
      <c r="C272" s="666"/>
      <c r="D272" s="666"/>
      <c r="E272" s="666"/>
      <c r="F272" s="666">
        <v>-550</v>
      </c>
      <c r="G272" s="459">
        <v>-500</v>
      </c>
      <c r="H272" s="459"/>
      <c r="I272" s="459"/>
      <c r="J272" s="459"/>
      <c r="K272" s="459"/>
      <c r="L272" s="459"/>
      <c r="M272" s="459"/>
      <c r="N272" s="459"/>
      <c r="O272" s="459"/>
      <c r="P272" s="459"/>
      <c r="Q272" s="459"/>
      <c r="R272" s="459"/>
      <c r="S272" s="459"/>
      <c r="T272" s="459"/>
      <c r="U272" s="459"/>
      <c r="V272" s="460"/>
      <c r="W272" s="460"/>
      <c r="X272" s="448">
        <f t="shared" si="15"/>
        <v>-9086</v>
      </c>
    </row>
    <row r="273" spans="1:24" ht="28.5" customHeight="1" thickBot="1">
      <c r="A273" s="681" t="s">
        <v>279</v>
      </c>
      <c r="B273" s="688">
        <f>SUM(B274:B277)</f>
        <v>52160</v>
      </c>
      <c r="C273" s="456"/>
      <c r="D273" s="456"/>
      <c r="E273" s="456">
        <f>SUM(E274:E277)</f>
        <v>-100</v>
      </c>
      <c r="F273" s="456">
        <f>SUM(F274:F277)</f>
        <v>5800</v>
      </c>
      <c r="G273" s="456"/>
      <c r="H273" s="456"/>
      <c r="I273" s="456"/>
      <c r="J273" s="456"/>
      <c r="K273" s="456"/>
      <c r="L273" s="456"/>
      <c r="M273" s="456"/>
      <c r="N273" s="456"/>
      <c r="O273" s="456"/>
      <c r="P273" s="456"/>
      <c r="Q273" s="456">
        <f>SUM(Q274:Q277)</f>
        <v>-19000</v>
      </c>
      <c r="R273" s="456">
        <f>SUM(R274:R277)</f>
        <v>0</v>
      </c>
      <c r="S273" s="456"/>
      <c r="T273" s="456"/>
      <c r="U273" s="456"/>
      <c r="V273" s="456"/>
      <c r="W273" s="456"/>
      <c r="X273" s="456">
        <f t="shared" si="15"/>
        <v>38860</v>
      </c>
    </row>
    <row r="274" spans="1:24" ht="51">
      <c r="A274" s="678" t="s">
        <v>558</v>
      </c>
      <c r="B274" s="666">
        <v>28500</v>
      </c>
      <c r="C274" s="459"/>
      <c r="D274" s="459"/>
      <c r="E274" s="459"/>
      <c r="F274" s="459">
        <v>2500</v>
      </c>
      <c r="G274" s="459"/>
      <c r="H274" s="459"/>
      <c r="I274" s="459"/>
      <c r="J274" s="459"/>
      <c r="K274" s="459"/>
      <c r="L274" s="459"/>
      <c r="M274" s="459"/>
      <c r="N274" s="459"/>
      <c r="O274" s="459"/>
      <c r="P274" s="459"/>
      <c r="Q274" s="459"/>
      <c r="R274" s="459"/>
      <c r="S274" s="459"/>
      <c r="T274" s="459"/>
      <c r="U274" s="459"/>
      <c r="V274" s="460"/>
      <c r="W274" s="460"/>
      <c r="X274" s="448">
        <f t="shared" si="15"/>
        <v>31000</v>
      </c>
    </row>
    <row r="275" spans="1:24" ht="38.25">
      <c r="A275" s="689" t="s">
        <v>564</v>
      </c>
      <c r="B275" s="666"/>
      <c r="C275" s="459"/>
      <c r="D275" s="459"/>
      <c r="E275" s="459">
        <v>-100</v>
      </c>
      <c r="F275" s="459"/>
      <c r="G275" s="459"/>
      <c r="H275" s="459"/>
      <c r="I275" s="459"/>
      <c r="J275" s="459"/>
      <c r="K275" s="459"/>
      <c r="L275" s="459"/>
      <c r="M275" s="459"/>
      <c r="N275" s="459"/>
      <c r="O275" s="459"/>
      <c r="P275" s="459"/>
      <c r="Q275" s="459">
        <v>-10000</v>
      </c>
      <c r="R275" s="459"/>
      <c r="S275" s="459"/>
      <c r="T275" s="459"/>
      <c r="U275" s="459"/>
      <c r="V275" s="460"/>
      <c r="W275" s="460"/>
      <c r="X275" s="448">
        <f t="shared" si="15"/>
        <v>-10100</v>
      </c>
    </row>
    <row r="276" spans="1:24" ht="25.5">
      <c r="A276" s="689" t="s">
        <v>554</v>
      </c>
      <c r="B276" s="666"/>
      <c r="C276" s="459"/>
      <c r="D276" s="459"/>
      <c r="E276" s="459"/>
      <c r="F276" s="459"/>
      <c r="G276" s="459"/>
      <c r="H276" s="459"/>
      <c r="I276" s="459"/>
      <c r="J276" s="459"/>
      <c r="K276" s="459"/>
      <c r="L276" s="459"/>
      <c r="M276" s="459"/>
      <c r="N276" s="459"/>
      <c r="O276" s="459"/>
      <c r="P276" s="459"/>
      <c r="Q276" s="459">
        <v>-9000</v>
      </c>
      <c r="R276" s="459"/>
      <c r="S276" s="459"/>
      <c r="T276" s="459"/>
      <c r="U276" s="459"/>
      <c r="V276" s="460"/>
      <c r="W276" s="460"/>
      <c r="X276" s="448">
        <f t="shared" si="15"/>
        <v>-9000</v>
      </c>
    </row>
    <row r="277" spans="1:24" ht="26.25" thickBot="1">
      <c r="A277" s="689" t="s">
        <v>282</v>
      </c>
      <c r="B277" s="665">
        <v>23660</v>
      </c>
      <c r="C277" s="598"/>
      <c r="D277" s="598"/>
      <c r="E277" s="598"/>
      <c r="F277" s="598">
        <v>3300</v>
      </c>
      <c r="G277" s="598"/>
      <c r="H277" s="598"/>
      <c r="I277" s="598"/>
      <c r="J277" s="598"/>
      <c r="K277" s="598"/>
      <c r="L277" s="598"/>
      <c r="M277" s="598"/>
      <c r="N277" s="598"/>
      <c r="O277" s="598"/>
      <c r="P277" s="598"/>
      <c r="Q277" s="598"/>
      <c r="R277" s="598"/>
      <c r="S277" s="598"/>
      <c r="T277" s="598"/>
      <c r="U277" s="598"/>
      <c r="V277" s="599"/>
      <c r="W277" s="599"/>
      <c r="X277" s="596">
        <f t="shared" si="15"/>
        <v>26960</v>
      </c>
    </row>
    <row r="278" spans="1:24" ht="39" thickBot="1">
      <c r="A278" s="681" t="s">
        <v>461</v>
      </c>
      <c r="B278" s="688">
        <f>SUM(B279:B280)</f>
        <v>-18000</v>
      </c>
      <c r="C278" s="456"/>
      <c r="D278" s="456"/>
      <c r="E278" s="456"/>
      <c r="F278" s="456">
        <f>SUM(F279:F280)</f>
        <v>-2500</v>
      </c>
      <c r="G278" s="456">
        <f>SUM(G279:G280)</f>
        <v>-500</v>
      </c>
      <c r="H278" s="456"/>
      <c r="I278" s="456"/>
      <c r="J278" s="456"/>
      <c r="K278" s="456"/>
      <c r="L278" s="456"/>
      <c r="M278" s="456"/>
      <c r="N278" s="456"/>
      <c r="O278" s="456"/>
      <c r="P278" s="456"/>
      <c r="Q278" s="456"/>
      <c r="R278" s="456"/>
      <c r="S278" s="456"/>
      <c r="T278" s="456"/>
      <c r="U278" s="456"/>
      <c r="V278" s="456"/>
      <c r="W278" s="456"/>
      <c r="X278" s="456">
        <f t="shared" si="15"/>
        <v>-21000</v>
      </c>
    </row>
    <row r="279" spans="1:24" ht="18" customHeight="1">
      <c r="A279" s="684" t="s">
        <v>573</v>
      </c>
      <c r="B279" s="666">
        <v>-6000</v>
      </c>
      <c r="C279" s="459"/>
      <c r="D279" s="459"/>
      <c r="E279" s="459"/>
      <c r="F279" s="459">
        <v>-1000</v>
      </c>
      <c r="G279" s="459"/>
      <c r="H279" s="459"/>
      <c r="I279" s="459"/>
      <c r="J279" s="459"/>
      <c r="K279" s="459"/>
      <c r="L279" s="459"/>
      <c r="M279" s="459"/>
      <c r="N279" s="459"/>
      <c r="O279" s="459"/>
      <c r="P279" s="459"/>
      <c r="Q279" s="459"/>
      <c r="R279" s="459"/>
      <c r="S279" s="459"/>
      <c r="T279" s="459"/>
      <c r="U279" s="459"/>
      <c r="V279" s="460"/>
      <c r="W279" s="460"/>
      <c r="X279" s="448">
        <f t="shared" si="15"/>
        <v>-7000</v>
      </c>
    </row>
    <row r="280" spans="1:24" ht="26.25" thickBot="1">
      <c r="A280" s="684" t="s">
        <v>559</v>
      </c>
      <c r="B280" s="666">
        <v>-12000</v>
      </c>
      <c r="C280" s="459"/>
      <c r="D280" s="459"/>
      <c r="E280" s="459"/>
      <c r="F280" s="459">
        <v>-1500</v>
      </c>
      <c r="G280" s="459">
        <v>-500</v>
      </c>
      <c r="H280" s="459"/>
      <c r="I280" s="459"/>
      <c r="J280" s="459"/>
      <c r="K280" s="459"/>
      <c r="L280" s="459"/>
      <c r="M280" s="459"/>
      <c r="N280" s="459"/>
      <c r="O280" s="459"/>
      <c r="P280" s="459"/>
      <c r="Q280" s="459"/>
      <c r="R280" s="459"/>
      <c r="S280" s="459"/>
      <c r="T280" s="459"/>
      <c r="U280" s="459"/>
      <c r="V280" s="460"/>
      <c r="W280" s="460"/>
      <c r="X280" s="448">
        <f t="shared" si="15"/>
        <v>-14000</v>
      </c>
    </row>
    <row r="281" spans="1:24" ht="32.25" customHeight="1" thickBot="1">
      <c r="A281" s="681" t="s">
        <v>518</v>
      </c>
      <c r="B281" s="688">
        <f>SUM(B282:B283)</f>
        <v>-670</v>
      </c>
      <c r="C281" s="456"/>
      <c r="D281" s="456"/>
      <c r="E281" s="688">
        <f>SUM(E282:E283)</f>
        <v>-1000</v>
      </c>
      <c r="F281" s="456">
        <f>SUM(F282:F283)</f>
        <v>-2330</v>
      </c>
      <c r="G281" s="456">
        <f>SUM(G282:G283)</f>
        <v>-230</v>
      </c>
      <c r="H281" s="456"/>
      <c r="I281" s="456"/>
      <c r="J281" s="456"/>
      <c r="K281" s="456"/>
      <c r="L281" s="456"/>
      <c r="M281" s="456"/>
      <c r="N281" s="456"/>
      <c r="O281" s="456"/>
      <c r="P281" s="456"/>
      <c r="Q281" s="456">
        <f>SUM(Q282:Q283)</f>
        <v>1500</v>
      </c>
      <c r="R281" s="456"/>
      <c r="S281" s="456"/>
      <c r="T281" s="456"/>
      <c r="U281" s="456"/>
      <c r="V281" s="456"/>
      <c r="W281" s="456"/>
      <c r="X281" s="456">
        <f t="shared" si="15"/>
        <v>-2730</v>
      </c>
    </row>
    <row r="282" spans="1:24" ht="17.25" customHeight="1">
      <c r="A282" s="690" t="s">
        <v>350</v>
      </c>
      <c r="B282" s="666"/>
      <c r="C282" s="459"/>
      <c r="D282" s="459"/>
      <c r="E282" s="459"/>
      <c r="F282" s="459"/>
      <c r="G282" s="459"/>
      <c r="H282" s="459"/>
      <c r="I282" s="459"/>
      <c r="J282" s="459"/>
      <c r="K282" s="459"/>
      <c r="L282" s="459"/>
      <c r="M282" s="459"/>
      <c r="N282" s="459"/>
      <c r="O282" s="459"/>
      <c r="P282" s="459"/>
      <c r="Q282" s="459">
        <v>1500</v>
      </c>
      <c r="R282" s="666"/>
      <c r="S282" s="459"/>
      <c r="T282" s="459"/>
      <c r="U282" s="459"/>
      <c r="V282" s="460"/>
      <c r="W282" s="460"/>
      <c r="X282" s="448">
        <f t="shared" si="15"/>
        <v>1500</v>
      </c>
    </row>
    <row r="283" spans="1:24" ht="17.25" customHeight="1" thickBot="1">
      <c r="A283" s="691" t="s">
        <v>524</v>
      </c>
      <c r="B283" s="665">
        <v>-670</v>
      </c>
      <c r="C283" s="598"/>
      <c r="D283" s="598"/>
      <c r="E283" s="598">
        <v>-1000</v>
      </c>
      <c r="F283" s="598">
        <v>-2330</v>
      </c>
      <c r="G283" s="598">
        <v>-230</v>
      </c>
      <c r="H283" s="598"/>
      <c r="I283" s="598"/>
      <c r="J283" s="598"/>
      <c r="K283" s="598"/>
      <c r="L283" s="598"/>
      <c r="M283" s="598"/>
      <c r="N283" s="598"/>
      <c r="O283" s="598"/>
      <c r="P283" s="598"/>
      <c r="Q283" s="598"/>
      <c r="R283" s="665"/>
      <c r="S283" s="598"/>
      <c r="T283" s="598"/>
      <c r="U283" s="598"/>
      <c r="V283" s="599"/>
      <c r="W283" s="599"/>
      <c r="X283" s="448">
        <f t="shared" si="15"/>
        <v>-4230</v>
      </c>
    </row>
    <row r="284" spans="1:24" ht="33.75" customHeight="1" thickBot="1">
      <c r="A284" s="375" t="s">
        <v>577</v>
      </c>
      <c r="B284" s="456">
        <f>SUM(B285:B286)</f>
        <v>10880</v>
      </c>
      <c r="C284" s="456"/>
      <c r="D284" s="456"/>
      <c r="E284" s="456"/>
      <c r="F284" s="456"/>
      <c r="G284" s="456">
        <f>SUM(G285:G286)</f>
        <v>38</v>
      </c>
      <c r="H284" s="456"/>
      <c r="I284" s="456"/>
      <c r="J284" s="456"/>
      <c r="K284" s="456"/>
      <c r="L284" s="456"/>
      <c r="M284" s="456"/>
      <c r="N284" s="456"/>
      <c r="O284" s="456"/>
      <c r="P284" s="456"/>
      <c r="Q284" s="456"/>
      <c r="R284" s="456"/>
      <c r="S284" s="456"/>
      <c r="T284" s="456"/>
      <c r="U284" s="456"/>
      <c r="V284" s="456"/>
      <c r="W284" s="456"/>
      <c r="X284" s="456">
        <f t="shared" si="15"/>
        <v>10918</v>
      </c>
    </row>
    <row r="285" spans="1:24" ht="19.5" customHeight="1">
      <c r="A285" s="684" t="s">
        <v>560</v>
      </c>
      <c r="B285" s="459">
        <v>6000</v>
      </c>
      <c r="C285" s="459"/>
      <c r="D285" s="459"/>
      <c r="E285" s="459"/>
      <c r="F285" s="459"/>
      <c r="G285" s="459"/>
      <c r="H285" s="459"/>
      <c r="I285" s="459"/>
      <c r="J285" s="459"/>
      <c r="K285" s="459"/>
      <c r="L285" s="459"/>
      <c r="M285" s="459"/>
      <c r="N285" s="459"/>
      <c r="O285" s="459"/>
      <c r="P285" s="459"/>
      <c r="Q285" s="459"/>
      <c r="R285" s="666"/>
      <c r="S285" s="459"/>
      <c r="T285" s="459"/>
      <c r="U285" s="459"/>
      <c r="V285" s="460"/>
      <c r="W285" s="460"/>
      <c r="X285" s="448">
        <f t="shared" si="15"/>
        <v>6000</v>
      </c>
    </row>
    <row r="286" spans="1:24" ht="26.25" thickBot="1">
      <c r="A286" s="680" t="s">
        <v>561</v>
      </c>
      <c r="B286" s="459">
        <v>4880</v>
      </c>
      <c r="C286" s="459"/>
      <c r="D286" s="459"/>
      <c r="E286" s="459"/>
      <c r="F286" s="459"/>
      <c r="G286" s="459">
        <v>38</v>
      </c>
      <c r="H286" s="459"/>
      <c r="I286" s="459"/>
      <c r="J286" s="459"/>
      <c r="K286" s="459"/>
      <c r="L286" s="459"/>
      <c r="M286" s="459"/>
      <c r="N286" s="459"/>
      <c r="O286" s="459"/>
      <c r="P286" s="459"/>
      <c r="Q286" s="459"/>
      <c r="R286" s="666"/>
      <c r="S286" s="459"/>
      <c r="T286" s="459"/>
      <c r="U286" s="459"/>
      <c r="V286" s="460"/>
      <c r="W286" s="460"/>
      <c r="X286" s="448">
        <f t="shared" si="15"/>
        <v>4918</v>
      </c>
    </row>
    <row r="287" spans="1:24" s="373" customFormat="1" ht="27.75" customHeight="1" thickBot="1">
      <c r="A287" s="686" t="s">
        <v>197</v>
      </c>
      <c r="B287" s="462"/>
      <c r="C287" s="462"/>
      <c r="D287" s="462"/>
      <c r="E287" s="462">
        <f>E288+E373+E380</f>
        <v>65</v>
      </c>
      <c r="F287" s="462">
        <f aca="true" t="shared" si="16" ref="F287:L287">F288+F373+F380</f>
        <v>-69</v>
      </c>
      <c r="G287" s="462">
        <f t="shared" si="16"/>
        <v>4</v>
      </c>
      <c r="H287" s="462"/>
      <c r="I287" s="462">
        <f t="shared" si="16"/>
        <v>888340</v>
      </c>
      <c r="J287" s="462"/>
      <c r="K287" s="462"/>
      <c r="L287" s="462">
        <f t="shared" si="16"/>
        <v>74463</v>
      </c>
      <c r="M287" s="462"/>
      <c r="N287" s="462"/>
      <c r="O287" s="462"/>
      <c r="P287" s="462"/>
      <c r="Q287" s="462"/>
      <c r="R287" s="462"/>
      <c r="S287" s="462"/>
      <c r="T287" s="462"/>
      <c r="U287" s="462"/>
      <c r="V287" s="462"/>
      <c r="W287" s="462"/>
      <c r="X287" s="456">
        <f t="shared" si="15"/>
        <v>962803</v>
      </c>
    </row>
    <row r="288" spans="1:24" s="373" customFormat="1" ht="50.25" customHeight="1">
      <c r="A288" s="378" t="s">
        <v>131</v>
      </c>
      <c r="B288" s="442"/>
      <c r="C288" s="442"/>
      <c r="D288" s="442"/>
      <c r="E288" s="442"/>
      <c r="F288" s="442"/>
      <c r="G288" s="442"/>
      <c r="H288" s="442"/>
      <c r="I288" s="442">
        <f>SUM(I289:I372)</f>
        <v>847740</v>
      </c>
      <c r="J288" s="442"/>
      <c r="K288" s="442"/>
      <c r="L288" s="442">
        <f>SUM(L289:L372)</f>
        <v>74463</v>
      </c>
      <c r="M288" s="442"/>
      <c r="N288" s="442"/>
      <c r="O288" s="442"/>
      <c r="P288" s="442"/>
      <c r="Q288" s="442"/>
      <c r="R288" s="442"/>
      <c r="S288" s="442"/>
      <c r="T288" s="442"/>
      <c r="U288" s="442"/>
      <c r="V288" s="442"/>
      <c r="W288" s="442"/>
      <c r="X288" s="521">
        <f t="shared" si="15"/>
        <v>922203</v>
      </c>
    </row>
    <row r="289" spans="1:24" s="373" customFormat="1" ht="18" customHeight="1">
      <c r="A289" s="680" t="s">
        <v>719</v>
      </c>
      <c r="B289" s="682"/>
      <c r="C289" s="682"/>
      <c r="D289" s="682"/>
      <c r="E289" s="682"/>
      <c r="F289" s="682"/>
      <c r="G289" s="682"/>
      <c r="H289" s="682"/>
      <c r="I289" s="664">
        <v>21610</v>
      </c>
      <c r="J289" s="664"/>
      <c r="K289" s="664"/>
      <c r="L289" s="664">
        <v>1444</v>
      </c>
      <c r="M289" s="682"/>
      <c r="N289" s="682"/>
      <c r="O289" s="682"/>
      <c r="P289" s="682"/>
      <c r="Q289" s="463"/>
      <c r="R289" s="463"/>
      <c r="S289" s="463"/>
      <c r="T289" s="463"/>
      <c r="U289" s="463"/>
      <c r="V289" s="464"/>
      <c r="W289" s="464"/>
      <c r="X289" s="448">
        <f>SUM(B289:W289)</f>
        <v>23054</v>
      </c>
    </row>
    <row r="290" spans="1:24" s="373" customFormat="1" ht="18" customHeight="1">
      <c r="A290" s="680" t="s">
        <v>720</v>
      </c>
      <c r="B290" s="682"/>
      <c r="C290" s="682"/>
      <c r="D290" s="682"/>
      <c r="E290" s="682"/>
      <c r="F290" s="682"/>
      <c r="G290" s="682"/>
      <c r="H290" s="682"/>
      <c r="I290" s="664">
        <v>9986</v>
      </c>
      <c r="J290" s="664"/>
      <c r="K290" s="664"/>
      <c r="L290" s="664">
        <v>804</v>
      </c>
      <c r="M290" s="682"/>
      <c r="N290" s="682"/>
      <c r="O290" s="682"/>
      <c r="P290" s="682"/>
      <c r="Q290" s="463"/>
      <c r="R290" s="463"/>
      <c r="S290" s="463"/>
      <c r="T290" s="463"/>
      <c r="U290" s="463"/>
      <c r="V290" s="464"/>
      <c r="W290" s="464"/>
      <c r="X290" s="448">
        <f t="shared" si="15"/>
        <v>10790</v>
      </c>
    </row>
    <row r="291" spans="1:24" s="373" customFormat="1" ht="18" customHeight="1">
      <c r="A291" s="680" t="s">
        <v>721</v>
      </c>
      <c r="B291" s="682"/>
      <c r="C291" s="682"/>
      <c r="D291" s="682"/>
      <c r="E291" s="682"/>
      <c r="F291" s="682"/>
      <c r="G291" s="682"/>
      <c r="H291" s="682"/>
      <c r="I291" s="664">
        <v>4366</v>
      </c>
      <c r="J291" s="664"/>
      <c r="K291" s="664"/>
      <c r="L291" s="664">
        <v>804</v>
      </c>
      <c r="M291" s="682"/>
      <c r="N291" s="682"/>
      <c r="O291" s="682"/>
      <c r="P291" s="682"/>
      <c r="Q291" s="463"/>
      <c r="R291" s="463"/>
      <c r="S291" s="463"/>
      <c r="T291" s="463"/>
      <c r="U291" s="463"/>
      <c r="V291" s="464"/>
      <c r="W291" s="464"/>
      <c r="X291" s="448">
        <f t="shared" si="15"/>
        <v>5170</v>
      </c>
    </row>
    <row r="292" spans="1:24" s="373" customFormat="1" ht="18" customHeight="1">
      <c r="A292" s="680" t="s">
        <v>722</v>
      </c>
      <c r="B292" s="682"/>
      <c r="C292" s="682"/>
      <c r="D292" s="682"/>
      <c r="E292" s="682"/>
      <c r="F292" s="682"/>
      <c r="G292" s="682"/>
      <c r="H292" s="682"/>
      <c r="I292" s="664">
        <v>7304</v>
      </c>
      <c r="J292" s="664"/>
      <c r="K292" s="664"/>
      <c r="L292" s="664">
        <v>804</v>
      </c>
      <c r="M292" s="682"/>
      <c r="N292" s="682"/>
      <c r="O292" s="682"/>
      <c r="P292" s="682"/>
      <c r="Q292" s="463"/>
      <c r="R292" s="463"/>
      <c r="S292" s="463"/>
      <c r="T292" s="463"/>
      <c r="U292" s="463"/>
      <c r="V292" s="464"/>
      <c r="W292" s="464"/>
      <c r="X292" s="448">
        <f t="shared" si="15"/>
        <v>8108</v>
      </c>
    </row>
    <row r="293" spans="1:24" s="373" customFormat="1" ht="18" customHeight="1">
      <c r="A293" s="680" t="s">
        <v>583</v>
      </c>
      <c r="B293" s="682"/>
      <c r="C293" s="682"/>
      <c r="D293" s="682"/>
      <c r="E293" s="682"/>
      <c r="F293" s="682"/>
      <c r="G293" s="682"/>
      <c r="H293" s="682"/>
      <c r="I293" s="664">
        <v>16362</v>
      </c>
      <c r="J293" s="664"/>
      <c r="K293" s="664"/>
      <c r="L293" s="664">
        <v>1444</v>
      </c>
      <c r="M293" s="682"/>
      <c r="N293" s="682"/>
      <c r="O293" s="682"/>
      <c r="P293" s="682"/>
      <c r="Q293" s="463"/>
      <c r="R293" s="463"/>
      <c r="S293" s="463"/>
      <c r="T293" s="463"/>
      <c r="U293" s="463"/>
      <c r="V293" s="464"/>
      <c r="W293" s="464"/>
      <c r="X293" s="448">
        <f t="shared" si="15"/>
        <v>17806</v>
      </c>
    </row>
    <row r="294" spans="1:24" s="373" customFormat="1" ht="18" customHeight="1">
      <c r="A294" s="680" t="s">
        <v>723</v>
      </c>
      <c r="B294" s="682"/>
      <c r="C294" s="682"/>
      <c r="D294" s="682"/>
      <c r="E294" s="682"/>
      <c r="F294" s="682"/>
      <c r="G294" s="682"/>
      <c r="H294" s="682"/>
      <c r="I294" s="664">
        <v>7304</v>
      </c>
      <c r="J294" s="664"/>
      <c r="K294" s="664"/>
      <c r="L294" s="664">
        <v>804</v>
      </c>
      <c r="M294" s="682"/>
      <c r="N294" s="682"/>
      <c r="O294" s="682"/>
      <c r="P294" s="682"/>
      <c r="Q294" s="463"/>
      <c r="R294" s="463"/>
      <c r="S294" s="463"/>
      <c r="T294" s="463"/>
      <c r="U294" s="463"/>
      <c r="V294" s="464"/>
      <c r="W294" s="464"/>
      <c r="X294" s="448">
        <f t="shared" si="15"/>
        <v>8108</v>
      </c>
    </row>
    <row r="295" spans="1:24" s="373" customFormat="1" ht="18" customHeight="1">
      <c r="A295" s="680" t="s">
        <v>724</v>
      </c>
      <c r="B295" s="682"/>
      <c r="C295" s="682"/>
      <c r="D295" s="682"/>
      <c r="E295" s="682"/>
      <c r="F295" s="682"/>
      <c r="G295" s="682"/>
      <c r="H295" s="682"/>
      <c r="I295" s="664">
        <v>8072</v>
      </c>
      <c r="J295" s="664"/>
      <c r="K295" s="664"/>
      <c r="L295" s="664">
        <v>1060</v>
      </c>
      <c r="M295" s="682"/>
      <c r="N295" s="682"/>
      <c r="O295" s="682"/>
      <c r="P295" s="682"/>
      <c r="Q295" s="463"/>
      <c r="R295" s="463"/>
      <c r="S295" s="463"/>
      <c r="T295" s="463"/>
      <c r="U295" s="463"/>
      <c r="V295" s="464"/>
      <c r="W295" s="464"/>
      <c r="X295" s="448">
        <f t="shared" si="15"/>
        <v>9132</v>
      </c>
    </row>
    <row r="296" spans="1:24" s="373" customFormat="1" ht="18" customHeight="1">
      <c r="A296" s="680" t="s">
        <v>725</v>
      </c>
      <c r="B296" s="682"/>
      <c r="C296" s="682"/>
      <c r="D296" s="682"/>
      <c r="E296" s="682"/>
      <c r="F296" s="682"/>
      <c r="G296" s="682"/>
      <c r="H296" s="682"/>
      <c r="I296" s="664">
        <v>20074</v>
      </c>
      <c r="J296" s="664"/>
      <c r="K296" s="664"/>
      <c r="L296" s="664">
        <v>804</v>
      </c>
      <c r="M296" s="682"/>
      <c r="N296" s="682"/>
      <c r="O296" s="682"/>
      <c r="P296" s="682"/>
      <c r="Q296" s="463"/>
      <c r="R296" s="463"/>
      <c r="S296" s="463"/>
      <c r="T296" s="463"/>
      <c r="U296" s="463"/>
      <c r="V296" s="464"/>
      <c r="W296" s="464"/>
      <c r="X296" s="448">
        <f t="shared" si="15"/>
        <v>20878</v>
      </c>
    </row>
    <row r="297" spans="1:24" s="373" customFormat="1" ht="18" customHeight="1">
      <c r="A297" s="680" t="s">
        <v>726</v>
      </c>
      <c r="B297" s="682"/>
      <c r="C297" s="682"/>
      <c r="D297" s="682"/>
      <c r="E297" s="682"/>
      <c r="F297" s="682"/>
      <c r="G297" s="682"/>
      <c r="H297" s="682"/>
      <c r="I297" s="664">
        <v>10498</v>
      </c>
      <c r="J297" s="664"/>
      <c r="K297" s="664"/>
      <c r="L297" s="664">
        <v>804</v>
      </c>
      <c r="M297" s="682"/>
      <c r="N297" s="682"/>
      <c r="O297" s="682"/>
      <c r="P297" s="682"/>
      <c r="Q297" s="463"/>
      <c r="R297" s="463"/>
      <c r="S297" s="463"/>
      <c r="T297" s="463"/>
      <c r="U297" s="463"/>
      <c r="V297" s="464"/>
      <c r="W297" s="464"/>
      <c r="X297" s="448">
        <f t="shared" si="15"/>
        <v>11302</v>
      </c>
    </row>
    <row r="298" spans="1:24" s="373" customFormat="1" ht="18" customHeight="1">
      <c r="A298" s="680" t="s">
        <v>727</v>
      </c>
      <c r="B298" s="682"/>
      <c r="C298" s="682"/>
      <c r="D298" s="682"/>
      <c r="E298" s="682"/>
      <c r="F298" s="682"/>
      <c r="G298" s="682"/>
      <c r="H298" s="682"/>
      <c r="I298" s="664">
        <v>24042</v>
      </c>
      <c r="J298" s="664"/>
      <c r="K298" s="664"/>
      <c r="L298" s="664">
        <v>1124</v>
      </c>
      <c r="M298" s="682"/>
      <c r="N298" s="682"/>
      <c r="O298" s="682"/>
      <c r="P298" s="682"/>
      <c r="Q298" s="463"/>
      <c r="R298" s="463"/>
      <c r="S298" s="463"/>
      <c r="T298" s="463"/>
      <c r="U298" s="463"/>
      <c r="V298" s="464"/>
      <c r="W298" s="464"/>
      <c r="X298" s="448">
        <f t="shared" si="15"/>
        <v>25166</v>
      </c>
    </row>
    <row r="299" spans="1:24" s="373" customFormat="1" ht="18" customHeight="1">
      <c r="A299" s="680" t="s">
        <v>728</v>
      </c>
      <c r="B299" s="682"/>
      <c r="C299" s="682"/>
      <c r="D299" s="682"/>
      <c r="E299" s="682"/>
      <c r="F299" s="682"/>
      <c r="G299" s="682"/>
      <c r="H299" s="682"/>
      <c r="I299" s="664">
        <v>23914</v>
      </c>
      <c r="J299" s="664"/>
      <c r="K299" s="664"/>
      <c r="L299" s="664">
        <v>1124</v>
      </c>
      <c r="M299" s="682"/>
      <c r="N299" s="682"/>
      <c r="O299" s="682"/>
      <c r="P299" s="682"/>
      <c r="Q299" s="463"/>
      <c r="R299" s="463"/>
      <c r="S299" s="463"/>
      <c r="T299" s="463"/>
      <c r="U299" s="463"/>
      <c r="V299" s="464"/>
      <c r="W299" s="464"/>
      <c r="X299" s="448">
        <f>SUM(B299:W299)</f>
        <v>25038</v>
      </c>
    </row>
    <row r="300" spans="1:24" s="373" customFormat="1" ht="18" customHeight="1">
      <c r="A300" s="680" t="s">
        <v>527</v>
      </c>
      <c r="B300" s="682"/>
      <c r="C300" s="682"/>
      <c r="D300" s="682"/>
      <c r="E300" s="682"/>
      <c r="F300" s="682"/>
      <c r="G300" s="682"/>
      <c r="H300" s="682"/>
      <c r="I300" s="664">
        <v>13436</v>
      </c>
      <c r="J300" s="664"/>
      <c r="K300" s="664"/>
      <c r="L300" s="664">
        <v>804</v>
      </c>
      <c r="M300" s="682"/>
      <c r="N300" s="682"/>
      <c r="O300" s="682"/>
      <c r="P300" s="682"/>
      <c r="Q300" s="463"/>
      <c r="R300" s="463"/>
      <c r="S300" s="463"/>
      <c r="T300" s="463"/>
      <c r="U300" s="463"/>
      <c r="V300" s="464"/>
      <c r="W300" s="464"/>
      <c r="X300" s="448">
        <f>SUM(B300:W300)</f>
        <v>14240</v>
      </c>
    </row>
    <row r="301" spans="1:24" s="373" customFormat="1" ht="18" customHeight="1">
      <c r="A301" s="680" t="s">
        <v>786</v>
      </c>
      <c r="B301" s="664"/>
      <c r="C301" s="664"/>
      <c r="D301" s="664"/>
      <c r="E301" s="664"/>
      <c r="F301" s="664"/>
      <c r="G301" s="664"/>
      <c r="H301" s="664"/>
      <c r="I301" s="664">
        <v>14588</v>
      </c>
      <c r="J301" s="664"/>
      <c r="K301" s="664"/>
      <c r="L301" s="664">
        <v>804</v>
      </c>
      <c r="M301" s="664"/>
      <c r="N301" s="664"/>
      <c r="O301" s="664"/>
      <c r="P301" s="664"/>
      <c r="Q301" s="369"/>
      <c r="R301" s="369"/>
      <c r="S301" s="369"/>
      <c r="T301" s="369"/>
      <c r="U301" s="369"/>
      <c r="V301" s="370"/>
      <c r="W301" s="370"/>
      <c r="X301" s="448">
        <f t="shared" si="15"/>
        <v>15392</v>
      </c>
    </row>
    <row r="302" spans="1:24" s="373" customFormat="1" ht="18" customHeight="1">
      <c r="A302" s="680" t="s">
        <v>787</v>
      </c>
      <c r="B302" s="664"/>
      <c r="C302" s="664"/>
      <c r="D302" s="664"/>
      <c r="E302" s="664"/>
      <c r="F302" s="664"/>
      <c r="G302" s="664"/>
      <c r="H302" s="664"/>
      <c r="I302" s="664">
        <v>14588</v>
      </c>
      <c r="J302" s="664"/>
      <c r="K302" s="664"/>
      <c r="L302" s="664">
        <v>804</v>
      </c>
      <c r="M302" s="664"/>
      <c r="N302" s="664"/>
      <c r="O302" s="664"/>
      <c r="P302" s="664"/>
      <c r="Q302" s="369"/>
      <c r="R302" s="369"/>
      <c r="S302" s="369"/>
      <c r="T302" s="369"/>
      <c r="U302" s="369"/>
      <c r="V302" s="370"/>
      <c r="W302" s="370"/>
      <c r="X302" s="448">
        <f t="shared" si="15"/>
        <v>15392</v>
      </c>
    </row>
    <row r="303" spans="1:24" s="373" customFormat="1" ht="18" customHeight="1">
      <c r="A303" s="680" t="s">
        <v>788</v>
      </c>
      <c r="B303" s="664"/>
      <c r="C303" s="664"/>
      <c r="D303" s="664"/>
      <c r="E303" s="664"/>
      <c r="F303" s="664"/>
      <c r="G303" s="664"/>
      <c r="H303" s="664"/>
      <c r="I303" s="664">
        <v>9602</v>
      </c>
      <c r="J303" s="664"/>
      <c r="K303" s="664"/>
      <c r="L303" s="664">
        <v>804</v>
      </c>
      <c r="M303" s="664"/>
      <c r="N303" s="664"/>
      <c r="O303" s="664"/>
      <c r="P303" s="664"/>
      <c r="Q303" s="369"/>
      <c r="R303" s="369"/>
      <c r="S303" s="369"/>
      <c r="T303" s="369"/>
      <c r="U303" s="369"/>
      <c r="V303" s="370"/>
      <c r="W303" s="370"/>
      <c r="X303" s="448">
        <f t="shared" si="15"/>
        <v>10406</v>
      </c>
    </row>
    <row r="304" spans="1:24" s="373" customFormat="1" ht="18" customHeight="1">
      <c r="A304" s="680" t="s">
        <v>710</v>
      </c>
      <c r="B304" s="683"/>
      <c r="C304" s="683"/>
      <c r="D304" s="683"/>
      <c r="E304" s="683"/>
      <c r="F304" s="683"/>
      <c r="G304" s="683"/>
      <c r="H304" s="683"/>
      <c r="I304" s="664">
        <v>26346</v>
      </c>
      <c r="J304" s="664"/>
      <c r="K304" s="664"/>
      <c r="L304" s="664">
        <v>804</v>
      </c>
      <c r="M304" s="683"/>
      <c r="N304" s="683"/>
      <c r="O304" s="683"/>
      <c r="P304" s="683"/>
      <c r="Q304" s="376"/>
      <c r="R304" s="376"/>
      <c r="S304" s="376"/>
      <c r="T304" s="376"/>
      <c r="U304" s="376"/>
      <c r="V304" s="377"/>
      <c r="W304" s="377"/>
      <c r="X304" s="448">
        <f>SUM(B304:W304)</f>
        <v>27150</v>
      </c>
    </row>
    <row r="305" spans="1:24" s="373" customFormat="1" ht="18" customHeight="1">
      <c r="A305" s="680" t="s">
        <v>789</v>
      </c>
      <c r="B305" s="683"/>
      <c r="C305" s="683"/>
      <c r="D305" s="683"/>
      <c r="E305" s="683"/>
      <c r="F305" s="683"/>
      <c r="G305" s="683"/>
      <c r="H305" s="683"/>
      <c r="I305" s="664">
        <v>17130</v>
      </c>
      <c r="J305" s="664"/>
      <c r="K305" s="664"/>
      <c r="L305" s="664">
        <v>804</v>
      </c>
      <c r="M305" s="683"/>
      <c r="N305" s="683"/>
      <c r="O305" s="683"/>
      <c r="P305" s="683"/>
      <c r="Q305" s="376"/>
      <c r="R305" s="376"/>
      <c r="S305" s="376"/>
      <c r="T305" s="376"/>
      <c r="U305" s="376"/>
      <c r="V305" s="377"/>
      <c r="W305" s="377"/>
      <c r="X305" s="448">
        <f>SUM(B305:W305)</f>
        <v>17934</v>
      </c>
    </row>
    <row r="306" spans="1:24" s="373" customFormat="1" ht="18" customHeight="1">
      <c r="A306" s="680" t="s">
        <v>790</v>
      </c>
      <c r="B306" s="683"/>
      <c r="C306" s="683"/>
      <c r="D306" s="683"/>
      <c r="E306" s="683"/>
      <c r="F306" s="683"/>
      <c r="G306" s="683"/>
      <c r="H306" s="683"/>
      <c r="I306" s="664">
        <v>12668</v>
      </c>
      <c r="J306" s="664"/>
      <c r="K306" s="664"/>
      <c r="L306" s="664">
        <v>804</v>
      </c>
      <c r="M306" s="683"/>
      <c r="N306" s="683"/>
      <c r="O306" s="683"/>
      <c r="P306" s="683"/>
      <c r="Q306" s="376"/>
      <c r="R306" s="376"/>
      <c r="S306" s="376"/>
      <c r="T306" s="376"/>
      <c r="U306" s="376"/>
      <c r="V306" s="377"/>
      <c r="W306" s="377"/>
      <c r="X306" s="448">
        <f t="shared" si="15"/>
        <v>13472</v>
      </c>
    </row>
    <row r="307" spans="1:24" s="373" customFormat="1" ht="18" customHeight="1">
      <c r="A307" s="680" t="s">
        <v>791</v>
      </c>
      <c r="B307" s="683"/>
      <c r="C307" s="683"/>
      <c r="D307" s="683"/>
      <c r="E307" s="683"/>
      <c r="F307" s="683"/>
      <c r="G307" s="683"/>
      <c r="H307" s="683"/>
      <c r="I307" s="664">
        <v>12796</v>
      </c>
      <c r="J307" s="664"/>
      <c r="K307" s="664"/>
      <c r="L307" s="664">
        <v>804</v>
      </c>
      <c r="M307" s="683"/>
      <c r="N307" s="683"/>
      <c r="O307" s="683"/>
      <c r="P307" s="683"/>
      <c r="Q307" s="376"/>
      <c r="R307" s="376"/>
      <c r="S307" s="376"/>
      <c r="T307" s="376"/>
      <c r="U307" s="376"/>
      <c r="V307" s="377"/>
      <c r="W307" s="377"/>
      <c r="X307" s="448">
        <f t="shared" si="15"/>
        <v>13600</v>
      </c>
    </row>
    <row r="308" spans="1:24" s="373" customFormat="1" ht="18" customHeight="1">
      <c r="A308" s="680" t="s">
        <v>792</v>
      </c>
      <c r="B308" s="683"/>
      <c r="C308" s="683"/>
      <c r="D308" s="683"/>
      <c r="E308" s="683"/>
      <c r="F308" s="683"/>
      <c r="G308" s="683"/>
      <c r="H308" s="683"/>
      <c r="I308" s="664">
        <v>2836</v>
      </c>
      <c r="J308" s="664"/>
      <c r="K308" s="664"/>
      <c r="L308" s="664">
        <v>804</v>
      </c>
      <c r="M308" s="683"/>
      <c r="N308" s="683"/>
      <c r="O308" s="683"/>
      <c r="P308" s="683"/>
      <c r="Q308" s="376"/>
      <c r="R308" s="376"/>
      <c r="S308" s="376"/>
      <c r="T308" s="376"/>
      <c r="U308" s="376"/>
      <c r="V308" s="377"/>
      <c r="W308" s="377"/>
      <c r="X308" s="448">
        <f aca="true" t="shared" si="17" ref="X308:X317">SUM(B308:W308)</f>
        <v>3640</v>
      </c>
    </row>
    <row r="309" spans="1:24" s="373" customFormat="1" ht="18" customHeight="1">
      <c r="A309" s="680" t="s">
        <v>793</v>
      </c>
      <c r="B309" s="683"/>
      <c r="C309" s="683"/>
      <c r="D309" s="683"/>
      <c r="E309" s="683"/>
      <c r="F309" s="683"/>
      <c r="G309" s="683"/>
      <c r="H309" s="683"/>
      <c r="I309" s="664">
        <v>9096</v>
      </c>
      <c r="J309" s="664"/>
      <c r="K309" s="664"/>
      <c r="L309" s="664">
        <v>1764</v>
      </c>
      <c r="M309" s="683"/>
      <c r="N309" s="683"/>
      <c r="O309" s="683"/>
      <c r="P309" s="683"/>
      <c r="Q309" s="376"/>
      <c r="R309" s="376"/>
      <c r="S309" s="376"/>
      <c r="T309" s="376"/>
      <c r="U309" s="376"/>
      <c r="V309" s="377"/>
      <c r="W309" s="377"/>
      <c r="X309" s="448">
        <f t="shared" si="17"/>
        <v>10860</v>
      </c>
    </row>
    <row r="310" spans="1:24" s="373" customFormat="1" ht="18" customHeight="1">
      <c r="A310" s="680" t="s">
        <v>579</v>
      </c>
      <c r="B310" s="683"/>
      <c r="C310" s="683"/>
      <c r="D310" s="683"/>
      <c r="E310" s="683"/>
      <c r="F310" s="683"/>
      <c r="G310" s="683"/>
      <c r="H310" s="683"/>
      <c r="I310" s="664">
        <v>13692</v>
      </c>
      <c r="J310" s="664"/>
      <c r="K310" s="664"/>
      <c r="L310" s="664">
        <v>804</v>
      </c>
      <c r="M310" s="683"/>
      <c r="N310" s="683"/>
      <c r="O310" s="683"/>
      <c r="P310" s="683"/>
      <c r="Q310" s="376"/>
      <c r="R310" s="376"/>
      <c r="S310" s="376"/>
      <c r="T310" s="376"/>
      <c r="U310" s="376"/>
      <c r="V310" s="377"/>
      <c r="W310" s="377"/>
      <c r="X310" s="448">
        <f t="shared" si="17"/>
        <v>14496</v>
      </c>
    </row>
    <row r="311" spans="1:24" s="373" customFormat="1" ht="18" customHeight="1">
      <c r="A311" s="680" t="s">
        <v>794</v>
      </c>
      <c r="B311" s="683"/>
      <c r="C311" s="683"/>
      <c r="D311" s="683"/>
      <c r="E311" s="683"/>
      <c r="F311" s="683"/>
      <c r="G311" s="683"/>
      <c r="H311" s="683"/>
      <c r="I311" s="664">
        <v>8584</v>
      </c>
      <c r="J311" s="664"/>
      <c r="K311" s="664"/>
      <c r="L311" s="664">
        <v>804</v>
      </c>
      <c r="M311" s="683"/>
      <c r="N311" s="683"/>
      <c r="O311" s="683"/>
      <c r="P311" s="683"/>
      <c r="Q311" s="376"/>
      <c r="R311" s="376"/>
      <c r="S311" s="376"/>
      <c r="T311" s="376"/>
      <c r="U311" s="376"/>
      <c r="V311" s="377"/>
      <c r="W311" s="377"/>
      <c r="X311" s="448">
        <f t="shared" si="17"/>
        <v>9388</v>
      </c>
    </row>
    <row r="312" spans="1:24" s="373" customFormat="1" ht="18" customHeight="1">
      <c r="A312" s="680" t="s">
        <v>795</v>
      </c>
      <c r="B312" s="683"/>
      <c r="C312" s="683"/>
      <c r="D312" s="683"/>
      <c r="E312" s="683"/>
      <c r="F312" s="683"/>
      <c r="G312" s="683"/>
      <c r="H312" s="683"/>
      <c r="I312" s="664">
        <v>14204</v>
      </c>
      <c r="J312" s="664"/>
      <c r="K312" s="664"/>
      <c r="L312" s="664">
        <v>804</v>
      </c>
      <c r="M312" s="683"/>
      <c r="N312" s="683"/>
      <c r="O312" s="683"/>
      <c r="P312" s="683"/>
      <c r="Q312" s="376"/>
      <c r="R312" s="376"/>
      <c r="S312" s="376"/>
      <c r="T312" s="376"/>
      <c r="U312" s="376"/>
      <c r="V312" s="377"/>
      <c r="W312" s="377"/>
      <c r="X312" s="448">
        <f t="shared" si="17"/>
        <v>15008</v>
      </c>
    </row>
    <row r="313" spans="1:24" s="373" customFormat="1" ht="18" customHeight="1">
      <c r="A313" s="680" t="s">
        <v>525</v>
      </c>
      <c r="B313" s="683"/>
      <c r="C313" s="683"/>
      <c r="D313" s="683"/>
      <c r="E313" s="683"/>
      <c r="F313" s="683"/>
      <c r="G313" s="683"/>
      <c r="H313" s="683"/>
      <c r="I313" s="664">
        <v>8200</v>
      </c>
      <c r="J313" s="664"/>
      <c r="K313" s="664"/>
      <c r="L313" s="664">
        <v>1444</v>
      </c>
      <c r="M313" s="683"/>
      <c r="N313" s="683"/>
      <c r="O313" s="683"/>
      <c r="P313" s="683"/>
      <c r="Q313" s="376"/>
      <c r="R313" s="376"/>
      <c r="S313" s="376"/>
      <c r="T313" s="376"/>
      <c r="U313" s="376"/>
      <c r="V313" s="377"/>
      <c r="W313" s="377"/>
      <c r="X313" s="448">
        <f t="shared" si="17"/>
        <v>9644</v>
      </c>
    </row>
    <row r="314" spans="1:24" s="373" customFormat="1" ht="18" customHeight="1">
      <c r="A314" s="680" t="s">
        <v>97</v>
      </c>
      <c r="B314" s="683"/>
      <c r="C314" s="683"/>
      <c r="D314" s="683"/>
      <c r="E314" s="683"/>
      <c r="F314" s="683"/>
      <c r="G314" s="683"/>
      <c r="H314" s="683"/>
      <c r="I314" s="664">
        <v>5262</v>
      </c>
      <c r="J314" s="664"/>
      <c r="K314" s="664"/>
      <c r="L314" s="664">
        <v>804</v>
      </c>
      <c r="M314" s="683"/>
      <c r="N314" s="683"/>
      <c r="O314" s="683"/>
      <c r="P314" s="683"/>
      <c r="Q314" s="376"/>
      <c r="R314" s="376"/>
      <c r="S314" s="376"/>
      <c r="T314" s="376"/>
      <c r="U314" s="376"/>
      <c r="V314" s="377"/>
      <c r="W314" s="377"/>
      <c r="X314" s="448">
        <f t="shared" si="17"/>
        <v>6066</v>
      </c>
    </row>
    <row r="315" spans="1:24" s="373" customFormat="1" ht="18" customHeight="1">
      <c r="A315" s="680" t="s">
        <v>98</v>
      </c>
      <c r="B315" s="683"/>
      <c r="C315" s="683"/>
      <c r="D315" s="683"/>
      <c r="E315" s="683"/>
      <c r="F315" s="683"/>
      <c r="G315" s="683"/>
      <c r="H315" s="683"/>
      <c r="I315" s="664">
        <v>5134</v>
      </c>
      <c r="J315" s="664"/>
      <c r="K315" s="664"/>
      <c r="L315" s="664">
        <v>804</v>
      </c>
      <c r="M315" s="683"/>
      <c r="N315" s="683"/>
      <c r="O315" s="683"/>
      <c r="P315" s="683"/>
      <c r="Q315" s="376"/>
      <c r="R315" s="376"/>
      <c r="S315" s="376"/>
      <c r="T315" s="376"/>
      <c r="U315" s="376"/>
      <c r="V315" s="377"/>
      <c r="W315" s="377"/>
      <c r="X315" s="448">
        <f t="shared" si="17"/>
        <v>5938</v>
      </c>
    </row>
    <row r="316" spans="1:24" s="373" customFormat="1" ht="18" customHeight="1">
      <c r="A316" s="680" t="s">
        <v>759</v>
      </c>
      <c r="B316" s="683"/>
      <c r="C316" s="683"/>
      <c r="D316" s="683"/>
      <c r="E316" s="683"/>
      <c r="F316" s="683"/>
      <c r="G316" s="683"/>
      <c r="H316" s="683"/>
      <c r="I316" s="664">
        <v>11522</v>
      </c>
      <c r="J316" s="664"/>
      <c r="K316" s="664"/>
      <c r="L316" s="664">
        <v>804</v>
      </c>
      <c r="M316" s="683"/>
      <c r="N316" s="683"/>
      <c r="O316" s="683"/>
      <c r="P316" s="683"/>
      <c r="Q316" s="376"/>
      <c r="R316" s="376"/>
      <c r="S316" s="376"/>
      <c r="T316" s="376"/>
      <c r="U316" s="376"/>
      <c r="V316" s="377"/>
      <c r="W316" s="377"/>
      <c r="X316" s="448">
        <f t="shared" si="17"/>
        <v>12326</v>
      </c>
    </row>
    <row r="317" spans="1:24" s="373" customFormat="1" ht="18" customHeight="1">
      <c r="A317" s="680" t="s">
        <v>100</v>
      </c>
      <c r="B317" s="683"/>
      <c r="C317" s="683"/>
      <c r="D317" s="683"/>
      <c r="E317" s="683"/>
      <c r="F317" s="683"/>
      <c r="G317" s="683"/>
      <c r="H317" s="683"/>
      <c r="I317" s="664">
        <v>11522</v>
      </c>
      <c r="J317" s="664"/>
      <c r="K317" s="664"/>
      <c r="L317" s="664">
        <v>804</v>
      </c>
      <c r="M317" s="683"/>
      <c r="N317" s="683"/>
      <c r="O317" s="683"/>
      <c r="P317" s="683"/>
      <c r="Q317" s="376"/>
      <c r="R317" s="376"/>
      <c r="S317" s="376"/>
      <c r="T317" s="376"/>
      <c r="U317" s="376"/>
      <c r="V317" s="377"/>
      <c r="W317" s="377"/>
      <c r="X317" s="448">
        <f t="shared" si="17"/>
        <v>12326</v>
      </c>
    </row>
    <row r="318" spans="1:24" s="373" customFormat="1" ht="18" customHeight="1">
      <c r="A318" s="680" t="s">
        <v>101</v>
      </c>
      <c r="B318" s="683"/>
      <c r="C318" s="683"/>
      <c r="D318" s="683"/>
      <c r="E318" s="683"/>
      <c r="F318" s="683"/>
      <c r="G318" s="683"/>
      <c r="H318" s="683"/>
      <c r="I318" s="664">
        <v>5262</v>
      </c>
      <c r="J318" s="664"/>
      <c r="K318" s="664"/>
      <c r="L318" s="664">
        <v>804</v>
      </c>
      <c r="M318" s="683"/>
      <c r="N318" s="683"/>
      <c r="O318" s="683"/>
      <c r="P318" s="683"/>
      <c r="Q318" s="376"/>
      <c r="R318" s="376"/>
      <c r="S318" s="376"/>
      <c r="T318" s="376"/>
      <c r="U318" s="376"/>
      <c r="V318" s="377"/>
      <c r="W318" s="377"/>
      <c r="X318" s="448">
        <f aca="true" t="shared" si="18" ref="X318:X338">SUM(B318:W318)</f>
        <v>6066</v>
      </c>
    </row>
    <row r="319" spans="1:24" s="373" customFormat="1" ht="18" customHeight="1">
      <c r="A319" s="680" t="s">
        <v>556</v>
      </c>
      <c r="B319" s="683"/>
      <c r="C319" s="683"/>
      <c r="D319" s="683"/>
      <c r="E319" s="683"/>
      <c r="F319" s="683"/>
      <c r="G319" s="683"/>
      <c r="H319" s="683"/>
      <c r="I319" s="664">
        <v>777</v>
      </c>
      <c r="J319" s="664"/>
      <c r="K319" s="664"/>
      <c r="L319" s="664">
        <v>804</v>
      </c>
      <c r="M319" s="683"/>
      <c r="N319" s="683"/>
      <c r="O319" s="683"/>
      <c r="P319" s="683"/>
      <c r="Q319" s="376"/>
      <c r="R319" s="376"/>
      <c r="S319" s="376"/>
      <c r="T319" s="376"/>
      <c r="U319" s="376"/>
      <c r="V319" s="377"/>
      <c r="W319" s="377"/>
      <c r="X319" s="448">
        <f t="shared" si="18"/>
        <v>1581</v>
      </c>
    </row>
    <row r="320" spans="1:24" s="373" customFormat="1" ht="18" customHeight="1">
      <c r="A320" s="680" t="s">
        <v>102</v>
      </c>
      <c r="B320" s="683"/>
      <c r="C320" s="683"/>
      <c r="D320" s="683"/>
      <c r="E320" s="683"/>
      <c r="F320" s="683"/>
      <c r="G320" s="683"/>
      <c r="H320" s="683"/>
      <c r="I320" s="664">
        <v>19050</v>
      </c>
      <c r="J320" s="664"/>
      <c r="K320" s="664"/>
      <c r="L320" s="664">
        <v>804</v>
      </c>
      <c r="M320" s="683"/>
      <c r="N320" s="683"/>
      <c r="O320" s="683"/>
      <c r="P320" s="683"/>
      <c r="Q320" s="376"/>
      <c r="R320" s="376"/>
      <c r="S320" s="376"/>
      <c r="T320" s="376"/>
      <c r="U320" s="376"/>
      <c r="V320" s="377"/>
      <c r="W320" s="377"/>
      <c r="X320" s="448">
        <f t="shared" si="18"/>
        <v>19854</v>
      </c>
    </row>
    <row r="321" spans="1:24" s="373" customFormat="1" ht="18" customHeight="1">
      <c r="A321" s="680" t="s">
        <v>103</v>
      </c>
      <c r="B321" s="683"/>
      <c r="C321" s="683"/>
      <c r="D321" s="683"/>
      <c r="E321" s="683"/>
      <c r="F321" s="683"/>
      <c r="G321" s="683"/>
      <c r="H321" s="683"/>
      <c r="I321" s="664">
        <v>11778</v>
      </c>
      <c r="J321" s="664"/>
      <c r="K321" s="664"/>
      <c r="L321" s="664">
        <v>804</v>
      </c>
      <c r="M321" s="683"/>
      <c r="N321" s="683"/>
      <c r="O321" s="683"/>
      <c r="P321" s="683"/>
      <c r="Q321" s="376"/>
      <c r="R321" s="376"/>
      <c r="S321" s="376"/>
      <c r="T321" s="376"/>
      <c r="U321" s="376"/>
      <c r="V321" s="377"/>
      <c r="W321" s="377"/>
      <c r="X321" s="448">
        <f t="shared" si="18"/>
        <v>12582</v>
      </c>
    </row>
    <row r="322" spans="1:24" s="373" customFormat="1" ht="18" customHeight="1">
      <c r="A322" s="680" t="s">
        <v>104</v>
      </c>
      <c r="B322" s="683"/>
      <c r="C322" s="683"/>
      <c r="D322" s="683"/>
      <c r="E322" s="683"/>
      <c r="F322" s="683"/>
      <c r="G322" s="683"/>
      <c r="H322" s="683"/>
      <c r="I322" s="664">
        <v>13820</v>
      </c>
      <c r="J322" s="664"/>
      <c r="K322" s="664"/>
      <c r="L322" s="664">
        <v>804</v>
      </c>
      <c r="M322" s="683"/>
      <c r="N322" s="683"/>
      <c r="O322" s="683"/>
      <c r="P322" s="683"/>
      <c r="Q322" s="376"/>
      <c r="R322" s="376"/>
      <c r="S322" s="376"/>
      <c r="T322" s="376"/>
      <c r="U322" s="376"/>
      <c r="V322" s="377"/>
      <c r="W322" s="377"/>
      <c r="X322" s="448">
        <f t="shared" si="18"/>
        <v>14624</v>
      </c>
    </row>
    <row r="323" spans="1:24" s="373" customFormat="1" ht="18" customHeight="1">
      <c r="A323" s="680" t="s">
        <v>105</v>
      </c>
      <c r="B323" s="683"/>
      <c r="C323" s="683"/>
      <c r="D323" s="683"/>
      <c r="E323" s="683"/>
      <c r="F323" s="683"/>
      <c r="G323" s="683"/>
      <c r="H323" s="683"/>
      <c r="I323" s="664">
        <v>10498</v>
      </c>
      <c r="J323" s="664"/>
      <c r="K323" s="664"/>
      <c r="L323" s="664">
        <v>1124</v>
      </c>
      <c r="M323" s="683"/>
      <c r="N323" s="683"/>
      <c r="O323" s="683"/>
      <c r="P323" s="683"/>
      <c r="Q323" s="376"/>
      <c r="R323" s="376"/>
      <c r="S323" s="376"/>
      <c r="T323" s="376"/>
      <c r="U323" s="376"/>
      <c r="V323" s="377"/>
      <c r="W323" s="377"/>
      <c r="X323" s="448">
        <f t="shared" si="18"/>
        <v>11622</v>
      </c>
    </row>
    <row r="324" spans="1:24" s="373" customFormat="1" ht="18" customHeight="1">
      <c r="A324" s="680" t="s">
        <v>106</v>
      </c>
      <c r="B324" s="683"/>
      <c r="C324" s="683"/>
      <c r="D324" s="683"/>
      <c r="E324" s="683"/>
      <c r="F324" s="683"/>
      <c r="G324" s="683"/>
      <c r="H324" s="683"/>
      <c r="I324" s="664">
        <v>10882</v>
      </c>
      <c r="J324" s="664"/>
      <c r="K324" s="664"/>
      <c r="L324" s="664">
        <v>804</v>
      </c>
      <c r="M324" s="683"/>
      <c r="N324" s="683"/>
      <c r="O324" s="683"/>
      <c r="P324" s="683"/>
      <c r="Q324" s="376"/>
      <c r="R324" s="376"/>
      <c r="S324" s="376"/>
      <c r="T324" s="376"/>
      <c r="U324" s="376"/>
      <c r="V324" s="377"/>
      <c r="W324" s="377"/>
      <c r="X324" s="448">
        <f t="shared" si="18"/>
        <v>11686</v>
      </c>
    </row>
    <row r="325" spans="1:24" s="373" customFormat="1" ht="18" customHeight="1">
      <c r="A325" s="680" t="s">
        <v>107</v>
      </c>
      <c r="B325" s="683"/>
      <c r="C325" s="683"/>
      <c r="D325" s="683"/>
      <c r="E325" s="683"/>
      <c r="F325" s="683"/>
      <c r="G325" s="683"/>
      <c r="H325" s="683"/>
      <c r="I325" s="664">
        <v>11010</v>
      </c>
      <c r="J325" s="664"/>
      <c r="K325" s="664"/>
      <c r="L325" s="664">
        <v>1124</v>
      </c>
      <c r="M325" s="683"/>
      <c r="N325" s="683"/>
      <c r="O325" s="683"/>
      <c r="P325" s="683"/>
      <c r="Q325" s="376"/>
      <c r="R325" s="376"/>
      <c r="S325" s="376"/>
      <c r="T325" s="376"/>
      <c r="U325" s="376"/>
      <c r="V325" s="377"/>
      <c r="W325" s="377"/>
      <c r="X325" s="448">
        <f t="shared" si="18"/>
        <v>12134</v>
      </c>
    </row>
    <row r="326" spans="1:24" s="373" customFormat="1" ht="18" customHeight="1">
      <c r="A326" s="680" t="s">
        <v>108</v>
      </c>
      <c r="B326" s="683"/>
      <c r="C326" s="683"/>
      <c r="D326" s="683"/>
      <c r="E326" s="683"/>
      <c r="F326" s="683"/>
      <c r="G326" s="683"/>
      <c r="H326" s="683"/>
      <c r="I326" s="664">
        <v>9096</v>
      </c>
      <c r="J326" s="664"/>
      <c r="K326" s="664"/>
      <c r="L326" s="664">
        <v>1444</v>
      </c>
      <c r="M326" s="683"/>
      <c r="N326" s="683"/>
      <c r="O326" s="683"/>
      <c r="P326" s="683"/>
      <c r="Q326" s="376"/>
      <c r="R326" s="376"/>
      <c r="S326" s="376"/>
      <c r="T326" s="376"/>
      <c r="U326" s="376"/>
      <c r="V326" s="377"/>
      <c r="W326" s="377"/>
      <c r="X326" s="448">
        <f t="shared" si="18"/>
        <v>10540</v>
      </c>
    </row>
    <row r="327" spans="1:24" s="373" customFormat="1" ht="18" customHeight="1">
      <c r="A327" s="680" t="s">
        <v>109</v>
      </c>
      <c r="B327" s="683"/>
      <c r="C327" s="683"/>
      <c r="D327" s="683"/>
      <c r="E327" s="683"/>
      <c r="F327" s="683"/>
      <c r="G327" s="683"/>
      <c r="H327" s="683"/>
      <c r="I327" s="664">
        <v>8840</v>
      </c>
      <c r="J327" s="664"/>
      <c r="K327" s="664"/>
      <c r="L327" s="664">
        <v>804</v>
      </c>
      <c r="M327" s="683"/>
      <c r="N327" s="683"/>
      <c r="O327" s="683"/>
      <c r="P327" s="683"/>
      <c r="Q327" s="376"/>
      <c r="R327" s="376"/>
      <c r="S327" s="376"/>
      <c r="T327" s="376"/>
      <c r="U327" s="376"/>
      <c r="V327" s="377"/>
      <c r="W327" s="377"/>
      <c r="X327" s="448">
        <f t="shared" si="18"/>
        <v>9644</v>
      </c>
    </row>
    <row r="328" spans="1:24" s="373" customFormat="1" ht="18" customHeight="1">
      <c r="A328" s="680" t="s">
        <v>752</v>
      </c>
      <c r="B328" s="683"/>
      <c r="C328" s="683"/>
      <c r="D328" s="683"/>
      <c r="E328" s="683"/>
      <c r="F328" s="683"/>
      <c r="G328" s="683"/>
      <c r="H328" s="683"/>
      <c r="I328" s="664">
        <v>14332</v>
      </c>
      <c r="J328" s="664"/>
      <c r="K328" s="664"/>
      <c r="L328" s="664">
        <v>804</v>
      </c>
      <c r="M328" s="683"/>
      <c r="N328" s="683"/>
      <c r="O328" s="683"/>
      <c r="P328" s="683"/>
      <c r="Q328" s="376"/>
      <c r="R328" s="376"/>
      <c r="S328" s="376"/>
      <c r="T328" s="376"/>
      <c r="U328" s="376"/>
      <c r="V328" s="377"/>
      <c r="W328" s="377"/>
      <c r="X328" s="448">
        <f t="shared" si="18"/>
        <v>15136</v>
      </c>
    </row>
    <row r="329" spans="1:24" s="373" customFormat="1" ht="18" customHeight="1">
      <c r="A329" s="680" t="s">
        <v>110</v>
      </c>
      <c r="B329" s="683"/>
      <c r="C329" s="683"/>
      <c r="D329" s="683"/>
      <c r="E329" s="683"/>
      <c r="F329" s="683"/>
      <c r="G329" s="683"/>
      <c r="H329" s="683"/>
      <c r="I329" s="664">
        <v>17130</v>
      </c>
      <c r="J329" s="664"/>
      <c r="K329" s="664"/>
      <c r="L329" s="664">
        <v>804</v>
      </c>
      <c r="M329" s="683"/>
      <c r="N329" s="683"/>
      <c r="O329" s="683"/>
      <c r="P329" s="683"/>
      <c r="Q329" s="376"/>
      <c r="R329" s="376"/>
      <c r="S329" s="376"/>
      <c r="T329" s="376"/>
      <c r="U329" s="376"/>
      <c r="V329" s="377"/>
      <c r="W329" s="377"/>
      <c r="X329" s="448">
        <f t="shared" si="18"/>
        <v>17934</v>
      </c>
    </row>
    <row r="330" spans="1:24" s="373" customFormat="1" ht="18" customHeight="1">
      <c r="A330" s="680" t="s">
        <v>584</v>
      </c>
      <c r="B330" s="683"/>
      <c r="C330" s="683"/>
      <c r="D330" s="683"/>
      <c r="E330" s="683"/>
      <c r="F330" s="683"/>
      <c r="G330" s="683"/>
      <c r="H330" s="683"/>
      <c r="I330" s="664">
        <v>9858</v>
      </c>
      <c r="J330" s="664"/>
      <c r="K330" s="664"/>
      <c r="L330" s="664">
        <v>804</v>
      </c>
      <c r="M330" s="683"/>
      <c r="N330" s="683"/>
      <c r="O330" s="683"/>
      <c r="P330" s="683"/>
      <c r="Q330" s="376"/>
      <c r="R330" s="376"/>
      <c r="S330" s="376"/>
      <c r="T330" s="376"/>
      <c r="U330" s="376"/>
      <c r="V330" s="377"/>
      <c r="W330" s="377"/>
      <c r="X330" s="448">
        <f t="shared" si="18"/>
        <v>10662</v>
      </c>
    </row>
    <row r="331" spans="1:24" s="373" customFormat="1" ht="18" customHeight="1">
      <c r="A331" s="680" t="s">
        <v>712</v>
      </c>
      <c r="B331" s="683"/>
      <c r="C331" s="683"/>
      <c r="D331" s="683"/>
      <c r="E331" s="683"/>
      <c r="F331" s="683"/>
      <c r="G331" s="683"/>
      <c r="H331" s="683"/>
      <c r="I331" s="664">
        <v>9858</v>
      </c>
      <c r="J331" s="664"/>
      <c r="K331" s="664"/>
      <c r="L331" s="664">
        <v>1124</v>
      </c>
      <c r="M331" s="683"/>
      <c r="N331" s="683"/>
      <c r="O331" s="683"/>
      <c r="P331" s="683"/>
      <c r="Q331" s="376"/>
      <c r="R331" s="376"/>
      <c r="S331" s="376"/>
      <c r="T331" s="376"/>
      <c r="U331" s="376"/>
      <c r="V331" s="377"/>
      <c r="W331" s="377"/>
      <c r="X331" s="448">
        <f t="shared" si="18"/>
        <v>10982</v>
      </c>
    </row>
    <row r="332" spans="1:24" s="373" customFormat="1" ht="18" customHeight="1">
      <c r="A332" s="680" t="s">
        <v>713</v>
      </c>
      <c r="B332" s="683"/>
      <c r="C332" s="683"/>
      <c r="D332" s="683"/>
      <c r="E332" s="683"/>
      <c r="F332" s="683"/>
      <c r="G332" s="683"/>
      <c r="H332" s="683"/>
      <c r="I332" s="664">
        <v>12924</v>
      </c>
      <c r="J332" s="664"/>
      <c r="K332" s="664"/>
      <c r="L332" s="664">
        <v>804</v>
      </c>
      <c r="M332" s="683"/>
      <c r="N332" s="683"/>
      <c r="O332" s="683"/>
      <c r="P332" s="683"/>
      <c r="Q332" s="376"/>
      <c r="R332" s="376"/>
      <c r="S332" s="376"/>
      <c r="T332" s="376"/>
      <c r="U332" s="376"/>
      <c r="V332" s="377"/>
      <c r="W332" s="377"/>
      <c r="X332" s="448">
        <f t="shared" si="18"/>
        <v>13728</v>
      </c>
    </row>
    <row r="333" spans="1:24" s="373" customFormat="1" ht="18" customHeight="1">
      <c r="A333" s="680" t="s">
        <v>111</v>
      </c>
      <c r="B333" s="683"/>
      <c r="C333" s="683"/>
      <c r="D333" s="683"/>
      <c r="E333" s="683"/>
      <c r="F333" s="683"/>
      <c r="G333" s="683"/>
      <c r="H333" s="683"/>
      <c r="I333" s="664">
        <v>6920</v>
      </c>
      <c r="J333" s="664"/>
      <c r="K333" s="664"/>
      <c r="L333" s="664">
        <v>804</v>
      </c>
      <c r="M333" s="683"/>
      <c r="N333" s="683"/>
      <c r="O333" s="683"/>
      <c r="P333" s="683"/>
      <c r="Q333" s="376"/>
      <c r="R333" s="376"/>
      <c r="S333" s="376"/>
      <c r="T333" s="376"/>
      <c r="U333" s="376"/>
      <c r="V333" s="377"/>
      <c r="W333" s="377"/>
      <c r="X333" s="448">
        <f t="shared" si="18"/>
        <v>7724</v>
      </c>
    </row>
    <row r="334" spans="1:24" s="373" customFormat="1" ht="18" customHeight="1">
      <c r="A334" s="680" t="s">
        <v>715</v>
      </c>
      <c r="B334" s="683"/>
      <c r="C334" s="683"/>
      <c r="D334" s="683"/>
      <c r="E334" s="683"/>
      <c r="F334" s="683"/>
      <c r="G334" s="683"/>
      <c r="H334" s="683"/>
      <c r="I334" s="664">
        <v>9858</v>
      </c>
      <c r="J334" s="664"/>
      <c r="K334" s="664"/>
      <c r="L334" s="664">
        <v>804</v>
      </c>
      <c r="M334" s="683"/>
      <c r="N334" s="683"/>
      <c r="O334" s="683"/>
      <c r="P334" s="683"/>
      <c r="Q334" s="376"/>
      <c r="R334" s="376"/>
      <c r="S334" s="376"/>
      <c r="T334" s="376"/>
      <c r="U334" s="376"/>
      <c r="V334" s="377"/>
      <c r="W334" s="377"/>
      <c r="X334" s="448">
        <f t="shared" si="18"/>
        <v>10662</v>
      </c>
    </row>
    <row r="335" spans="1:24" s="373" customFormat="1" ht="18" customHeight="1">
      <c r="A335" s="680" t="s">
        <v>112</v>
      </c>
      <c r="B335" s="683"/>
      <c r="C335" s="683"/>
      <c r="D335" s="683"/>
      <c r="E335" s="683"/>
      <c r="F335" s="683"/>
      <c r="G335" s="683"/>
      <c r="H335" s="683"/>
      <c r="I335" s="664">
        <v>8584</v>
      </c>
      <c r="J335" s="664"/>
      <c r="K335" s="664"/>
      <c r="L335" s="664">
        <v>804</v>
      </c>
      <c r="M335" s="683"/>
      <c r="N335" s="683"/>
      <c r="O335" s="683"/>
      <c r="P335" s="683"/>
      <c r="Q335" s="376"/>
      <c r="R335" s="376"/>
      <c r="S335" s="376"/>
      <c r="T335" s="376"/>
      <c r="U335" s="376"/>
      <c r="V335" s="377"/>
      <c r="W335" s="377"/>
      <c r="X335" s="448">
        <f t="shared" si="18"/>
        <v>9388</v>
      </c>
    </row>
    <row r="336" spans="1:24" s="373" customFormat="1" ht="18" customHeight="1">
      <c r="A336" s="680" t="s">
        <v>113</v>
      </c>
      <c r="B336" s="683"/>
      <c r="C336" s="683"/>
      <c r="D336" s="683"/>
      <c r="E336" s="683"/>
      <c r="F336" s="683"/>
      <c r="G336" s="683"/>
      <c r="H336" s="683"/>
      <c r="I336" s="664">
        <v>14204</v>
      </c>
      <c r="J336" s="664"/>
      <c r="K336" s="664"/>
      <c r="L336" s="664">
        <v>804</v>
      </c>
      <c r="M336" s="683"/>
      <c r="N336" s="683"/>
      <c r="O336" s="683"/>
      <c r="P336" s="683"/>
      <c r="Q336" s="376"/>
      <c r="R336" s="376"/>
      <c r="S336" s="376"/>
      <c r="T336" s="376"/>
      <c r="U336" s="376"/>
      <c r="V336" s="377"/>
      <c r="W336" s="377"/>
      <c r="X336" s="448">
        <f t="shared" si="18"/>
        <v>15008</v>
      </c>
    </row>
    <row r="337" spans="1:24" s="373" customFormat="1" ht="18" customHeight="1">
      <c r="A337" s="680" t="s">
        <v>717</v>
      </c>
      <c r="B337" s="683"/>
      <c r="C337" s="683"/>
      <c r="D337" s="683"/>
      <c r="E337" s="683"/>
      <c r="F337" s="683"/>
      <c r="G337" s="683"/>
      <c r="H337" s="683"/>
      <c r="I337" s="664">
        <v>3604</v>
      </c>
      <c r="J337" s="664"/>
      <c r="K337" s="664"/>
      <c r="L337" s="664">
        <v>804</v>
      </c>
      <c r="M337" s="683"/>
      <c r="N337" s="683"/>
      <c r="O337" s="683"/>
      <c r="P337" s="683"/>
      <c r="Q337" s="376"/>
      <c r="R337" s="376"/>
      <c r="S337" s="376"/>
      <c r="T337" s="376"/>
      <c r="U337" s="376"/>
      <c r="V337" s="377"/>
      <c r="W337" s="377"/>
      <c r="X337" s="448">
        <f t="shared" si="18"/>
        <v>4408</v>
      </c>
    </row>
    <row r="338" spans="1:24" s="373" customFormat="1" ht="18" customHeight="1">
      <c r="A338" s="680" t="s">
        <v>114</v>
      </c>
      <c r="B338" s="683"/>
      <c r="C338" s="683"/>
      <c r="D338" s="683"/>
      <c r="E338" s="683"/>
      <c r="F338" s="683"/>
      <c r="G338" s="683"/>
      <c r="H338" s="683"/>
      <c r="I338" s="664">
        <v>3092</v>
      </c>
      <c r="J338" s="664"/>
      <c r="K338" s="664"/>
      <c r="L338" s="664">
        <v>804</v>
      </c>
      <c r="M338" s="683"/>
      <c r="N338" s="683"/>
      <c r="O338" s="683"/>
      <c r="P338" s="683"/>
      <c r="Q338" s="376"/>
      <c r="R338" s="376"/>
      <c r="S338" s="376"/>
      <c r="T338" s="376"/>
      <c r="U338" s="376"/>
      <c r="V338" s="377"/>
      <c r="W338" s="377"/>
      <c r="X338" s="448">
        <f t="shared" si="18"/>
        <v>3896</v>
      </c>
    </row>
    <row r="339" spans="1:24" s="373" customFormat="1" ht="18" customHeight="1">
      <c r="A339" s="680" t="s">
        <v>115</v>
      </c>
      <c r="B339" s="683"/>
      <c r="C339" s="683"/>
      <c r="D339" s="683"/>
      <c r="E339" s="683"/>
      <c r="F339" s="683"/>
      <c r="G339" s="683"/>
      <c r="H339" s="683"/>
      <c r="I339" s="664">
        <v>3092</v>
      </c>
      <c r="J339" s="664"/>
      <c r="K339" s="664"/>
      <c r="L339" s="664">
        <v>804</v>
      </c>
      <c r="M339" s="683"/>
      <c r="N339" s="683"/>
      <c r="O339" s="683"/>
      <c r="P339" s="683"/>
      <c r="Q339" s="376"/>
      <c r="R339" s="376"/>
      <c r="S339" s="376"/>
      <c r="T339" s="376"/>
      <c r="U339" s="376"/>
      <c r="V339" s="377"/>
      <c r="W339" s="377"/>
      <c r="X339" s="448">
        <f t="shared" si="15"/>
        <v>3896</v>
      </c>
    </row>
    <row r="340" spans="1:24" s="373" customFormat="1" ht="18" customHeight="1">
      <c r="A340" s="680" t="s">
        <v>116</v>
      </c>
      <c r="B340" s="683"/>
      <c r="C340" s="683"/>
      <c r="D340" s="683"/>
      <c r="E340" s="683"/>
      <c r="F340" s="683"/>
      <c r="G340" s="683"/>
      <c r="H340" s="683"/>
      <c r="I340" s="664">
        <v>3348</v>
      </c>
      <c r="J340" s="664"/>
      <c r="K340" s="664"/>
      <c r="L340" s="664">
        <v>804</v>
      </c>
      <c r="M340" s="683"/>
      <c r="N340" s="683"/>
      <c r="O340" s="683"/>
      <c r="P340" s="683"/>
      <c r="Q340" s="376"/>
      <c r="R340" s="376"/>
      <c r="S340" s="376"/>
      <c r="T340" s="376"/>
      <c r="U340" s="376"/>
      <c r="V340" s="377"/>
      <c r="W340" s="377"/>
      <c r="X340" s="448">
        <f t="shared" si="15"/>
        <v>4152</v>
      </c>
    </row>
    <row r="341" spans="1:24" s="373" customFormat="1" ht="18" customHeight="1">
      <c r="A341" s="680" t="s">
        <v>591</v>
      </c>
      <c r="B341" s="683"/>
      <c r="C341" s="683"/>
      <c r="D341" s="683"/>
      <c r="E341" s="683"/>
      <c r="F341" s="683"/>
      <c r="G341" s="683"/>
      <c r="H341" s="683"/>
      <c r="I341" s="664">
        <v>5518</v>
      </c>
      <c r="J341" s="664"/>
      <c r="K341" s="664"/>
      <c r="L341" s="664">
        <v>804</v>
      </c>
      <c r="M341" s="683"/>
      <c r="N341" s="683"/>
      <c r="O341" s="683"/>
      <c r="P341" s="683"/>
      <c r="Q341" s="376"/>
      <c r="R341" s="376"/>
      <c r="S341" s="376"/>
      <c r="T341" s="376"/>
      <c r="U341" s="376"/>
      <c r="V341" s="377"/>
      <c r="W341" s="377"/>
      <c r="X341" s="448">
        <f aca="true" t="shared" si="19" ref="X341:X347">SUM(B341:W341)</f>
        <v>6322</v>
      </c>
    </row>
    <row r="342" spans="1:24" s="373" customFormat="1" ht="18" customHeight="1">
      <c r="A342" s="680" t="s">
        <v>117</v>
      </c>
      <c r="B342" s="683"/>
      <c r="C342" s="683"/>
      <c r="D342" s="683"/>
      <c r="E342" s="683"/>
      <c r="F342" s="683"/>
      <c r="G342" s="683"/>
      <c r="H342" s="683"/>
      <c r="I342" s="664">
        <v>3092</v>
      </c>
      <c r="J342" s="664"/>
      <c r="K342" s="664"/>
      <c r="L342" s="664">
        <v>804</v>
      </c>
      <c r="M342" s="683"/>
      <c r="N342" s="683"/>
      <c r="O342" s="683"/>
      <c r="P342" s="683"/>
      <c r="Q342" s="376"/>
      <c r="R342" s="376"/>
      <c r="S342" s="376"/>
      <c r="T342" s="376"/>
      <c r="U342" s="376"/>
      <c r="V342" s="377"/>
      <c r="W342" s="377"/>
      <c r="X342" s="448">
        <f t="shared" si="19"/>
        <v>3896</v>
      </c>
    </row>
    <row r="343" spans="1:24" s="373" customFormat="1" ht="18" customHeight="1">
      <c r="A343" s="680" t="s">
        <v>718</v>
      </c>
      <c r="B343" s="683"/>
      <c r="C343" s="683"/>
      <c r="D343" s="683"/>
      <c r="E343" s="683"/>
      <c r="F343" s="683"/>
      <c r="G343" s="683"/>
      <c r="H343" s="683"/>
      <c r="I343" s="664">
        <v>10498</v>
      </c>
      <c r="J343" s="664"/>
      <c r="K343" s="664"/>
      <c r="L343" s="664">
        <v>804</v>
      </c>
      <c r="M343" s="683"/>
      <c r="N343" s="683"/>
      <c r="O343" s="683"/>
      <c r="P343" s="683"/>
      <c r="Q343" s="376"/>
      <c r="R343" s="376"/>
      <c r="S343" s="376"/>
      <c r="T343" s="376"/>
      <c r="U343" s="376"/>
      <c r="V343" s="377"/>
      <c r="W343" s="377"/>
      <c r="X343" s="448">
        <f t="shared" si="19"/>
        <v>11302</v>
      </c>
    </row>
    <row r="344" spans="1:24" s="373" customFormat="1" ht="18" customHeight="1">
      <c r="A344" s="680" t="s">
        <v>118</v>
      </c>
      <c r="B344" s="683"/>
      <c r="C344" s="683"/>
      <c r="D344" s="683"/>
      <c r="E344" s="683"/>
      <c r="F344" s="683"/>
      <c r="G344" s="683"/>
      <c r="H344" s="683"/>
      <c r="I344" s="664">
        <v>10754</v>
      </c>
      <c r="J344" s="664"/>
      <c r="K344" s="664"/>
      <c r="L344" s="664">
        <v>804</v>
      </c>
      <c r="M344" s="683"/>
      <c r="N344" s="683"/>
      <c r="O344" s="683"/>
      <c r="P344" s="683"/>
      <c r="Q344" s="376"/>
      <c r="R344" s="376"/>
      <c r="S344" s="376"/>
      <c r="T344" s="376"/>
      <c r="U344" s="376"/>
      <c r="V344" s="377"/>
      <c r="W344" s="377"/>
      <c r="X344" s="448">
        <f t="shared" si="19"/>
        <v>11558</v>
      </c>
    </row>
    <row r="345" spans="1:24" s="373" customFormat="1" ht="18" customHeight="1">
      <c r="A345" s="680" t="s">
        <v>580</v>
      </c>
      <c r="B345" s="683"/>
      <c r="C345" s="683"/>
      <c r="D345" s="683"/>
      <c r="E345" s="683"/>
      <c r="F345" s="683"/>
      <c r="G345" s="683"/>
      <c r="H345" s="683"/>
      <c r="I345" s="664">
        <v>7432</v>
      </c>
      <c r="J345" s="664"/>
      <c r="K345" s="664"/>
      <c r="L345" s="664">
        <v>804</v>
      </c>
      <c r="M345" s="683"/>
      <c r="N345" s="683"/>
      <c r="O345" s="683"/>
      <c r="P345" s="683"/>
      <c r="Q345" s="376"/>
      <c r="R345" s="376"/>
      <c r="S345" s="376"/>
      <c r="T345" s="376"/>
      <c r="U345" s="376"/>
      <c r="V345" s="377"/>
      <c r="W345" s="377"/>
      <c r="X345" s="448">
        <f t="shared" si="19"/>
        <v>8236</v>
      </c>
    </row>
    <row r="346" spans="1:24" s="373" customFormat="1" ht="18" customHeight="1">
      <c r="A346" s="679" t="s">
        <v>196</v>
      </c>
      <c r="B346" s="683"/>
      <c r="C346" s="683"/>
      <c r="D346" s="683"/>
      <c r="E346" s="683"/>
      <c r="F346" s="683"/>
      <c r="G346" s="683"/>
      <c r="H346" s="683"/>
      <c r="I346" s="664">
        <v>14460</v>
      </c>
      <c r="J346" s="664"/>
      <c r="K346" s="664"/>
      <c r="L346" s="664">
        <v>804</v>
      </c>
      <c r="M346" s="683"/>
      <c r="N346" s="683"/>
      <c r="O346" s="683"/>
      <c r="P346" s="683"/>
      <c r="Q346" s="376"/>
      <c r="R346" s="376"/>
      <c r="S346" s="376"/>
      <c r="T346" s="376"/>
      <c r="U346" s="376"/>
      <c r="V346" s="377"/>
      <c r="W346" s="377"/>
      <c r="X346" s="448">
        <f t="shared" si="19"/>
        <v>15264</v>
      </c>
    </row>
    <row r="347" spans="1:24" s="373" customFormat="1" ht="18" customHeight="1">
      <c r="A347" s="679" t="s">
        <v>119</v>
      </c>
      <c r="B347" s="683"/>
      <c r="C347" s="683"/>
      <c r="D347" s="683"/>
      <c r="E347" s="683"/>
      <c r="F347" s="683"/>
      <c r="G347" s="683"/>
      <c r="H347" s="683"/>
      <c r="I347" s="664">
        <v>12668</v>
      </c>
      <c r="J347" s="664"/>
      <c r="K347" s="664"/>
      <c r="L347" s="664">
        <v>804</v>
      </c>
      <c r="M347" s="683"/>
      <c r="N347" s="683"/>
      <c r="O347" s="683"/>
      <c r="P347" s="683"/>
      <c r="Q347" s="376"/>
      <c r="R347" s="376"/>
      <c r="S347" s="376"/>
      <c r="T347" s="376"/>
      <c r="U347" s="376"/>
      <c r="V347" s="377"/>
      <c r="W347" s="377"/>
      <c r="X347" s="448">
        <f t="shared" si="19"/>
        <v>13472</v>
      </c>
    </row>
    <row r="348" spans="1:24" s="373" customFormat="1" ht="18" customHeight="1">
      <c r="A348" s="679" t="s">
        <v>120</v>
      </c>
      <c r="B348" s="664"/>
      <c r="C348" s="664"/>
      <c r="D348" s="664"/>
      <c r="E348" s="664"/>
      <c r="F348" s="664"/>
      <c r="G348" s="664"/>
      <c r="H348" s="664"/>
      <c r="I348" s="664">
        <v>16618</v>
      </c>
      <c r="J348" s="664"/>
      <c r="K348" s="664"/>
      <c r="L348" s="664">
        <v>804</v>
      </c>
      <c r="M348" s="664"/>
      <c r="N348" s="664"/>
      <c r="O348" s="664"/>
      <c r="P348" s="664"/>
      <c r="Q348" s="369"/>
      <c r="R348" s="369"/>
      <c r="S348" s="369"/>
      <c r="T348" s="369"/>
      <c r="U348" s="369"/>
      <c r="V348" s="370"/>
      <c r="W348" s="370"/>
      <c r="X348" s="448">
        <f t="shared" si="15"/>
        <v>17422</v>
      </c>
    </row>
    <row r="349" spans="1:24" s="373" customFormat="1" ht="18" customHeight="1">
      <c r="A349" s="679" t="s">
        <v>590</v>
      </c>
      <c r="B349" s="664"/>
      <c r="C349" s="664"/>
      <c r="D349" s="664"/>
      <c r="E349" s="664"/>
      <c r="F349" s="664"/>
      <c r="G349" s="664"/>
      <c r="H349" s="664"/>
      <c r="I349" s="664">
        <v>10370</v>
      </c>
      <c r="J349" s="664"/>
      <c r="K349" s="664"/>
      <c r="L349" s="664">
        <v>1124</v>
      </c>
      <c r="M349" s="664"/>
      <c r="N349" s="664"/>
      <c r="O349" s="664"/>
      <c r="P349" s="664"/>
      <c r="Q349" s="369"/>
      <c r="R349" s="369"/>
      <c r="S349" s="369"/>
      <c r="T349" s="369"/>
      <c r="U349" s="369"/>
      <c r="V349" s="370"/>
      <c r="W349" s="370"/>
      <c r="X349" s="448">
        <f t="shared" si="15"/>
        <v>11494</v>
      </c>
    </row>
    <row r="350" spans="1:24" s="373" customFormat="1" ht="18" customHeight="1">
      <c r="A350" s="679" t="s">
        <v>121</v>
      </c>
      <c r="B350" s="664"/>
      <c r="C350" s="664"/>
      <c r="D350" s="664"/>
      <c r="E350" s="664"/>
      <c r="F350" s="664"/>
      <c r="G350" s="664"/>
      <c r="H350" s="664"/>
      <c r="I350" s="664">
        <v>12540</v>
      </c>
      <c r="J350" s="664"/>
      <c r="K350" s="664"/>
      <c r="L350" s="664">
        <v>804</v>
      </c>
      <c r="M350" s="664"/>
      <c r="N350" s="664"/>
      <c r="O350" s="664"/>
      <c r="P350" s="664"/>
      <c r="Q350" s="369"/>
      <c r="R350" s="369"/>
      <c r="S350" s="369"/>
      <c r="T350" s="369"/>
      <c r="U350" s="369"/>
      <c r="V350" s="370"/>
      <c r="W350" s="370"/>
      <c r="X350" s="448">
        <f t="shared" si="15"/>
        <v>13344</v>
      </c>
    </row>
    <row r="351" spans="1:24" s="373" customFormat="1" ht="18" customHeight="1">
      <c r="A351" s="679" t="s">
        <v>760</v>
      </c>
      <c r="B351" s="664"/>
      <c r="C351" s="664"/>
      <c r="D351" s="664"/>
      <c r="E351" s="664"/>
      <c r="F351" s="664"/>
      <c r="G351" s="664"/>
      <c r="H351" s="664"/>
      <c r="I351" s="664">
        <v>13948</v>
      </c>
      <c r="J351" s="664"/>
      <c r="K351" s="664"/>
      <c r="L351" s="664">
        <v>804</v>
      </c>
      <c r="M351" s="664"/>
      <c r="N351" s="664"/>
      <c r="O351" s="664"/>
      <c r="P351" s="664"/>
      <c r="Q351" s="369"/>
      <c r="R351" s="369"/>
      <c r="S351" s="369"/>
      <c r="T351" s="369"/>
      <c r="U351" s="369"/>
      <c r="V351" s="370"/>
      <c r="W351" s="370"/>
      <c r="X351" s="448">
        <f t="shared" si="15"/>
        <v>14752</v>
      </c>
    </row>
    <row r="352" spans="1:24" s="373" customFormat="1" ht="18" customHeight="1">
      <c r="A352" s="680" t="s">
        <v>585</v>
      </c>
      <c r="B352" s="664"/>
      <c r="C352" s="664"/>
      <c r="D352" s="664"/>
      <c r="E352" s="664"/>
      <c r="F352" s="664"/>
      <c r="G352" s="664"/>
      <c r="H352" s="664"/>
      <c r="I352" s="664">
        <v>6286</v>
      </c>
      <c r="J352" s="664"/>
      <c r="K352" s="664"/>
      <c r="L352" s="664">
        <v>804</v>
      </c>
      <c r="M352" s="664"/>
      <c r="N352" s="664"/>
      <c r="O352" s="664"/>
      <c r="P352" s="664"/>
      <c r="Q352" s="369"/>
      <c r="R352" s="369"/>
      <c r="S352" s="369"/>
      <c r="T352" s="369"/>
      <c r="U352" s="369"/>
      <c r="V352" s="370"/>
      <c r="W352" s="370"/>
      <c r="X352" s="448">
        <f t="shared" si="15"/>
        <v>7090</v>
      </c>
    </row>
    <row r="353" spans="1:24" s="373" customFormat="1" ht="18" customHeight="1">
      <c r="A353" s="680" t="s">
        <v>592</v>
      </c>
      <c r="B353" s="664"/>
      <c r="C353" s="664"/>
      <c r="D353" s="664"/>
      <c r="E353" s="664"/>
      <c r="F353" s="664"/>
      <c r="G353" s="664"/>
      <c r="H353" s="664"/>
      <c r="I353" s="664">
        <v>11650</v>
      </c>
      <c r="J353" s="664"/>
      <c r="K353" s="664"/>
      <c r="L353" s="664">
        <v>804</v>
      </c>
      <c r="M353" s="664"/>
      <c r="N353" s="664"/>
      <c r="O353" s="664"/>
      <c r="P353" s="664"/>
      <c r="Q353" s="369"/>
      <c r="R353" s="369"/>
      <c r="S353" s="369"/>
      <c r="T353" s="369"/>
      <c r="U353" s="369"/>
      <c r="V353" s="370"/>
      <c r="W353" s="370"/>
      <c r="X353" s="448">
        <f t="shared" si="15"/>
        <v>12454</v>
      </c>
    </row>
    <row r="354" spans="1:24" s="373" customFormat="1" ht="18" customHeight="1">
      <c r="A354" s="680" t="s">
        <v>190</v>
      </c>
      <c r="B354" s="664"/>
      <c r="C354" s="664"/>
      <c r="D354" s="664"/>
      <c r="E354" s="664"/>
      <c r="F354" s="664"/>
      <c r="G354" s="664"/>
      <c r="H354" s="664"/>
      <c r="I354" s="664">
        <v>3604</v>
      </c>
      <c r="J354" s="664"/>
      <c r="K354" s="664"/>
      <c r="L354" s="664">
        <v>804</v>
      </c>
      <c r="M354" s="664"/>
      <c r="N354" s="664"/>
      <c r="O354" s="664"/>
      <c r="P354" s="664"/>
      <c r="Q354" s="369"/>
      <c r="R354" s="369"/>
      <c r="S354" s="369"/>
      <c r="T354" s="369"/>
      <c r="U354" s="369"/>
      <c r="V354" s="370"/>
      <c r="W354" s="370"/>
      <c r="X354" s="448">
        <f t="shared" si="15"/>
        <v>4408</v>
      </c>
    </row>
    <row r="355" spans="1:24" s="373" customFormat="1" ht="18" customHeight="1">
      <c r="A355" s="680" t="s">
        <v>191</v>
      </c>
      <c r="B355" s="664"/>
      <c r="C355" s="664"/>
      <c r="D355" s="664"/>
      <c r="E355" s="664"/>
      <c r="F355" s="664"/>
      <c r="G355" s="664"/>
      <c r="H355" s="664"/>
      <c r="I355" s="664">
        <v>5262</v>
      </c>
      <c r="J355" s="664"/>
      <c r="K355" s="664"/>
      <c r="L355" s="664">
        <v>804</v>
      </c>
      <c r="M355" s="664"/>
      <c r="N355" s="664"/>
      <c r="O355" s="664"/>
      <c r="P355" s="664"/>
      <c r="Q355" s="369"/>
      <c r="R355" s="369"/>
      <c r="S355" s="369"/>
      <c r="T355" s="369"/>
      <c r="U355" s="369"/>
      <c r="V355" s="370"/>
      <c r="W355" s="370"/>
      <c r="X355" s="448">
        <f t="shared" si="15"/>
        <v>6066</v>
      </c>
    </row>
    <row r="356" spans="1:24" s="373" customFormat="1" ht="25.5" customHeight="1">
      <c r="A356" s="680" t="s">
        <v>848</v>
      </c>
      <c r="B356" s="664"/>
      <c r="C356" s="664"/>
      <c r="D356" s="664"/>
      <c r="E356" s="664"/>
      <c r="F356" s="664"/>
      <c r="G356" s="664"/>
      <c r="H356" s="664"/>
      <c r="I356" s="664">
        <v>11778</v>
      </c>
      <c r="J356" s="664"/>
      <c r="K356" s="664"/>
      <c r="L356" s="664">
        <v>804</v>
      </c>
      <c r="M356" s="664"/>
      <c r="N356" s="664"/>
      <c r="O356" s="664"/>
      <c r="P356" s="664"/>
      <c r="Q356" s="369"/>
      <c r="R356" s="369"/>
      <c r="S356" s="369"/>
      <c r="T356" s="369"/>
      <c r="U356" s="369"/>
      <c r="V356" s="370"/>
      <c r="W356" s="370"/>
      <c r="X356" s="448">
        <f t="shared" si="15"/>
        <v>12582</v>
      </c>
    </row>
    <row r="357" spans="1:24" s="373" customFormat="1" ht="25.5" customHeight="1">
      <c r="A357" s="680" t="s">
        <v>847</v>
      </c>
      <c r="B357" s="664"/>
      <c r="C357" s="664"/>
      <c r="D357" s="664"/>
      <c r="E357" s="664"/>
      <c r="F357" s="664"/>
      <c r="G357" s="664"/>
      <c r="H357" s="664"/>
      <c r="I357" s="664">
        <v>11010</v>
      </c>
      <c r="J357" s="664"/>
      <c r="K357" s="664"/>
      <c r="L357" s="664">
        <v>804</v>
      </c>
      <c r="M357" s="664"/>
      <c r="N357" s="664"/>
      <c r="O357" s="664"/>
      <c r="P357" s="664"/>
      <c r="Q357" s="369"/>
      <c r="R357" s="369"/>
      <c r="S357" s="369"/>
      <c r="T357" s="369"/>
      <c r="U357" s="369"/>
      <c r="V357" s="370"/>
      <c r="W357" s="370"/>
      <c r="X357" s="448">
        <f t="shared" si="15"/>
        <v>11814</v>
      </c>
    </row>
    <row r="358" spans="1:24" s="373" customFormat="1" ht="25.5" customHeight="1">
      <c r="A358" s="680" t="s">
        <v>758</v>
      </c>
      <c r="B358" s="664"/>
      <c r="C358" s="664"/>
      <c r="D358" s="664"/>
      <c r="E358" s="664"/>
      <c r="F358" s="664"/>
      <c r="G358" s="664"/>
      <c r="H358" s="664"/>
      <c r="I358" s="664">
        <v>18794</v>
      </c>
      <c r="J358" s="664"/>
      <c r="K358" s="664"/>
      <c r="L358" s="664">
        <v>804</v>
      </c>
      <c r="M358" s="664"/>
      <c r="N358" s="664"/>
      <c r="O358" s="664"/>
      <c r="P358" s="664"/>
      <c r="Q358" s="369"/>
      <c r="R358" s="369"/>
      <c r="S358" s="369"/>
      <c r="T358" s="369"/>
      <c r="U358" s="369"/>
      <c r="V358" s="370"/>
      <c r="W358" s="370"/>
      <c r="X358" s="448">
        <f t="shared" si="15"/>
        <v>19598</v>
      </c>
    </row>
    <row r="359" spans="1:24" s="373" customFormat="1" ht="18" customHeight="1">
      <c r="A359" s="680" t="s">
        <v>192</v>
      </c>
      <c r="B359" s="664"/>
      <c r="C359" s="664"/>
      <c r="D359" s="664"/>
      <c r="E359" s="664"/>
      <c r="F359" s="664"/>
      <c r="G359" s="664"/>
      <c r="H359" s="664"/>
      <c r="I359" s="664">
        <v>7304</v>
      </c>
      <c r="J359" s="664"/>
      <c r="K359" s="664"/>
      <c r="L359" s="664">
        <v>804</v>
      </c>
      <c r="M359" s="664"/>
      <c r="N359" s="664"/>
      <c r="O359" s="664"/>
      <c r="P359" s="664"/>
      <c r="Q359" s="369"/>
      <c r="R359" s="369"/>
      <c r="S359" s="369"/>
      <c r="T359" s="369"/>
      <c r="U359" s="369"/>
      <c r="V359" s="370"/>
      <c r="W359" s="370"/>
      <c r="X359" s="448">
        <f t="shared" si="15"/>
        <v>8108</v>
      </c>
    </row>
    <row r="360" spans="1:24" s="373" customFormat="1" ht="18" customHeight="1">
      <c r="A360" s="680" t="s">
        <v>593</v>
      </c>
      <c r="B360" s="683"/>
      <c r="C360" s="683"/>
      <c r="D360" s="683"/>
      <c r="E360" s="683"/>
      <c r="F360" s="683"/>
      <c r="G360" s="683"/>
      <c r="H360" s="683"/>
      <c r="I360" s="664">
        <v>7560</v>
      </c>
      <c r="J360" s="664"/>
      <c r="K360" s="664"/>
      <c r="L360" s="664">
        <v>804</v>
      </c>
      <c r="M360" s="683"/>
      <c r="N360" s="683"/>
      <c r="O360" s="683"/>
      <c r="P360" s="683"/>
      <c r="Q360" s="376"/>
      <c r="R360" s="376"/>
      <c r="S360" s="376"/>
      <c r="T360" s="376"/>
      <c r="U360" s="376"/>
      <c r="V360" s="377"/>
      <c r="W360" s="377"/>
      <c r="X360" s="448">
        <f t="shared" si="15"/>
        <v>8364</v>
      </c>
    </row>
    <row r="361" spans="1:24" s="373" customFormat="1" ht="18" customHeight="1">
      <c r="A361" s="680" t="s">
        <v>193</v>
      </c>
      <c r="B361" s="1455"/>
      <c r="C361" s="1455"/>
      <c r="D361" s="1455"/>
      <c r="E361" s="1455"/>
      <c r="F361" s="1455"/>
      <c r="G361" s="1455"/>
      <c r="H361" s="1455"/>
      <c r="I361" s="661">
        <v>8328</v>
      </c>
      <c r="J361" s="661"/>
      <c r="K361" s="661"/>
      <c r="L361" s="661">
        <v>804</v>
      </c>
      <c r="M361" s="1455"/>
      <c r="N361" s="1455"/>
      <c r="O361" s="1455"/>
      <c r="P361" s="1455"/>
      <c r="Q361" s="1456"/>
      <c r="R361" s="1456"/>
      <c r="S361" s="1456"/>
      <c r="T361" s="1456"/>
      <c r="U361" s="1456"/>
      <c r="V361" s="1457"/>
      <c r="W361" s="1457"/>
      <c r="X361" s="448">
        <f t="shared" si="15"/>
        <v>9132</v>
      </c>
    </row>
    <row r="362" spans="1:24" s="373" customFormat="1" ht="18" customHeight="1">
      <c r="A362" s="680" t="s">
        <v>194</v>
      </c>
      <c r="B362" s="1455"/>
      <c r="C362" s="1455"/>
      <c r="D362" s="1455"/>
      <c r="E362" s="1455"/>
      <c r="F362" s="1455"/>
      <c r="G362" s="1455"/>
      <c r="H362" s="1455"/>
      <c r="I362" s="661">
        <v>5134</v>
      </c>
      <c r="J362" s="661"/>
      <c r="K362" s="661"/>
      <c r="L362" s="661">
        <v>1124</v>
      </c>
      <c r="M362" s="1455"/>
      <c r="N362" s="1455"/>
      <c r="O362" s="1455"/>
      <c r="P362" s="1455"/>
      <c r="Q362" s="1456"/>
      <c r="R362" s="1456"/>
      <c r="S362" s="1456"/>
      <c r="T362" s="1456"/>
      <c r="U362" s="1456"/>
      <c r="V362" s="1457"/>
      <c r="W362" s="1457"/>
      <c r="X362" s="448">
        <f t="shared" si="15"/>
        <v>6258</v>
      </c>
    </row>
    <row r="363" spans="1:24" s="373" customFormat="1" ht="18" customHeight="1">
      <c r="A363" s="680" t="s">
        <v>535</v>
      </c>
      <c r="B363" s="1455"/>
      <c r="C363" s="1455"/>
      <c r="D363" s="1455"/>
      <c r="E363" s="1455"/>
      <c r="F363" s="1455"/>
      <c r="G363" s="1455"/>
      <c r="H363" s="1455"/>
      <c r="I363" s="661">
        <v>10242</v>
      </c>
      <c r="J363" s="661"/>
      <c r="K363" s="661"/>
      <c r="L363" s="661">
        <v>804</v>
      </c>
      <c r="M363" s="1455"/>
      <c r="N363" s="1455"/>
      <c r="O363" s="1455"/>
      <c r="P363" s="1455"/>
      <c r="Q363" s="1456"/>
      <c r="R363" s="1456"/>
      <c r="S363" s="1456"/>
      <c r="T363" s="1456"/>
      <c r="U363" s="1456"/>
      <c r="V363" s="1457"/>
      <c r="W363" s="1457"/>
      <c r="X363" s="448">
        <f t="shared" si="15"/>
        <v>11046</v>
      </c>
    </row>
    <row r="364" spans="1:24" s="373" customFormat="1" ht="18" customHeight="1">
      <c r="A364" s="680" t="s">
        <v>195</v>
      </c>
      <c r="B364" s="1455"/>
      <c r="C364" s="1455"/>
      <c r="D364" s="1455"/>
      <c r="E364" s="1455"/>
      <c r="F364" s="1455"/>
      <c r="G364" s="1455"/>
      <c r="H364" s="1455"/>
      <c r="I364" s="661">
        <v>15850</v>
      </c>
      <c r="J364" s="661"/>
      <c r="K364" s="661"/>
      <c r="L364" s="661">
        <v>804</v>
      </c>
      <c r="M364" s="1455"/>
      <c r="N364" s="1455"/>
      <c r="O364" s="1455"/>
      <c r="P364" s="1455"/>
      <c r="Q364" s="1456"/>
      <c r="R364" s="1456"/>
      <c r="S364" s="1456"/>
      <c r="T364" s="1456"/>
      <c r="U364" s="1456"/>
      <c r="V364" s="1457"/>
      <c r="W364" s="1457"/>
      <c r="X364" s="448">
        <f t="shared" si="15"/>
        <v>16654</v>
      </c>
    </row>
    <row r="365" spans="1:24" s="373" customFormat="1" ht="18" customHeight="1">
      <c r="A365" s="680" t="s">
        <v>594</v>
      </c>
      <c r="B365" s="1455"/>
      <c r="C365" s="1455"/>
      <c r="D365" s="1455"/>
      <c r="E365" s="1455"/>
      <c r="F365" s="1455"/>
      <c r="G365" s="1455"/>
      <c r="H365" s="1455"/>
      <c r="I365" s="661">
        <v>3348</v>
      </c>
      <c r="J365" s="661"/>
      <c r="K365" s="661"/>
      <c r="L365" s="661">
        <v>804</v>
      </c>
      <c r="M365" s="1455"/>
      <c r="N365" s="1455"/>
      <c r="O365" s="1455"/>
      <c r="P365" s="1455"/>
      <c r="Q365" s="1456"/>
      <c r="R365" s="1456"/>
      <c r="S365" s="1456"/>
      <c r="T365" s="1456"/>
      <c r="U365" s="1456"/>
      <c r="V365" s="1457"/>
      <c r="W365" s="1457"/>
      <c r="X365" s="448">
        <f t="shared" si="15"/>
        <v>4152</v>
      </c>
    </row>
    <row r="366" spans="1:24" s="373" customFormat="1" ht="18" customHeight="1">
      <c r="A366" s="678" t="s">
        <v>409</v>
      </c>
      <c r="B366" s="1455"/>
      <c r="C366" s="1455"/>
      <c r="D366" s="1455"/>
      <c r="E366" s="1455"/>
      <c r="F366" s="1455"/>
      <c r="G366" s="1455"/>
      <c r="H366" s="1455"/>
      <c r="I366" s="661">
        <v>1478</v>
      </c>
      <c r="J366" s="661"/>
      <c r="K366" s="661"/>
      <c r="L366" s="661">
        <v>804</v>
      </c>
      <c r="M366" s="1455"/>
      <c r="N366" s="1455"/>
      <c r="O366" s="1455"/>
      <c r="P366" s="1455"/>
      <c r="Q366" s="1456"/>
      <c r="R366" s="1456"/>
      <c r="S366" s="1456"/>
      <c r="T366" s="1456"/>
      <c r="U366" s="1456"/>
      <c r="V366" s="1457"/>
      <c r="W366" s="1457"/>
      <c r="X366" s="448">
        <f t="shared" si="15"/>
        <v>2282</v>
      </c>
    </row>
    <row r="367" spans="1:24" s="373" customFormat="1" ht="18" customHeight="1">
      <c r="A367" s="678" t="s">
        <v>410</v>
      </c>
      <c r="B367" s="1455"/>
      <c r="C367" s="1455"/>
      <c r="D367" s="1455"/>
      <c r="E367" s="1455"/>
      <c r="F367" s="1455"/>
      <c r="G367" s="1455"/>
      <c r="H367" s="1455"/>
      <c r="I367" s="661">
        <v>1014</v>
      </c>
      <c r="J367" s="661"/>
      <c r="K367" s="661"/>
      <c r="L367" s="661">
        <v>1060</v>
      </c>
      <c r="M367" s="1455"/>
      <c r="N367" s="1455"/>
      <c r="O367" s="1455"/>
      <c r="P367" s="1455"/>
      <c r="Q367" s="1456"/>
      <c r="R367" s="1456"/>
      <c r="S367" s="1456"/>
      <c r="T367" s="1456"/>
      <c r="U367" s="1456"/>
      <c r="V367" s="1457"/>
      <c r="W367" s="1457"/>
      <c r="X367" s="448">
        <f t="shared" si="15"/>
        <v>2074</v>
      </c>
    </row>
    <row r="368" spans="1:24" s="373" customFormat="1" ht="18" customHeight="1">
      <c r="A368" s="678" t="s">
        <v>123</v>
      </c>
      <c r="B368" s="1455"/>
      <c r="C368" s="1455"/>
      <c r="D368" s="1455"/>
      <c r="E368" s="1455"/>
      <c r="F368" s="1455"/>
      <c r="G368" s="1455"/>
      <c r="H368" s="1455"/>
      <c r="I368" s="661">
        <v>11138</v>
      </c>
      <c r="J368" s="661"/>
      <c r="K368" s="661"/>
      <c r="L368" s="661">
        <v>804</v>
      </c>
      <c r="M368" s="1455"/>
      <c r="N368" s="1455"/>
      <c r="O368" s="1455"/>
      <c r="P368" s="1455"/>
      <c r="Q368" s="1456"/>
      <c r="R368" s="1456"/>
      <c r="S368" s="1456"/>
      <c r="T368" s="1456"/>
      <c r="U368" s="1456"/>
      <c r="V368" s="1457"/>
      <c r="W368" s="1457"/>
      <c r="X368" s="448">
        <f t="shared" si="15"/>
        <v>11942</v>
      </c>
    </row>
    <row r="369" spans="1:24" s="373" customFormat="1" ht="58.5" customHeight="1">
      <c r="A369" s="678" t="s">
        <v>558</v>
      </c>
      <c r="B369" s="1455"/>
      <c r="C369" s="1455"/>
      <c r="D369" s="1455"/>
      <c r="E369" s="1455"/>
      <c r="F369" s="1455"/>
      <c r="G369" s="1455"/>
      <c r="H369" s="1455"/>
      <c r="I369" s="661">
        <v>1222</v>
      </c>
      <c r="J369" s="661"/>
      <c r="K369" s="661"/>
      <c r="L369" s="661">
        <v>804</v>
      </c>
      <c r="M369" s="1455"/>
      <c r="N369" s="1455"/>
      <c r="O369" s="1455"/>
      <c r="P369" s="1455"/>
      <c r="Q369" s="1456"/>
      <c r="R369" s="1456"/>
      <c r="S369" s="1456"/>
      <c r="T369" s="1456"/>
      <c r="U369" s="1456"/>
      <c r="V369" s="1457"/>
      <c r="W369" s="1457"/>
      <c r="X369" s="448">
        <f t="shared" si="15"/>
        <v>2026</v>
      </c>
    </row>
    <row r="370" spans="1:24" s="373" customFormat="1" ht="47.25" customHeight="1">
      <c r="A370" s="689" t="s">
        <v>564</v>
      </c>
      <c r="B370" s="1455"/>
      <c r="C370" s="1455"/>
      <c r="D370" s="1455"/>
      <c r="E370" s="1455"/>
      <c r="F370" s="1455"/>
      <c r="G370" s="1455"/>
      <c r="H370" s="1455"/>
      <c r="I370" s="661">
        <v>1142</v>
      </c>
      <c r="J370" s="661"/>
      <c r="K370" s="661"/>
      <c r="L370" s="661">
        <v>819</v>
      </c>
      <c r="M370" s="1455"/>
      <c r="N370" s="1455"/>
      <c r="O370" s="1455"/>
      <c r="P370" s="1455"/>
      <c r="Q370" s="1456"/>
      <c r="R370" s="1456"/>
      <c r="S370" s="1456"/>
      <c r="T370" s="1456"/>
      <c r="U370" s="1456"/>
      <c r="V370" s="1457"/>
      <c r="W370" s="1457"/>
      <c r="X370" s="448">
        <f t="shared" si="15"/>
        <v>1961</v>
      </c>
    </row>
    <row r="371" spans="1:24" s="373" customFormat="1" ht="25.5" customHeight="1">
      <c r="A371" s="689" t="s">
        <v>554</v>
      </c>
      <c r="B371" s="1455"/>
      <c r="C371" s="1455"/>
      <c r="D371" s="1455"/>
      <c r="E371" s="1455"/>
      <c r="F371" s="1455"/>
      <c r="G371" s="1455"/>
      <c r="H371" s="1455"/>
      <c r="I371" s="661">
        <v>4366</v>
      </c>
      <c r="J371" s="661"/>
      <c r="K371" s="661"/>
      <c r="L371" s="661">
        <v>804</v>
      </c>
      <c r="M371" s="1455"/>
      <c r="N371" s="1455"/>
      <c r="O371" s="1455"/>
      <c r="P371" s="1455"/>
      <c r="Q371" s="1456"/>
      <c r="R371" s="1456"/>
      <c r="S371" s="1456"/>
      <c r="T371" s="1456"/>
      <c r="U371" s="1456"/>
      <c r="V371" s="1457"/>
      <c r="W371" s="1457"/>
      <c r="X371" s="448">
        <f t="shared" si="15"/>
        <v>5170</v>
      </c>
    </row>
    <row r="372" spans="1:24" s="373" customFormat="1" ht="28.5" customHeight="1">
      <c r="A372" s="689" t="s">
        <v>282</v>
      </c>
      <c r="B372" s="1455"/>
      <c r="C372" s="1455"/>
      <c r="D372" s="1455"/>
      <c r="E372" s="1455"/>
      <c r="F372" s="1455"/>
      <c r="G372" s="1455"/>
      <c r="H372" s="1455"/>
      <c r="I372" s="661">
        <v>777</v>
      </c>
      <c r="J372" s="661"/>
      <c r="K372" s="661"/>
      <c r="L372" s="661">
        <v>1444</v>
      </c>
      <c r="M372" s="1455"/>
      <c r="N372" s="1455"/>
      <c r="O372" s="1455"/>
      <c r="P372" s="1455"/>
      <c r="Q372" s="1456"/>
      <c r="R372" s="1456"/>
      <c r="S372" s="1456"/>
      <c r="T372" s="1456"/>
      <c r="U372" s="1456"/>
      <c r="V372" s="1457"/>
      <c r="W372" s="1457"/>
      <c r="X372" s="448">
        <f t="shared" si="15"/>
        <v>2221</v>
      </c>
    </row>
    <row r="373" spans="1:24" s="373" customFormat="1" ht="36" customHeight="1">
      <c r="A373" s="378" t="s">
        <v>562</v>
      </c>
      <c r="B373" s="442"/>
      <c r="C373" s="442"/>
      <c r="D373" s="442"/>
      <c r="E373" s="442">
        <f>SUM(E374:E379)</f>
        <v>65</v>
      </c>
      <c r="F373" s="442">
        <f>SUM(F374:F379)</f>
        <v>-69</v>
      </c>
      <c r="G373" s="442">
        <f>SUM(G374:G379)</f>
        <v>4</v>
      </c>
      <c r="H373" s="442"/>
      <c r="I373" s="442"/>
      <c r="J373" s="442"/>
      <c r="K373" s="442"/>
      <c r="L373" s="442"/>
      <c r="M373" s="442"/>
      <c r="N373" s="442"/>
      <c r="O373" s="442"/>
      <c r="P373" s="442"/>
      <c r="Q373" s="442"/>
      <c r="R373" s="442"/>
      <c r="S373" s="442"/>
      <c r="T373" s="442"/>
      <c r="U373" s="442"/>
      <c r="V373" s="442"/>
      <c r="W373" s="442"/>
      <c r="X373" s="521">
        <f t="shared" si="15"/>
        <v>0</v>
      </c>
    </row>
    <row r="374" spans="1:24" s="373" customFormat="1" ht="18" customHeight="1">
      <c r="A374" s="680" t="s">
        <v>719</v>
      </c>
      <c r="B374" s="463"/>
      <c r="C374" s="463"/>
      <c r="D374" s="463"/>
      <c r="E374" s="369">
        <v>-8</v>
      </c>
      <c r="F374" s="369">
        <v>7</v>
      </c>
      <c r="G374" s="369">
        <v>1</v>
      </c>
      <c r="H374" s="369"/>
      <c r="I374" s="369"/>
      <c r="J374" s="664"/>
      <c r="K374" s="664"/>
      <c r="L374" s="664"/>
      <c r="M374" s="463"/>
      <c r="N374" s="463"/>
      <c r="O374" s="463"/>
      <c r="P374" s="463"/>
      <c r="Q374" s="463"/>
      <c r="R374" s="463"/>
      <c r="S374" s="463"/>
      <c r="T374" s="463"/>
      <c r="U374" s="463"/>
      <c r="V374" s="464"/>
      <c r="W374" s="464"/>
      <c r="X374" s="448"/>
    </row>
    <row r="375" spans="1:24" s="373" customFormat="1" ht="18" customHeight="1">
      <c r="A375" s="680" t="s">
        <v>728</v>
      </c>
      <c r="B375" s="463"/>
      <c r="C375" s="463"/>
      <c r="D375" s="463"/>
      <c r="E375" s="369">
        <v>85</v>
      </c>
      <c r="F375" s="369">
        <v>-85</v>
      </c>
      <c r="G375" s="369"/>
      <c r="H375" s="369"/>
      <c r="I375" s="369"/>
      <c r="J375" s="664"/>
      <c r="K375" s="664"/>
      <c r="L375" s="664"/>
      <c r="M375" s="463"/>
      <c r="N375" s="463"/>
      <c r="O375" s="463"/>
      <c r="P375" s="463"/>
      <c r="Q375" s="463"/>
      <c r="R375" s="463"/>
      <c r="S375" s="463"/>
      <c r="T375" s="463"/>
      <c r="U375" s="463"/>
      <c r="V375" s="464"/>
      <c r="W375" s="464"/>
      <c r="X375" s="448">
        <f t="shared" si="15"/>
        <v>0</v>
      </c>
    </row>
    <row r="376" spans="1:24" s="373" customFormat="1" ht="18" customHeight="1">
      <c r="A376" s="680" t="s">
        <v>99</v>
      </c>
      <c r="B376" s="369"/>
      <c r="C376" s="369"/>
      <c r="D376" s="369"/>
      <c r="E376" s="369">
        <v>1</v>
      </c>
      <c r="F376" s="369">
        <v>-1</v>
      </c>
      <c r="G376" s="369"/>
      <c r="H376" s="369"/>
      <c r="I376" s="369"/>
      <c r="J376" s="664"/>
      <c r="K376" s="664"/>
      <c r="L376" s="664"/>
      <c r="M376" s="369"/>
      <c r="N376" s="369"/>
      <c r="O376" s="369"/>
      <c r="P376" s="369"/>
      <c r="Q376" s="369"/>
      <c r="R376" s="369"/>
      <c r="S376" s="369"/>
      <c r="T376" s="369"/>
      <c r="U376" s="369"/>
      <c r="V376" s="370"/>
      <c r="W376" s="370"/>
      <c r="X376" s="448">
        <f t="shared" si="15"/>
        <v>0</v>
      </c>
    </row>
    <row r="377" spans="1:24" s="373" customFormat="1" ht="18" customHeight="1">
      <c r="A377" s="680" t="s">
        <v>109</v>
      </c>
      <c r="B377" s="369"/>
      <c r="C377" s="369"/>
      <c r="D377" s="369"/>
      <c r="E377" s="369">
        <v>-1418</v>
      </c>
      <c r="F377" s="369">
        <v>-241</v>
      </c>
      <c r="G377" s="369">
        <v>-34</v>
      </c>
      <c r="H377" s="369"/>
      <c r="I377" s="369"/>
      <c r="J377" s="664"/>
      <c r="K377" s="664"/>
      <c r="L377" s="664"/>
      <c r="M377" s="369"/>
      <c r="N377" s="369"/>
      <c r="O377" s="369"/>
      <c r="P377" s="369"/>
      <c r="Q377" s="369"/>
      <c r="R377" s="369"/>
      <c r="S377" s="369"/>
      <c r="T377" s="369"/>
      <c r="U377" s="369"/>
      <c r="V377" s="370"/>
      <c r="W377" s="370"/>
      <c r="X377" s="448">
        <f t="shared" si="15"/>
        <v>-1693</v>
      </c>
    </row>
    <row r="378" spans="1:24" s="373" customFormat="1" ht="18" customHeight="1">
      <c r="A378" s="680" t="s">
        <v>752</v>
      </c>
      <c r="B378" s="369"/>
      <c r="C378" s="369"/>
      <c r="D378" s="369"/>
      <c r="E378" s="369">
        <v>-11</v>
      </c>
      <c r="F378" s="369">
        <v>9</v>
      </c>
      <c r="G378" s="369">
        <v>2</v>
      </c>
      <c r="H378" s="369"/>
      <c r="I378" s="369"/>
      <c r="J378" s="664"/>
      <c r="K378" s="664"/>
      <c r="L378" s="664"/>
      <c r="M378" s="369"/>
      <c r="N378" s="369"/>
      <c r="O378" s="369"/>
      <c r="P378" s="369"/>
      <c r="Q378" s="369"/>
      <c r="R378" s="369"/>
      <c r="S378" s="369"/>
      <c r="T378" s="369"/>
      <c r="U378" s="369"/>
      <c r="V378" s="370"/>
      <c r="W378" s="370"/>
      <c r="X378" s="448">
        <f t="shared" si="15"/>
        <v>0</v>
      </c>
    </row>
    <row r="379" spans="1:24" s="373" customFormat="1" ht="21" customHeight="1">
      <c r="A379" s="680" t="s">
        <v>111</v>
      </c>
      <c r="B379" s="369"/>
      <c r="C379" s="369"/>
      <c r="D379" s="369"/>
      <c r="E379" s="369">
        <v>1416</v>
      </c>
      <c r="F379" s="369">
        <v>242</v>
      </c>
      <c r="G379" s="369">
        <v>35</v>
      </c>
      <c r="H379" s="369"/>
      <c r="I379" s="369"/>
      <c r="J379" s="664"/>
      <c r="K379" s="664"/>
      <c r="L379" s="664"/>
      <c r="M379" s="369"/>
      <c r="N379" s="369"/>
      <c r="O379" s="369"/>
      <c r="P379" s="369"/>
      <c r="Q379" s="369"/>
      <c r="R379" s="369"/>
      <c r="S379" s="369"/>
      <c r="T379" s="369"/>
      <c r="U379" s="369"/>
      <c r="V379" s="370"/>
      <c r="W379" s="370"/>
      <c r="X379" s="448">
        <f t="shared" si="15"/>
        <v>1693</v>
      </c>
    </row>
    <row r="380" spans="1:24" s="373" customFormat="1" ht="72" customHeight="1">
      <c r="A380" s="378" t="s">
        <v>916</v>
      </c>
      <c r="B380" s="442"/>
      <c r="C380" s="442"/>
      <c r="D380" s="442"/>
      <c r="E380" s="442"/>
      <c r="F380" s="442"/>
      <c r="G380" s="442"/>
      <c r="H380" s="442"/>
      <c r="I380" s="442">
        <f>SUM(I381:I393)</f>
        <v>40600</v>
      </c>
      <c r="J380" s="442"/>
      <c r="K380" s="442"/>
      <c r="L380" s="442"/>
      <c r="M380" s="442"/>
      <c r="N380" s="442"/>
      <c r="O380" s="442"/>
      <c r="P380" s="442"/>
      <c r="Q380" s="442"/>
      <c r="R380" s="442"/>
      <c r="S380" s="442"/>
      <c r="T380" s="442"/>
      <c r="U380" s="442"/>
      <c r="V380" s="442"/>
      <c r="W380" s="442"/>
      <c r="X380" s="521">
        <f>SUM(B380:W380)</f>
        <v>40600</v>
      </c>
    </row>
    <row r="381" spans="1:24" s="373" customFormat="1" ht="18" customHeight="1">
      <c r="A381" s="1458" t="s">
        <v>114</v>
      </c>
      <c r="B381" s="463"/>
      <c r="C381" s="463"/>
      <c r="D381" s="463"/>
      <c r="E381" s="369"/>
      <c r="F381" s="369"/>
      <c r="G381" s="369"/>
      <c r="H381" s="369"/>
      <c r="I381" s="369">
        <f>400+1300</f>
        <v>1700</v>
      </c>
      <c r="J381" s="664"/>
      <c r="K381" s="664"/>
      <c r="L381" s="664"/>
      <c r="M381" s="463"/>
      <c r="N381" s="463"/>
      <c r="O381" s="463"/>
      <c r="P381" s="463"/>
      <c r="Q381" s="463"/>
      <c r="R381" s="463"/>
      <c r="S381" s="463"/>
      <c r="T381" s="463"/>
      <c r="U381" s="463"/>
      <c r="V381" s="464"/>
      <c r="W381" s="464"/>
      <c r="X381" s="448">
        <f aca="true" t="shared" si="20" ref="X381:X393">SUM(B381:W381)</f>
        <v>1700</v>
      </c>
    </row>
    <row r="382" spans="1:24" s="373" customFormat="1" ht="18" customHeight="1">
      <c r="A382" s="1458" t="s">
        <v>115</v>
      </c>
      <c r="B382" s="463"/>
      <c r="C382" s="463"/>
      <c r="D382" s="463"/>
      <c r="E382" s="369"/>
      <c r="F382" s="369"/>
      <c r="G382" s="369"/>
      <c r="H382" s="369"/>
      <c r="I382" s="369">
        <f>2000+1300</f>
        <v>3300</v>
      </c>
      <c r="J382" s="664"/>
      <c r="K382" s="664"/>
      <c r="L382" s="664"/>
      <c r="M382" s="463"/>
      <c r="N382" s="463"/>
      <c r="O382" s="463"/>
      <c r="P382" s="463"/>
      <c r="Q382" s="463"/>
      <c r="R382" s="463"/>
      <c r="S382" s="463"/>
      <c r="T382" s="463"/>
      <c r="U382" s="463"/>
      <c r="V382" s="464"/>
      <c r="W382" s="464"/>
      <c r="X382" s="448">
        <f t="shared" si="20"/>
        <v>3300</v>
      </c>
    </row>
    <row r="383" spans="1:24" s="373" customFormat="1" ht="18" customHeight="1">
      <c r="A383" s="1458" t="s">
        <v>116</v>
      </c>
      <c r="B383" s="463"/>
      <c r="C383" s="463"/>
      <c r="D383" s="463"/>
      <c r="E383" s="369"/>
      <c r="F383" s="369"/>
      <c r="G383" s="369"/>
      <c r="H383" s="369"/>
      <c r="I383" s="369">
        <v>1300</v>
      </c>
      <c r="J383" s="664"/>
      <c r="K383" s="664"/>
      <c r="L383" s="664"/>
      <c r="M383" s="463"/>
      <c r="N383" s="463"/>
      <c r="O383" s="463"/>
      <c r="P383" s="463"/>
      <c r="Q383" s="463"/>
      <c r="R383" s="463"/>
      <c r="S383" s="463"/>
      <c r="T383" s="463"/>
      <c r="U383" s="463"/>
      <c r="V383" s="464"/>
      <c r="W383" s="464"/>
      <c r="X383" s="448">
        <f t="shared" si="20"/>
        <v>1300</v>
      </c>
    </row>
    <row r="384" spans="1:24" s="373" customFormat="1" ht="28.5" customHeight="1">
      <c r="A384" s="1458" t="s">
        <v>590</v>
      </c>
      <c r="B384" s="369"/>
      <c r="C384" s="369"/>
      <c r="D384" s="369"/>
      <c r="E384" s="369"/>
      <c r="F384" s="369"/>
      <c r="G384" s="369"/>
      <c r="H384" s="369"/>
      <c r="I384" s="369">
        <v>1300</v>
      </c>
      <c r="J384" s="664"/>
      <c r="K384" s="664"/>
      <c r="L384" s="664"/>
      <c r="M384" s="369"/>
      <c r="N384" s="369"/>
      <c r="O384" s="369"/>
      <c r="P384" s="369"/>
      <c r="Q384" s="369"/>
      <c r="R384" s="369"/>
      <c r="S384" s="369"/>
      <c r="T384" s="369"/>
      <c r="U384" s="369"/>
      <c r="V384" s="370"/>
      <c r="W384" s="370"/>
      <c r="X384" s="448">
        <f t="shared" si="20"/>
        <v>1300</v>
      </c>
    </row>
    <row r="385" spans="1:24" s="373" customFormat="1" ht="28.5" customHeight="1">
      <c r="A385" s="1458" t="s">
        <v>760</v>
      </c>
      <c r="B385" s="369"/>
      <c r="C385" s="369"/>
      <c r="D385" s="369"/>
      <c r="E385" s="369"/>
      <c r="F385" s="369"/>
      <c r="G385" s="369"/>
      <c r="H385" s="369"/>
      <c r="I385" s="369">
        <f>7600+3900</f>
        <v>11500</v>
      </c>
      <c r="J385" s="664"/>
      <c r="K385" s="664"/>
      <c r="L385" s="664"/>
      <c r="M385" s="369"/>
      <c r="N385" s="369"/>
      <c r="O385" s="369"/>
      <c r="P385" s="369"/>
      <c r="Q385" s="369"/>
      <c r="R385" s="369"/>
      <c r="S385" s="369"/>
      <c r="T385" s="369"/>
      <c r="U385" s="369"/>
      <c r="V385" s="370"/>
      <c r="W385" s="370"/>
      <c r="X385" s="448">
        <f t="shared" si="20"/>
        <v>11500</v>
      </c>
    </row>
    <row r="386" spans="1:24" s="373" customFormat="1" ht="28.5" customHeight="1">
      <c r="A386" s="1458" t="s">
        <v>585</v>
      </c>
      <c r="B386" s="369"/>
      <c r="C386" s="369"/>
      <c r="D386" s="369"/>
      <c r="E386" s="369"/>
      <c r="F386" s="369"/>
      <c r="G386" s="369"/>
      <c r="H386" s="369"/>
      <c r="I386" s="369">
        <f>1600</f>
        <v>1600</v>
      </c>
      <c r="J386" s="664"/>
      <c r="K386" s="664"/>
      <c r="L386" s="664"/>
      <c r="M386" s="369"/>
      <c r="N386" s="369"/>
      <c r="O386" s="369"/>
      <c r="P386" s="369"/>
      <c r="Q386" s="369"/>
      <c r="R386" s="369"/>
      <c r="S386" s="369"/>
      <c r="T386" s="369"/>
      <c r="U386" s="369"/>
      <c r="V386" s="370"/>
      <c r="W386" s="370"/>
      <c r="X386" s="448">
        <f t="shared" si="20"/>
        <v>1600</v>
      </c>
    </row>
    <row r="387" spans="1:24" s="373" customFormat="1" ht="18" customHeight="1">
      <c r="A387" s="1458" t="s">
        <v>592</v>
      </c>
      <c r="B387" s="369"/>
      <c r="C387" s="369"/>
      <c r="D387" s="369"/>
      <c r="E387" s="369"/>
      <c r="F387" s="369"/>
      <c r="G387" s="369"/>
      <c r="H387" s="369"/>
      <c r="I387" s="369">
        <v>2600</v>
      </c>
      <c r="J387" s="664"/>
      <c r="K387" s="664"/>
      <c r="L387" s="664"/>
      <c r="M387" s="369"/>
      <c r="N387" s="369"/>
      <c r="O387" s="369"/>
      <c r="P387" s="369"/>
      <c r="Q387" s="369"/>
      <c r="R387" s="369"/>
      <c r="S387" s="369"/>
      <c r="T387" s="369"/>
      <c r="U387" s="369"/>
      <c r="V387" s="370"/>
      <c r="W387" s="370"/>
      <c r="X387" s="448">
        <f t="shared" si="20"/>
        <v>2600</v>
      </c>
    </row>
    <row r="388" spans="1:24" s="373" customFormat="1" ht="18" customHeight="1">
      <c r="A388" s="1458" t="s">
        <v>190</v>
      </c>
      <c r="B388" s="369"/>
      <c r="C388" s="369"/>
      <c r="D388" s="369"/>
      <c r="E388" s="369"/>
      <c r="F388" s="369"/>
      <c r="G388" s="369"/>
      <c r="H388" s="369"/>
      <c r="I388" s="369">
        <v>3900</v>
      </c>
      <c r="J388" s="664"/>
      <c r="K388" s="664"/>
      <c r="L388" s="664"/>
      <c r="M388" s="369"/>
      <c r="N388" s="369"/>
      <c r="O388" s="369"/>
      <c r="P388" s="369"/>
      <c r="Q388" s="369"/>
      <c r="R388" s="369"/>
      <c r="S388" s="369"/>
      <c r="T388" s="369"/>
      <c r="U388" s="369"/>
      <c r="V388" s="370"/>
      <c r="W388" s="370"/>
      <c r="X388" s="448">
        <f t="shared" si="20"/>
        <v>3900</v>
      </c>
    </row>
    <row r="389" spans="1:24" s="373" customFormat="1" ht="28.5" customHeight="1">
      <c r="A389" s="1458" t="s">
        <v>758</v>
      </c>
      <c r="B389" s="369"/>
      <c r="C389" s="369"/>
      <c r="D389" s="369"/>
      <c r="E389" s="369"/>
      <c r="F389" s="369"/>
      <c r="G389" s="369"/>
      <c r="H389" s="369"/>
      <c r="I389" s="369">
        <v>5200</v>
      </c>
      <c r="J389" s="664"/>
      <c r="K389" s="664"/>
      <c r="L389" s="664"/>
      <c r="M389" s="369"/>
      <c r="N389" s="369"/>
      <c r="O389" s="369"/>
      <c r="P389" s="369"/>
      <c r="Q389" s="369"/>
      <c r="R389" s="369"/>
      <c r="S389" s="369"/>
      <c r="T389" s="369"/>
      <c r="U389" s="369"/>
      <c r="V389" s="370"/>
      <c r="W389" s="370"/>
      <c r="X389" s="448">
        <f t="shared" si="20"/>
        <v>5200</v>
      </c>
    </row>
    <row r="390" spans="1:24" s="373" customFormat="1" ht="32.25" customHeight="1">
      <c r="A390" s="1458" t="s">
        <v>848</v>
      </c>
      <c r="B390" s="369"/>
      <c r="C390" s="369"/>
      <c r="D390" s="369"/>
      <c r="E390" s="369"/>
      <c r="F390" s="369"/>
      <c r="G390" s="369"/>
      <c r="H390" s="369"/>
      <c r="I390" s="369">
        <f>400+1300</f>
        <v>1700</v>
      </c>
      <c r="J390" s="664"/>
      <c r="K390" s="664"/>
      <c r="L390" s="664"/>
      <c r="M390" s="369"/>
      <c r="N390" s="369"/>
      <c r="O390" s="369"/>
      <c r="P390" s="369"/>
      <c r="Q390" s="369"/>
      <c r="R390" s="369"/>
      <c r="S390" s="369"/>
      <c r="T390" s="369"/>
      <c r="U390" s="369"/>
      <c r="V390" s="370"/>
      <c r="W390" s="370"/>
      <c r="X390" s="448">
        <f t="shared" si="20"/>
        <v>1700</v>
      </c>
    </row>
    <row r="391" spans="1:24" s="373" customFormat="1" ht="18" customHeight="1">
      <c r="A391" s="1458" t="s">
        <v>193</v>
      </c>
      <c r="B391" s="369"/>
      <c r="C391" s="369"/>
      <c r="D391" s="369"/>
      <c r="E391" s="369"/>
      <c r="F391" s="369"/>
      <c r="G391" s="369"/>
      <c r="H391" s="369"/>
      <c r="I391" s="369">
        <v>1300</v>
      </c>
      <c r="J391" s="664"/>
      <c r="K391" s="664"/>
      <c r="L391" s="664"/>
      <c r="M391" s="369"/>
      <c r="N391" s="369"/>
      <c r="O391" s="369"/>
      <c r="P391" s="369"/>
      <c r="Q391" s="369"/>
      <c r="R391" s="369"/>
      <c r="S391" s="369"/>
      <c r="T391" s="369"/>
      <c r="U391" s="369"/>
      <c r="V391" s="370"/>
      <c r="W391" s="370"/>
      <c r="X391" s="448">
        <f t="shared" si="20"/>
        <v>1300</v>
      </c>
    </row>
    <row r="392" spans="1:24" s="373" customFormat="1" ht="18" customHeight="1">
      <c r="A392" s="1458" t="s">
        <v>194</v>
      </c>
      <c r="B392" s="369"/>
      <c r="C392" s="369"/>
      <c r="D392" s="369"/>
      <c r="E392" s="369"/>
      <c r="F392" s="369"/>
      <c r="G392" s="369"/>
      <c r="H392" s="369"/>
      <c r="I392" s="369">
        <v>1300</v>
      </c>
      <c r="J392" s="664"/>
      <c r="K392" s="664"/>
      <c r="L392" s="664"/>
      <c r="M392" s="369"/>
      <c r="N392" s="369"/>
      <c r="O392" s="369"/>
      <c r="P392" s="369"/>
      <c r="Q392" s="369"/>
      <c r="R392" s="369"/>
      <c r="S392" s="369"/>
      <c r="T392" s="369"/>
      <c r="U392" s="369"/>
      <c r="V392" s="370"/>
      <c r="W392" s="370"/>
      <c r="X392" s="448">
        <f t="shared" si="20"/>
        <v>1300</v>
      </c>
    </row>
    <row r="393" spans="1:24" s="373" customFormat="1" ht="18" customHeight="1" thickBot="1">
      <c r="A393" s="1458" t="s">
        <v>195</v>
      </c>
      <c r="B393" s="369"/>
      <c r="C393" s="369"/>
      <c r="D393" s="369"/>
      <c r="E393" s="369"/>
      <c r="F393" s="369"/>
      <c r="G393" s="369"/>
      <c r="H393" s="369"/>
      <c r="I393" s="369">
        <v>3900</v>
      </c>
      <c r="J393" s="664"/>
      <c r="K393" s="664"/>
      <c r="L393" s="664"/>
      <c r="M393" s="369"/>
      <c r="N393" s="369"/>
      <c r="O393" s="369"/>
      <c r="P393" s="369"/>
      <c r="Q393" s="369"/>
      <c r="R393" s="369"/>
      <c r="S393" s="369"/>
      <c r="T393" s="369"/>
      <c r="U393" s="369"/>
      <c r="V393" s="370"/>
      <c r="W393" s="370"/>
      <c r="X393" s="448">
        <f t="shared" si="20"/>
        <v>3900</v>
      </c>
    </row>
    <row r="394" spans="1:24" s="373" customFormat="1" ht="30" customHeight="1" thickBot="1">
      <c r="A394" s="681" t="s">
        <v>581</v>
      </c>
      <c r="B394" s="456"/>
      <c r="C394" s="456"/>
      <c r="D394" s="456"/>
      <c r="E394" s="456"/>
      <c r="F394" s="456"/>
      <c r="G394" s="456"/>
      <c r="H394" s="456"/>
      <c r="I394" s="456"/>
      <c r="J394" s="456"/>
      <c r="K394" s="456"/>
      <c r="L394" s="456"/>
      <c r="M394" s="456"/>
      <c r="N394" s="456"/>
      <c r="O394" s="456"/>
      <c r="P394" s="456"/>
      <c r="Q394" s="456"/>
      <c r="R394" s="456">
        <f>R395</f>
        <v>10000</v>
      </c>
      <c r="S394" s="456"/>
      <c r="T394" s="456"/>
      <c r="U394" s="456"/>
      <c r="V394" s="456"/>
      <c r="W394" s="456"/>
      <c r="X394" s="456">
        <f t="shared" si="15"/>
        <v>10000</v>
      </c>
    </row>
    <row r="395" spans="1:24" s="356" customFormat="1" ht="18" customHeight="1" thickBot="1">
      <c r="A395" s="678" t="s">
        <v>582</v>
      </c>
      <c r="B395" s="457"/>
      <c r="C395" s="457"/>
      <c r="D395" s="457"/>
      <c r="E395" s="457"/>
      <c r="F395" s="457"/>
      <c r="G395" s="457"/>
      <c r="H395" s="457"/>
      <c r="I395" s="457"/>
      <c r="J395" s="457"/>
      <c r="K395" s="457"/>
      <c r="L395" s="457"/>
      <c r="M395" s="457"/>
      <c r="N395" s="457"/>
      <c r="O395" s="457"/>
      <c r="P395" s="457"/>
      <c r="Q395" s="457"/>
      <c r="R395" s="457">
        <v>10000</v>
      </c>
      <c r="S395" s="457"/>
      <c r="T395" s="457"/>
      <c r="U395" s="457"/>
      <c r="V395" s="458"/>
      <c r="W395" s="458"/>
      <c r="X395" s="448">
        <f t="shared" si="15"/>
        <v>10000</v>
      </c>
    </row>
    <row r="396" spans="1:24" s="373" customFormat="1" ht="30" customHeight="1" thickBot="1">
      <c r="A396" s="681" t="s">
        <v>775</v>
      </c>
      <c r="B396" s="456">
        <f>B397</f>
        <v>-2000</v>
      </c>
      <c r="C396" s="456"/>
      <c r="D396" s="456"/>
      <c r="E396" s="456"/>
      <c r="F396" s="456">
        <f>F397</f>
        <v>-2000</v>
      </c>
      <c r="G396" s="456"/>
      <c r="H396" s="456"/>
      <c r="I396" s="456"/>
      <c r="J396" s="456"/>
      <c r="K396" s="456"/>
      <c r="L396" s="456"/>
      <c r="M396" s="456"/>
      <c r="N396" s="456"/>
      <c r="O396" s="456"/>
      <c r="P396" s="456"/>
      <c r="Q396" s="456">
        <f>Q397</f>
        <v>-800</v>
      </c>
      <c r="R396" s="456"/>
      <c r="S396" s="456"/>
      <c r="T396" s="456"/>
      <c r="U396" s="456"/>
      <c r="V396" s="456"/>
      <c r="W396" s="456"/>
      <c r="X396" s="456">
        <f t="shared" si="15"/>
        <v>-4800</v>
      </c>
    </row>
    <row r="397" spans="1:24" s="356" customFormat="1" ht="18" customHeight="1" thickBot="1">
      <c r="A397" s="678" t="s">
        <v>776</v>
      </c>
      <c r="B397" s="457">
        <v>-2000</v>
      </c>
      <c r="C397" s="457"/>
      <c r="D397" s="457"/>
      <c r="E397" s="457"/>
      <c r="F397" s="457">
        <v>-2000</v>
      </c>
      <c r="G397" s="457"/>
      <c r="H397" s="457"/>
      <c r="I397" s="457"/>
      <c r="J397" s="457"/>
      <c r="K397" s="457"/>
      <c r="L397" s="457"/>
      <c r="M397" s="457"/>
      <c r="N397" s="457"/>
      <c r="O397" s="457"/>
      <c r="P397" s="457"/>
      <c r="Q397" s="457">
        <v>-800</v>
      </c>
      <c r="R397" s="457"/>
      <c r="S397" s="457"/>
      <c r="T397" s="457"/>
      <c r="U397" s="457"/>
      <c r="V397" s="458"/>
      <c r="W397" s="458"/>
      <c r="X397" s="448">
        <f aca="true" t="shared" si="21" ref="X397:X420">SUM(B397:W397)</f>
        <v>-4800</v>
      </c>
    </row>
    <row r="398" spans="1:24" s="373" customFormat="1" ht="30" customHeight="1" thickBot="1">
      <c r="A398" s="681" t="s">
        <v>523</v>
      </c>
      <c r="B398" s="456"/>
      <c r="C398" s="456"/>
      <c r="D398" s="456"/>
      <c r="E398" s="456">
        <f>SUM(E399:E403)</f>
        <v>1400</v>
      </c>
      <c r="F398" s="456"/>
      <c r="G398" s="456"/>
      <c r="H398" s="456"/>
      <c r="I398" s="456"/>
      <c r="J398" s="456"/>
      <c r="K398" s="456"/>
      <c r="L398" s="456"/>
      <c r="M398" s="456"/>
      <c r="N398" s="456"/>
      <c r="O398" s="456"/>
      <c r="P398" s="456"/>
      <c r="Q398" s="456"/>
      <c r="R398" s="456"/>
      <c r="S398" s="456"/>
      <c r="T398" s="456">
        <f>SUM(T399:T403)</f>
        <v>-1400</v>
      </c>
      <c r="U398" s="456"/>
      <c r="V398" s="456"/>
      <c r="W398" s="456"/>
      <c r="X398" s="456">
        <f t="shared" si="21"/>
        <v>0</v>
      </c>
    </row>
    <row r="399" spans="1:24" s="356" customFormat="1" ht="18" customHeight="1">
      <c r="A399" s="678" t="s">
        <v>578</v>
      </c>
      <c r="B399" s="457"/>
      <c r="C399" s="457"/>
      <c r="D399" s="457"/>
      <c r="E399" s="457"/>
      <c r="F399" s="457"/>
      <c r="G399" s="457"/>
      <c r="H399" s="457"/>
      <c r="I399" s="457"/>
      <c r="J399" s="457"/>
      <c r="K399" s="457"/>
      <c r="L399" s="457"/>
      <c r="M399" s="457"/>
      <c r="N399" s="457"/>
      <c r="O399" s="457"/>
      <c r="P399" s="457"/>
      <c r="Q399" s="457"/>
      <c r="R399" s="457"/>
      <c r="S399" s="457"/>
      <c r="T399" s="457"/>
      <c r="U399" s="457"/>
      <c r="V399" s="458"/>
      <c r="W399" s="458"/>
      <c r="X399" s="448">
        <f t="shared" si="21"/>
        <v>0</v>
      </c>
    </row>
    <row r="400" spans="1:24" s="356" customFormat="1" ht="51">
      <c r="A400" s="678" t="s">
        <v>558</v>
      </c>
      <c r="B400" s="459"/>
      <c r="C400" s="459"/>
      <c r="D400" s="459"/>
      <c r="E400" s="459">
        <v>200</v>
      </c>
      <c r="F400" s="459"/>
      <c r="G400" s="459"/>
      <c r="H400" s="459"/>
      <c r="I400" s="459"/>
      <c r="J400" s="459"/>
      <c r="K400" s="459"/>
      <c r="L400" s="459"/>
      <c r="M400" s="459"/>
      <c r="N400" s="459"/>
      <c r="O400" s="459"/>
      <c r="P400" s="459"/>
      <c r="Q400" s="459"/>
      <c r="R400" s="459"/>
      <c r="S400" s="459"/>
      <c r="T400" s="459">
        <v>-200</v>
      </c>
      <c r="U400" s="459"/>
      <c r="V400" s="460"/>
      <c r="W400" s="460"/>
      <c r="X400" s="448">
        <f t="shared" si="21"/>
        <v>0</v>
      </c>
    </row>
    <row r="401" spans="1:24" s="356" customFormat="1" ht="38.25">
      <c r="A401" s="689" t="s">
        <v>564</v>
      </c>
      <c r="B401" s="459"/>
      <c r="C401" s="459"/>
      <c r="D401" s="459"/>
      <c r="E401" s="459">
        <v>-640</v>
      </c>
      <c r="F401" s="459"/>
      <c r="G401" s="459"/>
      <c r="H401" s="459"/>
      <c r="I401" s="459"/>
      <c r="J401" s="459"/>
      <c r="K401" s="459"/>
      <c r="L401" s="459"/>
      <c r="M401" s="459"/>
      <c r="N401" s="459"/>
      <c r="O401" s="459"/>
      <c r="P401" s="459"/>
      <c r="Q401" s="459"/>
      <c r="R401" s="459"/>
      <c r="S401" s="459"/>
      <c r="T401" s="459">
        <v>1440</v>
      </c>
      <c r="U401" s="459"/>
      <c r="V401" s="460"/>
      <c r="W401" s="460"/>
      <c r="X401" s="448">
        <f t="shared" si="21"/>
        <v>800</v>
      </c>
    </row>
    <row r="402" spans="1:24" s="356" customFormat="1" ht="25.5">
      <c r="A402" s="680" t="s">
        <v>282</v>
      </c>
      <c r="B402" s="459"/>
      <c r="C402" s="459"/>
      <c r="D402" s="459"/>
      <c r="E402" s="459">
        <v>2200</v>
      </c>
      <c r="F402" s="459"/>
      <c r="G402" s="459"/>
      <c r="H402" s="459"/>
      <c r="I402" s="459"/>
      <c r="J402" s="459"/>
      <c r="K402" s="459"/>
      <c r="L402" s="459"/>
      <c r="M402" s="459"/>
      <c r="N402" s="459"/>
      <c r="O402" s="459"/>
      <c r="P402" s="459"/>
      <c r="Q402" s="459"/>
      <c r="R402" s="459"/>
      <c r="S402" s="459"/>
      <c r="T402" s="459">
        <v>-3000</v>
      </c>
      <c r="U402" s="459"/>
      <c r="V402" s="460"/>
      <c r="W402" s="460"/>
      <c r="X402" s="448">
        <f t="shared" si="21"/>
        <v>-800</v>
      </c>
    </row>
    <row r="403" spans="1:24" s="356" customFormat="1" ht="25.5" customHeight="1" thickBot="1">
      <c r="A403" s="680" t="s">
        <v>771</v>
      </c>
      <c r="B403" s="459"/>
      <c r="C403" s="459"/>
      <c r="D403" s="459"/>
      <c r="E403" s="459">
        <v>-360</v>
      </c>
      <c r="F403" s="459"/>
      <c r="G403" s="459"/>
      <c r="H403" s="459"/>
      <c r="I403" s="459"/>
      <c r="J403" s="459"/>
      <c r="K403" s="459"/>
      <c r="L403" s="459"/>
      <c r="M403" s="459"/>
      <c r="N403" s="459"/>
      <c r="O403" s="459"/>
      <c r="P403" s="459"/>
      <c r="Q403" s="459"/>
      <c r="R403" s="459"/>
      <c r="S403" s="459"/>
      <c r="T403" s="459">
        <v>360</v>
      </c>
      <c r="U403" s="459"/>
      <c r="V403" s="460"/>
      <c r="W403" s="460"/>
      <c r="X403" s="448">
        <f t="shared" si="21"/>
        <v>0</v>
      </c>
    </row>
    <row r="404" spans="1:24" s="373" customFormat="1" ht="30" customHeight="1" thickBot="1">
      <c r="A404" s="375" t="s">
        <v>198</v>
      </c>
      <c r="B404" s="456">
        <f>SUM(B405:B420)</f>
        <v>-441</v>
      </c>
      <c r="C404" s="456"/>
      <c r="D404" s="456"/>
      <c r="E404" s="456"/>
      <c r="F404" s="456">
        <f>SUM(F405:F420)</f>
        <v>1215</v>
      </c>
      <c r="G404" s="456">
        <f>SUM(G405:G420)</f>
        <v>-1648</v>
      </c>
      <c r="H404" s="456"/>
      <c r="I404" s="456"/>
      <c r="J404" s="456"/>
      <c r="K404" s="456"/>
      <c r="L404" s="456"/>
      <c r="M404" s="456"/>
      <c r="N404" s="456">
        <f>SUM(N405:N420)</f>
        <v>90</v>
      </c>
      <c r="O404" s="456">
        <f>SUM(O405:O420)</f>
        <v>-10000</v>
      </c>
      <c r="P404" s="456"/>
      <c r="Q404" s="456">
        <f>SUM(Q405:Q420)</f>
        <v>784</v>
      </c>
      <c r="R404" s="456"/>
      <c r="S404" s="456"/>
      <c r="T404" s="456"/>
      <c r="U404" s="456"/>
      <c r="V404" s="456">
        <f>SUM(V405:V420)</f>
        <v>-819</v>
      </c>
      <c r="W404" s="456">
        <f>SUM(W405:W420)</f>
        <v>-90</v>
      </c>
      <c r="X404" s="456">
        <f t="shared" si="21"/>
        <v>-10909</v>
      </c>
    </row>
    <row r="405" spans="1:24" s="356" customFormat="1" ht="19.5" customHeight="1">
      <c r="A405" s="678" t="s">
        <v>719</v>
      </c>
      <c r="B405" s="457"/>
      <c r="C405" s="457"/>
      <c r="D405" s="457"/>
      <c r="E405" s="457"/>
      <c r="F405" s="457"/>
      <c r="G405" s="457"/>
      <c r="H405" s="457"/>
      <c r="I405" s="457"/>
      <c r="J405" s="457"/>
      <c r="K405" s="457"/>
      <c r="L405" s="457"/>
      <c r="M405" s="457"/>
      <c r="N405" s="457"/>
      <c r="O405" s="457"/>
      <c r="P405" s="457"/>
      <c r="Q405" s="457"/>
      <c r="R405" s="457"/>
      <c r="S405" s="457"/>
      <c r="T405" s="457"/>
      <c r="U405" s="457"/>
      <c r="V405" s="458"/>
      <c r="W405" s="458"/>
      <c r="X405" s="448">
        <f t="shared" si="21"/>
        <v>0</v>
      </c>
    </row>
    <row r="406" spans="1:24" s="356" customFormat="1" ht="19.5" customHeight="1">
      <c r="A406" s="678" t="s">
        <v>720</v>
      </c>
      <c r="B406" s="457">
        <v>3159</v>
      </c>
      <c r="C406" s="457"/>
      <c r="D406" s="457"/>
      <c r="E406" s="457"/>
      <c r="F406" s="457">
        <v>725</v>
      </c>
      <c r="G406" s="457">
        <v>102</v>
      </c>
      <c r="H406" s="457"/>
      <c r="I406" s="457"/>
      <c r="J406" s="457"/>
      <c r="K406" s="457"/>
      <c r="L406" s="457"/>
      <c r="M406" s="457"/>
      <c r="N406" s="457"/>
      <c r="O406" s="457"/>
      <c r="P406" s="457"/>
      <c r="Q406" s="457"/>
      <c r="R406" s="457"/>
      <c r="S406" s="457"/>
      <c r="T406" s="457"/>
      <c r="U406" s="457"/>
      <c r="V406" s="458"/>
      <c r="W406" s="458"/>
      <c r="X406" s="448">
        <f t="shared" si="21"/>
        <v>3986</v>
      </c>
    </row>
    <row r="407" spans="1:24" s="356" customFormat="1" ht="19.5" customHeight="1">
      <c r="A407" s="678" t="s">
        <v>583</v>
      </c>
      <c r="B407" s="457"/>
      <c r="C407" s="457"/>
      <c r="D407" s="457"/>
      <c r="E407" s="457"/>
      <c r="F407" s="457">
        <v>-1000</v>
      </c>
      <c r="G407" s="457"/>
      <c r="H407" s="457"/>
      <c r="I407" s="457"/>
      <c r="J407" s="457"/>
      <c r="K407" s="457"/>
      <c r="L407" s="457"/>
      <c r="M407" s="457"/>
      <c r="N407" s="457"/>
      <c r="O407" s="457"/>
      <c r="P407" s="457"/>
      <c r="Q407" s="457"/>
      <c r="R407" s="457"/>
      <c r="S407" s="457"/>
      <c r="T407" s="457"/>
      <c r="U407" s="457"/>
      <c r="V407" s="458"/>
      <c r="W407" s="458"/>
      <c r="X407" s="448">
        <f t="shared" si="21"/>
        <v>-1000</v>
      </c>
    </row>
    <row r="408" spans="1:24" s="356" customFormat="1" ht="19.5" customHeight="1">
      <c r="A408" s="678" t="s">
        <v>725</v>
      </c>
      <c r="B408" s="457">
        <v>1500</v>
      </c>
      <c r="C408" s="457"/>
      <c r="D408" s="457"/>
      <c r="E408" s="457"/>
      <c r="F408" s="457">
        <v>500</v>
      </c>
      <c r="G408" s="457">
        <v>50</v>
      </c>
      <c r="H408" s="457"/>
      <c r="I408" s="457"/>
      <c r="J408" s="457"/>
      <c r="K408" s="457"/>
      <c r="L408" s="457"/>
      <c r="M408" s="457"/>
      <c r="N408" s="457"/>
      <c r="O408" s="457"/>
      <c r="P408" s="457"/>
      <c r="Q408" s="457"/>
      <c r="R408" s="457"/>
      <c r="S408" s="457"/>
      <c r="T408" s="457"/>
      <c r="U408" s="457"/>
      <c r="V408" s="458"/>
      <c r="W408" s="458"/>
      <c r="X408" s="448">
        <f t="shared" si="21"/>
        <v>2050</v>
      </c>
    </row>
    <row r="409" spans="1:24" s="356" customFormat="1" ht="19.5" customHeight="1">
      <c r="A409" s="678" t="s">
        <v>726</v>
      </c>
      <c r="B409" s="457">
        <v>1000</v>
      </c>
      <c r="C409" s="457"/>
      <c r="D409" s="457"/>
      <c r="E409" s="457"/>
      <c r="F409" s="457">
        <v>800</v>
      </c>
      <c r="G409" s="457"/>
      <c r="H409" s="457"/>
      <c r="I409" s="457"/>
      <c r="J409" s="457"/>
      <c r="K409" s="457"/>
      <c r="L409" s="457"/>
      <c r="M409" s="457"/>
      <c r="N409" s="457"/>
      <c r="O409" s="457"/>
      <c r="P409" s="457"/>
      <c r="Q409" s="457"/>
      <c r="R409" s="457"/>
      <c r="S409" s="457"/>
      <c r="T409" s="457"/>
      <c r="U409" s="457"/>
      <c r="V409" s="458"/>
      <c r="W409" s="458"/>
      <c r="X409" s="448">
        <f t="shared" si="21"/>
        <v>1800</v>
      </c>
    </row>
    <row r="410" spans="1:24" s="356" customFormat="1" ht="19.5" customHeight="1">
      <c r="A410" s="678" t="s">
        <v>786</v>
      </c>
      <c r="B410" s="457">
        <v>-3000</v>
      </c>
      <c r="C410" s="457"/>
      <c r="D410" s="457"/>
      <c r="E410" s="457"/>
      <c r="F410" s="457"/>
      <c r="G410" s="457"/>
      <c r="H410" s="457"/>
      <c r="I410" s="457"/>
      <c r="J410" s="457"/>
      <c r="K410" s="457"/>
      <c r="L410" s="457"/>
      <c r="M410" s="457"/>
      <c r="N410" s="457"/>
      <c r="O410" s="457"/>
      <c r="P410" s="457"/>
      <c r="Q410" s="457"/>
      <c r="R410" s="457"/>
      <c r="S410" s="457"/>
      <c r="T410" s="457"/>
      <c r="U410" s="457"/>
      <c r="V410" s="458"/>
      <c r="W410" s="458"/>
      <c r="X410" s="448">
        <f t="shared" si="21"/>
        <v>-3000</v>
      </c>
    </row>
    <row r="411" spans="1:24" s="356" customFormat="1" ht="19.5" customHeight="1">
      <c r="A411" s="678" t="s">
        <v>710</v>
      </c>
      <c r="B411" s="457">
        <v>500</v>
      </c>
      <c r="C411" s="457"/>
      <c r="D411" s="457"/>
      <c r="E411" s="457"/>
      <c r="F411" s="457"/>
      <c r="G411" s="457"/>
      <c r="H411" s="457"/>
      <c r="I411" s="457"/>
      <c r="J411" s="457"/>
      <c r="K411" s="457"/>
      <c r="L411" s="457"/>
      <c r="M411" s="457"/>
      <c r="N411" s="457"/>
      <c r="O411" s="457"/>
      <c r="P411" s="457"/>
      <c r="Q411" s="457"/>
      <c r="R411" s="457"/>
      <c r="S411" s="457"/>
      <c r="T411" s="457"/>
      <c r="U411" s="457"/>
      <c r="V411" s="458"/>
      <c r="W411" s="458"/>
      <c r="X411" s="448">
        <f t="shared" si="21"/>
        <v>500</v>
      </c>
    </row>
    <row r="412" spans="1:24" s="356" customFormat="1" ht="19.5" customHeight="1">
      <c r="A412" s="678" t="s">
        <v>789</v>
      </c>
      <c r="B412" s="457"/>
      <c r="C412" s="457"/>
      <c r="D412" s="457"/>
      <c r="E412" s="457"/>
      <c r="F412" s="457"/>
      <c r="G412" s="457">
        <v>-1500</v>
      </c>
      <c r="H412" s="457"/>
      <c r="I412" s="457"/>
      <c r="J412" s="457"/>
      <c r="K412" s="457"/>
      <c r="L412" s="457"/>
      <c r="M412" s="457"/>
      <c r="N412" s="457"/>
      <c r="O412" s="457"/>
      <c r="P412" s="457"/>
      <c r="Q412" s="457"/>
      <c r="R412" s="457"/>
      <c r="S412" s="457"/>
      <c r="T412" s="457"/>
      <c r="U412" s="457"/>
      <c r="V412" s="458"/>
      <c r="W412" s="458"/>
      <c r="X412" s="448">
        <f t="shared" si="21"/>
        <v>-1500</v>
      </c>
    </row>
    <row r="413" spans="1:24" s="356" customFormat="1" ht="19.5" customHeight="1">
      <c r="A413" s="678" t="s">
        <v>579</v>
      </c>
      <c r="B413" s="457"/>
      <c r="C413" s="457"/>
      <c r="D413" s="457"/>
      <c r="E413" s="457"/>
      <c r="F413" s="457">
        <v>490</v>
      </c>
      <c r="G413" s="457">
        <v>100</v>
      </c>
      <c r="H413" s="457"/>
      <c r="I413" s="457"/>
      <c r="J413" s="457"/>
      <c r="K413" s="457"/>
      <c r="L413" s="457"/>
      <c r="M413" s="457"/>
      <c r="N413" s="457"/>
      <c r="O413" s="457"/>
      <c r="P413" s="457"/>
      <c r="Q413" s="457"/>
      <c r="R413" s="457"/>
      <c r="S413" s="457"/>
      <c r="T413" s="457"/>
      <c r="U413" s="457"/>
      <c r="V413" s="458"/>
      <c r="W413" s="458"/>
      <c r="X413" s="448">
        <f t="shared" si="21"/>
        <v>590</v>
      </c>
    </row>
    <row r="414" spans="1:24" s="356" customFormat="1" ht="19.5" customHeight="1">
      <c r="A414" s="678" t="s">
        <v>794</v>
      </c>
      <c r="B414" s="457"/>
      <c r="C414" s="457"/>
      <c r="D414" s="457"/>
      <c r="E414" s="457"/>
      <c r="F414" s="457"/>
      <c r="G414" s="457">
        <v>-200</v>
      </c>
      <c r="H414" s="457"/>
      <c r="I414" s="457"/>
      <c r="J414" s="457"/>
      <c r="K414" s="457"/>
      <c r="L414" s="457"/>
      <c r="M414" s="457"/>
      <c r="N414" s="457"/>
      <c r="O414" s="457"/>
      <c r="P414" s="457"/>
      <c r="Q414" s="457"/>
      <c r="R414" s="457"/>
      <c r="S414" s="457"/>
      <c r="T414" s="457"/>
      <c r="U414" s="457"/>
      <c r="V414" s="458"/>
      <c r="W414" s="458"/>
      <c r="X414" s="448">
        <f t="shared" si="21"/>
        <v>-200</v>
      </c>
    </row>
    <row r="415" spans="1:24" s="356" customFormat="1" ht="19.5" customHeight="1">
      <c r="A415" s="678" t="s">
        <v>795</v>
      </c>
      <c r="B415" s="457">
        <v>1000</v>
      </c>
      <c r="C415" s="457"/>
      <c r="D415" s="457"/>
      <c r="E415" s="457"/>
      <c r="F415" s="457"/>
      <c r="G415" s="457"/>
      <c r="H415" s="457"/>
      <c r="I415" s="457"/>
      <c r="J415" s="457"/>
      <c r="K415" s="457"/>
      <c r="L415" s="457"/>
      <c r="M415" s="457"/>
      <c r="N415" s="457"/>
      <c r="O415" s="457"/>
      <c r="P415" s="457"/>
      <c r="Q415" s="457">
        <v>784</v>
      </c>
      <c r="R415" s="457"/>
      <c r="S415" s="457"/>
      <c r="T415" s="457"/>
      <c r="U415" s="457"/>
      <c r="V415" s="458"/>
      <c r="W415" s="458"/>
      <c r="X415" s="448">
        <f t="shared" si="21"/>
        <v>1784</v>
      </c>
    </row>
    <row r="416" spans="1:24" s="356" customFormat="1" ht="19.5" customHeight="1">
      <c r="A416" s="678" t="s">
        <v>100</v>
      </c>
      <c r="B416" s="457">
        <v>600</v>
      </c>
      <c r="C416" s="457"/>
      <c r="D416" s="457"/>
      <c r="E416" s="457"/>
      <c r="F416" s="457">
        <v>200</v>
      </c>
      <c r="G416" s="457"/>
      <c r="H416" s="457"/>
      <c r="I416" s="457"/>
      <c r="J416" s="457"/>
      <c r="K416" s="457"/>
      <c r="L416" s="457"/>
      <c r="M416" s="457"/>
      <c r="N416" s="457"/>
      <c r="O416" s="457"/>
      <c r="P416" s="457"/>
      <c r="Q416" s="457"/>
      <c r="R416" s="457"/>
      <c r="S416" s="457"/>
      <c r="T416" s="457"/>
      <c r="U416" s="457"/>
      <c r="V416" s="458"/>
      <c r="W416" s="458"/>
      <c r="X416" s="448">
        <f t="shared" si="21"/>
        <v>800</v>
      </c>
    </row>
    <row r="417" spans="1:24" s="356" customFormat="1" ht="18.75" customHeight="1">
      <c r="A417" s="678" t="s">
        <v>119</v>
      </c>
      <c r="B417" s="457"/>
      <c r="C417" s="457"/>
      <c r="D417" s="457"/>
      <c r="E417" s="457"/>
      <c r="F417" s="457"/>
      <c r="G417" s="457"/>
      <c r="H417" s="457"/>
      <c r="I417" s="457"/>
      <c r="J417" s="457"/>
      <c r="K417" s="457"/>
      <c r="L417" s="457"/>
      <c r="M417" s="457"/>
      <c r="N417" s="457">
        <v>90</v>
      </c>
      <c r="O417" s="457"/>
      <c r="P417" s="457"/>
      <c r="Q417" s="457"/>
      <c r="R417" s="457"/>
      <c r="S417" s="457"/>
      <c r="T417" s="457"/>
      <c r="U417" s="457"/>
      <c r="V417" s="458">
        <v>-819</v>
      </c>
      <c r="W417" s="458">
        <v>-90</v>
      </c>
      <c r="X417" s="448">
        <f t="shared" si="21"/>
        <v>-819</v>
      </c>
    </row>
    <row r="418" spans="1:24" s="356" customFormat="1" ht="25.5">
      <c r="A418" s="680" t="s">
        <v>123</v>
      </c>
      <c r="B418" s="457">
        <v>-700</v>
      </c>
      <c r="C418" s="457"/>
      <c r="D418" s="457"/>
      <c r="E418" s="457"/>
      <c r="F418" s="457"/>
      <c r="G418" s="457"/>
      <c r="H418" s="457"/>
      <c r="I418" s="457"/>
      <c r="J418" s="457"/>
      <c r="K418" s="457"/>
      <c r="L418" s="457"/>
      <c r="M418" s="457"/>
      <c r="N418" s="457"/>
      <c r="O418" s="457"/>
      <c r="P418" s="457"/>
      <c r="Q418" s="457"/>
      <c r="R418" s="457"/>
      <c r="S418" s="457"/>
      <c r="T418" s="457"/>
      <c r="U418" s="457"/>
      <c r="V418" s="458"/>
      <c r="W418" s="458"/>
      <c r="X418" s="448">
        <f t="shared" si="21"/>
        <v>-700</v>
      </c>
    </row>
    <row r="419" spans="1:24" s="356" customFormat="1" ht="51">
      <c r="A419" s="678" t="s">
        <v>558</v>
      </c>
      <c r="B419" s="457">
        <v>-3000</v>
      </c>
      <c r="C419" s="457"/>
      <c r="D419" s="457"/>
      <c r="E419" s="457"/>
      <c r="F419" s="457"/>
      <c r="G419" s="457"/>
      <c r="H419" s="457"/>
      <c r="I419" s="457"/>
      <c r="J419" s="457"/>
      <c r="K419" s="457"/>
      <c r="L419" s="457"/>
      <c r="M419" s="457"/>
      <c r="N419" s="457"/>
      <c r="O419" s="457"/>
      <c r="P419" s="457"/>
      <c r="Q419" s="457"/>
      <c r="R419" s="457"/>
      <c r="S419" s="457"/>
      <c r="T419" s="457"/>
      <c r="U419" s="457"/>
      <c r="V419" s="458"/>
      <c r="W419" s="458"/>
      <c r="X419" s="448">
        <f t="shared" si="21"/>
        <v>-3000</v>
      </c>
    </row>
    <row r="420" spans="1:24" s="356" customFormat="1" ht="38.25">
      <c r="A420" s="678" t="s">
        <v>564</v>
      </c>
      <c r="B420" s="457">
        <v>-1500</v>
      </c>
      <c r="C420" s="457"/>
      <c r="D420" s="457"/>
      <c r="E420" s="457"/>
      <c r="F420" s="457">
        <v>-500</v>
      </c>
      <c r="G420" s="457">
        <v>-200</v>
      </c>
      <c r="H420" s="457"/>
      <c r="I420" s="457"/>
      <c r="J420" s="457"/>
      <c r="K420" s="457"/>
      <c r="L420" s="457"/>
      <c r="M420" s="457"/>
      <c r="N420" s="457"/>
      <c r="O420" s="457">
        <v>-10000</v>
      </c>
      <c r="P420" s="457"/>
      <c r="Q420" s="457"/>
      <c r="R420" s="457"/>
      <c r="S420" s="457"/>
      <c r="T420" s="457"/>
      <c r="U420" s="457"/>
      <c r="V420" s="458"/>
      <c r="W420" s="458"/>
      <c r="X420" s="448">
        <f t="shared" si="21"/>
        <v>-12200</v>
      </c>
    </row>
    <row r="421" spans="1:24" s="356" customFormat="1" ht="38.25" customHeight="1">
      <c r="A421" s="1507"/>
      <c r="B421" s="1508"/>
      <c r="C421" s="1508"/>
      <c r="D421" s="1508"/>
      <c r="E421" s="1508"/>
      <c r="F421" s="1508"/>
      <c r="G421" s="1508"/>
      <c r="H421" s="1508"/>
      <c r="I421" s="1508"/>
      <c r="J421" s="1508"/>
      <c r="K421" s="1508"/>
      <c r="L421" s="1508"/>
      <c r="M421" s="1508"/>
      <c r="N421" s="1508"/>
      <c r="O421" s="1508"/>
      <c r="P421" s="1508"/>
      <c r="Q421" s="1508"/>
      <c r="R421" s="1508"/>
      <c r="S421" s="1508"/>
      <c r="T421" s="1508"/>
      <c r="U421" s="1508"/>
      <c r="V421" s="1508"/>
      <c r="W421" s="1508"/>
      <c r="X421" s="1509"/>
    </row>
    <row r="422" spans="1:26" s="368" customFormat="1" ht="25.5" customHeight="1" thickBot="1">
      <c r="A422" s="367" t="s">
        <v>675</v>
      </c>
      <c r="B422" s="450"/>
      <c r="C422" s="450"/>
      <c r="D422" s="450"/>
      <c r="E422" s="450"/>
      <c r="F422" s="450"/>
      <c r="G422" s="450"/>
      <c r="H422" s="450"/>
      <c r="I422" s="450"/>
      <c r="J422" s="450">
        <f>J423</f>
        <v>269066</v>
      </c>
      <c r="K422" s="450">
        <f>K423</f>
        <v>126329</v>
      </c>
      <c r="L422" s="450"/>
      <c r="M422" s="450"/>
      <c r="N422" s="450"/>
      <c r="O422" s="450"/>
      <c r="P422" s="450"/>
      <c r="Q422" s="450"/>
      <c r="R422" s="450"/>
      <c r="S422" s="450"/>
      <c r="T422" s="450"/>
      <c r="U422" s="450"/>
      <c r="V422" s="450"/>
      <c r="W422" s="450"/>
      <c r="X422" s="450">
        <f>SUM(B422:W422)</f>
        <v>395395</v>
      </c>
      <c r="Z422" s="368" t="s">
        <v>310</v>
      </c>
    </row>
    <row r="423" spans="1:24" s="373" customFormat="1" ht="27.75" customHeight="1" thickBot="1">
      <c r="A423" s="686" t="s">
        <v>197</v>
      </c>
      <c r="B423" s="462"/>
      <c r="C423" s="462"/>
      <c r="D423" s="462"/>
      <c r="E423" s="462"/>
      <c r="F423" s="462"/>
      <c r="G423" s="462"/>
      <c r="H423" s="462"/>
      <c r="I423" s="462"/>
      <c r="J423" s="462">
        <f>J424</f>
        <v>269066</v>
      </c>
      <c r="K423" s="462">
        <f>K424</f>
        <v>126329</v>
      </c>
      <c r="L423" s="462"/>
      <c r="M423" s="462"/>
      <c r="N423" s="462"/>
      <c r="O423" s="462"/>
      <c r="P423" s="462"/>
      <c r="Q423" s="462"/>
      <c r="R423" s="462"/>
      <c r="S423" s="462"/>
      <c r="T423" s="462"/>
      <c r="U423" s="462"/>
      <c r="V423" s="462"/>
      <c r="W423" s="462"/>
      <c r="X423" s="456">
        <f aca="true" t="shared" si="22" ref="X423:X455">SUM(B423:W423)</f>
        <v>395395</v>
      </c>
    </row>
    <row r="424" spans="1:24" s="373" customFormat="1" ht="54" customHeight="1">
      <c r="A424" s="687" t="s">
        <v>850</v>
      </c>
      <c r="B424" s="442"/>
      <c r="C424" s="442"/>
      <c r="D424" s="442"/>
      <c r="E424" s="442"/>
      <c r="F424" s="442"/>
      <c r="G424" s="442"/>
      <c r="H424" s="442"/>
      <c r="I424" s="442"/>
      <c r="J424" s="442">
        <f>SUM(J425:J455)</f>
        <v>269066</v>
      </c>
      <c r="K424" s="442">
        <f>SUM(K425:K455)</f>
        <v>126329</v>
      </c>
      <c r="L424" s="442"/>
      <c r="M424" s="442"/>
      <c r="N424" s="442"/>
      <c r="O424" s="442"/>
      <c r="P424" s="442"/>
      <c r="Q424" s="442"/>
      <c r="R424" s="442"/>
      <c r="S424" s="442"/>
      <c r="T424" s="442"/>
      <c r="U424" s="442"/>
      <c r="V424" s="442"/>
      <c r="W424" s="442"/>
      <c r="X424" s="521">
        <f t="shared" si="22"/>
        <v>395395</v>
      </c>
    </row>
    <row r="425" spans="1:24" s="356" customFormat="1" ht="18" customHeight="1">
      <c r="A425" s="679" t="s">
        <v>717</v>
      </c>
      <c r="B425" s="457"/>
      <c r="C425" s="457"/>
      <c r="D425" s="457"/>
      <c r="E425" s="457"/>
      <c r="F425" s="457"/>
      <c r="G425" s="457"/>
      <c r="H425" s="457"/>
      <c r="I425" s="457"/>
      <c r="J425" s="457">
        <v>2787</v>
      </c>
      <c r="K425" s="457">
        <v>1308</v>
      </c>
      <c r="L425" s="457"/>
      <c r="M425" s="457"/>
      <c r="N425" s="457"/>
      <c r="O425" s="457"/>
      <c r="P425" s="457"/>
      <c r="Q425" s="457"/>
      <c r="R425" s="457"/>
      <c r="S425" s="457"/>
      <c r="T425" s="457"/>
      <c r="U425" s="457"/>
      <c r="V425" s="458"/>
      <c r="W425" s="458"/>
      <c r="X425" s="448">
        <f t="shared" si="22"/>
        <v>4095</v>
      </c>
    </row>
    <row r="426" spans="1:24" s="356" customFormat="1" ht="15.75" customHeight="1">
      <c r="A426" s="679" t="s">
        <v>114</v>
      </c>
      <c r="B426" s="457"/>
      <c r="C426" s="457"/>
      <c r="D426" s="457"/>
      <c r="E426" s="457"/>
      <c r="F426" s="457"/>
      <c r="G426" s="457"/>
      <c r="H426" s="457"/>
      <c r="I426" s="457"/>
      <c r="J426" s="457">
        <v>6502</v>
      </c>
      <c r="K426" s="457">
        <v>3053</v>
      </c>
      <c r="L426" s="457"/>
      <c r="M426" s="457"/>
      <c r="N426" s="457"/>
      <c r="O426" s="457"/>
      <c r="P426" s="457"/>
      <c r="Q426" s="457"/>
      <c r="R426" s="457"/>
      <c r="S426" s="457"/>
      <c r="T426" s="457"/>
      <c r="U426" s="457"/>
      <c r="V426" s="458"/>
      <c r="W426" s="458"/>
      <c r="X426" s="448">
        <f t="shared" si="22"/>
        <v>9555</v>
      </c>
    </row>
    <row r="427" spans="1:24" s="356" customFormat="1" ht="18" customHeight="1">
      <c r="A427" s="679" t="s">
        <v>115</v>
      </c>
      <c r="B427" s="457"/>
      <c r="C427" s="457"/>
      <c r="D427" s="457"/>
      <c r="E427" s="457"/>
      <c r="F427" s="457"/>
      <c r="G427" s="457"/>
      <c r="H427" s="457"/>
      <c r="I427" s="457"/>
      <c r="J427" s="457">
        <v>8360</v>
      </c>
      <c r="K427" s="457">
        <v>3925</v>
      </c>
      <c r="L427" s="457"/>
      <c r="M427" s="457"/>
      <c r="N427" s="457"/>
      <c r="O427" s="457"/>
      <c r="P427" s="457"/>
      <c r="Q427" s="457"/>
      <c r="R427" s="457"/>
      <c r="S427" s="457"/>
      <c r="T427" s="457"/>
      <c r="U427" s="457"/>
      <c r="V427" s="458"/>
      <c r="W427" s="458"/>
      <c r="X427" s="448">
        <f t="shared" si="22"/>
        <v>12285</v>
      </c>
    </row>
    <row r="428" spans="1:24" s="356" customFormat="1" ht="18" customHeight="1">
      <c r="A428" s="679" t="s">
        <v>116</v>
      </c>
      <c r="B428" s="457"/>
      <c r="C428" s="457"/>
      <c r="D428" s="457"/>
      <c r="E428" s="457"/>
      <c r="F428" s="457"/>
      <c r="G428" s="457"/>
      <c r="H428" s="457"/>
      <c r="I428" s="457"/>
      <c r="J428" s="457">
        <v>9289</v>
      </c>
      <c r="K428" s="457">
        <v>4361</v>
      </c>
      <c r="L428" s="457"/>
      <c r="M428" s="457"/>
      <c r="N428" s="457"/>
      <c r="O428" s="457"/>
      <c r="P428" s="457"/>
      <c r="Q428" s="457"/>
      <c r="R428" s="457"/>
      <c r="S428" s="457"/>
      <c r="T428" s="457"/>
      <c r="U428" s="457"/>
      <c r="V428" s="458"/>
      <c r="W428" s="458"/>
      <c r="X428" s="448">
        <f t="shared" si="22"/>
        <v>13650</v>
      </c>
    </row>
    <row r="429" spans="1:24" s="356" customFormat="1" ht="18" customHeight="1">
      <c r="A429" s="679" t="s">
        <v>843</v>
      </c>
      <c r="B429" s="457"/>
      <c r="C429" s="457"/>
      <c r="D429" s="457"/>
      <c r="E429" s="457"/>
      <c r="F429" s="457"/>
      <c r="G429" s="457"/>
      <c r="H429" s="457"/>
      <c r="I429" s="457"/>
      <c r="J429" s="457">
        <v>8050</v>
      </c>
      <c r="K429" s="457">
        <v>3780</v>
      </c>
      <c r="L429" s="457"/>
      <c r="M429" s="457"/>
      <c r="N429" s="457"/>
      <c r="O429" s="457"/>
      <c r="P429" s="457"/>
      <c r="Q429" s="457"/>
      <c r="R429" s="457"/>
      <c r="S429" s="457"/>
      <c r="T429" s="457"/>
      <c r="U429" s="457"/>
      <c r="V429" s="458"/>
      <c r="W429" s="458"/>
      <c r="X429" s="448">
        <f t="shared" si="22"/>
        <v>11830</v>
      </c>
    </row>
    <row r="430" spans="1:24" s="356" customFormat="1" ht="18" customHeight="1">
      <c r="A430" s="679" t="s">
        <v>117</v>
      </c>
      <c r="B430" s="457"/>
      <c r="C430" s="457"/>
      <c r="D430" s="457"/>
      <c r="E430" s="457"/>
      <c r="F430" s="457"/>
      <c r="G430" s="457"/>
      <c r="H430" s="457"/>
      <c r="I430" s="457"/>
      <c r="J430" s="457">
        <v>5573</v>
      </c>
      <c r="K430" s="457">
        <v>2617</v>
      </c>
      <c r="L430" s="457"/>
      <c r="M430" s="457"/>
      <c r="N430" s="457"/>
      <c r="O430" s="457"/>
      <c r="P430" s="457"/>
      <c r="Q430" s="457"/>
      <c r="R430" s="457"/>
      <c r="S430" s="457"/>
      <c r="T430" s="457"/>
      <c r="U430" s="457"/>
      <c r="V430" s="458"/>
      <c r="W430" s="458"/>
      <c r="X430" s="448">
        <f t="shared" si="22"/>
        <v>8190</v>
      </c>
    </row>
    <row r="431" spans="1:24" s="356" customFormat="1" ht="18" customHeight="1">
      <c r="A431" s="679" t="s">
        <v>718</v>
      </c>
      <c r="B431" s="457"/>
      <c r="C431" s="457"/>
      <c r="D431" s="457"/>
      <c r="E431" s="457"/>
      <c r="F431" s="457"/>
      <c r="G431" s="457"/>
      <c r="H431" s="457"/>
      <c r="I431" s="457"/>
      <c r="J431" s="457">
        <v>7741</v>
      </c>
      <c r="K431" s="457">
        <v>3634</v>
      </c>
      <c r="L431" s="457"/>
      <c r="M431" s="457"/>
      <c r="N431" s="457"/>
      <c r="O431" s="457"/>
      <c r="P431" s="457"/>
      <c r="Q431" s="457"/>
      <c r="R431" s="457"/>
      <c r="S431" s="457"/>
      <c r="T431" s="457"/>
      <c r="U431" s="457"/>
      <c r="V431" s="458"/>
      <c r="W431" s="458"/>
      <c r="X431" s="448">
        <f t="shared" si="22"/>
        <v>11375</v>
      </c>
    </row>
    <row r="432" spans="1:24" s="356" customFormat="1" ht="18" customHeight="1">
      <c r="A432" s="679" t="s">
        <v>118</v>
      </c>
      <c r="B432" s="457"/>
      <c r="C432" s="457"/>
      <c r="D432" s="457"/>
      <c r="E432" s="457"/>
      <c r="F432" s="457"/>
      <c r="G432" s="457"/>
      <c r="H432" s="457"/>
      <c r="I432" s="457"/>
      <c r="J432" s="457">
        <v>6502</v>
      </c>
      <c r="K432" s="457">
        <v>3053</v>
      </c>
      <c r="L432" s="457"/>
      <c r="M432" s="457"/>
      <c r="N432" s="457"/>
      <c r="O432" s="457"/>
      <c r="P432" s="457"/>
      <c r="Q432" s="457"/>
      <c r="R432" s="457"/>
      <c r="S432" s="457"/>
      <c r="T432" s="457"/>
      <c r="U432" s="457"/>
      <c r="V432" s="458"/>
      <c r="W432" s="458"/>
      <c r="X432" s="448">
        <f t="shared" si="22"/>
        <v>9555</v>
      </c>
    </row>
    <row r="433" spans="1:24" s="356" customFormat="1" ht="15" customHeight="1">
      <c r="A433" s="679" t="s">
        <v>580</v>
      </c>
      <c r="B433" s="457"/>
      <c r="C433" s="457"/>
      <c r="D433" s="457"/>
      <c r="E433" s="457"/>
      <c r="F433" s="457"/>
      <c r="G433" s="457"/>
      <c r="H433" s="457"/>
      <c r="I433" s="457"/>
      <c r="J433" s="457">
        <v>6812</v>
      </c>
      <c r="K433" s="457">
        <v>3198</v>
      </c>
      <c r="L433" s="457"/>
      <c r="M433" s="457"/>
      <c r="N433" s="457"/>
      <c r="O433" s="457"/>
      <c r="P433" s="457"/>
      <c r="Q433" s="457"/>
      <c r="R433" s="457"/>
      <c r="S433" s="457"/>
      <c r="T433" s="457"/>
      <c r="U433" s="457"/>
      <c r="V433" s="458"/>
      <c r="W433" s="458"/>
      <c r="X433" s="448">
        <f t="shared" si="22"/>
        <v>10010</v>
      </c>
    </row>
    <row r="434" spans="1:24" s="356" customFormat="1" ht="18" customHeight="1">
      <c r="A434" s="679" t="s">
        <v>196</v>
      </c>
      <c r="B434" s="457"/>
      <c r="C434" s="457"/>
      <c r="D434" s="457"/>
      <c r="E434" s="457"/>
      <c r="F434" s="457"/>
      <c r="G434" s="457"/>
      <c r="H434" s="457"/>
      <c r="I434" s="457"/>
      <c r="J434" s="457">
        <v>929</v>
      </c>
      <c r="K434" s="457">
        <v>436</v>
      </c>
      <c r="L434" s="457"/>
      <c r="M434" s="457"/>
      <c r="N434" s="457"/>
      <c r="O434" s="457"/>
      <c r="P434" s="457"/>
      <c r="Q434" s="457"/>
      <c r="R434" s="457"/>
      <c r="S434" s="457"/>
      <c r="T434" s="457"/>
      <c r="U434" s="457"/>
      <c r="V434" s="458"/>
      <c r="W434" s="458"/>
      <c r="X434" s="448">
        <f t="shared" si="22"/>
        <v>1365</v>
      </c>
    </row>
    <row r="435" spans="1:24" s="356" customFormat="1" ht="18" customHeight="1">
      <c r="A435" s="679" t="s">
        <v>119</v>
      </c>
      <c r="B435" s="457"/>
      <c r="C435" s="457"/>
      <c r="D435" s="457"/>
      <c r="E435" s="457"/>
      <c r="F435" s="457"/>
      <c r="G435" s="457"/>
      <c r="H435" s="457"/>
      <c r="I435" s="457"/>
      <c r="J435" s="457">
        <v>310</v>
      </c>
      <c r="K435" s="457">
        <v>145</v>
      </c>
      <c r="L435" s="457"/>
      <c r="M435" s="457"/>
      <c r="N435" s="457"/>
      <c r="O435" s="457"/>
      <c r="P435" s="457"/>
      <c r="Q435" s="457"/>
      <c r="R435" s="457"/>
      <c r="S435" s="457"/>
      <c r="T435" s="457"/>
      <c r="U435" s="457"/>
      <c r="V435" s="458"/>
      <c r="W435" s="458"/>
      <c r="X435" s="448">
        <f t="shared" si="22"/>
        <v>455</v>
      </c>
    </row>
    <row r="436" spans="1:24" s="356" customFormat="1" ht="18" customHeight="1">
      <c r="A436" s="679" t="s">
        <v>120</v>
      </c>
      <c r="B436" s="457"/>
      <c r="C436" s="457"/>
      <c r="D436" s="457"/>
      <c r="E436" s="457"/>
      <c r="F436" s="457"/>
      <c r="G436" s="457"/>
      <c r="H436" s="457"/>
      <c r="I436" s="457"/>
      <c r="J436" s="457">
        <v>2167</v>
      </c>
      <c r="K436" s="457">
        <v>1018</v>
      </c>
      <c r="L436" s="457"/>
      <c r="M436" s="457"/>
      <c r="N436" s="457"/>
      <c r="O436" s="457"/>
      <c r="P436" s="457"/>
      <c r="Q436" s="457"/>
      <c r="R436" s="457"/>
      <c r="S436" s="457"/>
      <c r="T436" s="457"/>
      <c r="U436" s="457"/>
      <c r="V436" s="458"/>
      <c r="W436" s="458"/>
      <c r="X436" s="448">
        <f t="shared" si="22"/>
        <v>3185</v>
      </c>
    </row>
    <row r="437" spans="1:24" s="356" customFormat="1" ht="18" customHeight="1">
      <c r="A437" s="679" t="s">
        <v>844</v>
      </c>
      <c r="B437" s="457"/>
      <c r="C437" s="457"/>
      <c r="D437" s="457"/>
      <c r="E437" s="457"/>
      <c r="F437" s="457"/>
      <c r="G437" s="457"/>
      <c r="H437" s="457"/>
      <c r="I437" s="457"/>
      <c r="J437" s="457">
        <v>1858</v>
      </c>
      <c r="K437" s="457">
        <v>872</v>
      </c>
      <c r="L437" s="457"/>
      <c r="M437" s="457"/>
      <c r="N437" s="457"/>
      <c r="O437" s="457"/>
      <c r="P437" s="457"/>
      <c r="Q437" s="457"/>
      <c r="R437" s="457"/>
      <c r="S437" s="457"/>
      <c r="T437" s="457"/>
      <c r="U437" s="457"/>
      <c r="V437" s="458"/>
      <c r="W437" s="458"/>
      <c r="X437" s="448">
        <f t="shared" si="22"/>
        <v>2730</v>
      </c>
    </row>
    <row r="438" spans="1:24" s="356" customFormat="1" ht="18" customHeight="1">
      <c r="A438" s="679" t="s">
        <v>846</v>
      </c>
      <c r="B438" s="457"/>
      <c r="C438" s="457"/>
      <c r="D438" s="457"/>
      <c r="E438" s="457"/>
      <c r="F438" s="457"/>
      <c r="G438" s="457"/>
      <c r="H438" s="457"/>
      <c r="I438" s="457"/>
      <c r="J438" s="457">
        <v>619</v>
      </c>
      <c r="K438" s="457">
        <v>291</v>
      </c>
      <c r="L438" s="457"/>
      <c r="M438" s="457"/>
      <c r="N438" s="457"/>
      <c r="O438" s="457"/>
      <c r="P438" s="457"/>
      <c r="Q438" s="457"/>
      <c r="R438" s="457"/>
      <c r="S438" s="457"/>
      <c r="T438" s="457"/>
      <c r="U438" s="457"/>
      <c r="V438" s="458"/>
      <c r="W438" s="458"/>
      <c r="X438" s="448">
        <f t="shared" si="22"/>
        <v>910</v>
      </c>
    </row>
    <row r="439" spans="1:24" s="356" customFormat="1" ht="15.75" customHeight="1">
      <c r="A439" s="679" t="s">
        <v>193</v>
      </c>
      <c r="B439" s="457"/>
      <c r="C439" s="457"/>
      <c r="D439" s="457"/>
      <c r="E439" s="457"/>
      <c r="F439" s="457"/>
      <c r="G439" s="457"/>
      <c r="H439" s="457"/>
      <c r="I439" s="457"/>
      <c r="J439" s="457">
        <v>26628</v>
      </c>
      <c r="K439" s="457">
        <v>12502</v>
      </c>
      <c r="L439" s="457"/>
      <c r="M439" s="457"/>
      <c r="N439" s="457"/>
      <c r="O439" s="457"/>
      <c r="P439" s="457"/>
      <c r="Q439" s="457"/>
      <c r="R439" s="457"/>
      <c r="S439" s="457"/>
      <c r="T439" s="457"/>
      <c r="U439" s="457"/>
      <c r="V439" s="458"/>
      <c r="W439" s="458"/>
      <c r="X439" s="448">
        <f t="shared" si="22"/>
        <v>39130</v>
      </c>
    </row>
    <row r="440" spans="1:24" s="356" customFormat="1" ht="15.75" customHeight="1">
      <c r="A440" s="679" t="s">
        <v>194</v>
      </c>
      <c r="B440" s="457"/>
      <c r="C440" s="457"/>
      <c r="D440" s="457"/>
      <c r="E440" s="457"/>
      <c r="F440" s="457"/>
      <c r="G440" s="457"/>
      <c r="H440" s="457"/>
      <c r="I440" s="457"/>
      <c r="J440" s="457">
        <v>7431</v>
      </c>
      <c r="K440" s="457">
        <v>3489</v>
      </c>
      <c r="L440" s="457"/>
      <c r="M440" s="457"/>
      <c r="N440" s="457"/>
      <c r="O440" s="457"/>
      <c r="P440" s="457"/>
      <c r="Q440" s="457"/>
      <c r="R440" s="457"/>
      <c r="S440" s="457"/>
      <c r="T440" s="457"/>
      <c r="U440" s="457"/>
      <c r="V440" s="458"/>
      <c r="W440" s="458"/>
      <c r="X440" s="448">
        <f t="shared" si="22"/>
        <v>10920</v>
      </c>
    </row>
    <row r="441" spans="1:24" s="356" customFormat="1" ht="15.75" customHeight="1">
      <c r="A441" s="679" t="s">
        <v>195</v>
      </c>
      <c r="B441" s="457"/>
      <c r="C441" s="457"/>
      <c r="D441" s="457"/>
      <c r="E441" s="457"/>
      <c r="F441" s="457"/>
      <c r="G441" s="457"/>
      <c r="H441" s="457"/>
      <c r="I441" s="457"/>
      <c r="J441" s="457">
        <v>21983</v>
      </c>
      <c r="K441" s="457">
        <v>10322</v>
      </c>
      <c r="L441" s="457"/>
      <c r="M441" s="457"/>
      <c r="N441" s="457"/>
      <c r="O441" s="457"/>
      <c r="P441" s="457"/>
      <c r="Q441" s="457"/>
      <c r="R441" s="457"/>
      <c r="S441" s="457"/>
      <c r="T441" s="457"/>
      <c r="U441" s="457"/>
      <c r="V441" s="458"/>
      <c r="W441" s="458"/>
      <c r="X441" s="448">
        <f t="shared" si="22"/>
        <v>32305</v>
      </c>
    </row>
    <row r="442" spans="1:24" s="356" customFormat="1" ht="15" customHeight="1">
      <c r="A442" s="679" t="s">
        <v>594</v>
      </c>
      <c r="B442" s="457"/>
      <c r="C442" s="457"/>
      <c r="D442" s="457"/>
      <c r="E442" s="457"/>
      <c r="F442" s="457"/>
      <c r="G442" s="457"/>
      <c r="H442" s="457"/>
      <c r="I442" s="457"/>
      <c r="J442" s="457">
        <v>619</v>
      </c>
      <c r="K442" s="457">
        <v>291</v>
      </c>
      <c r="L442" s="457"/>
      <c r="M442" s="457"/>
      <c r="N442" s="457"/>
      <c r="O442" s="457"/>
      <c r="P442" s="457"/>
      <c r="Q442" s="457"/>
      <c r="R442" s="457"/>
      <c r="S442" s="457"/>
      <c r="T442" s="457"/>
      <c r="U442" s="457"/>
      <c r="V442" s="458"/>
      <c r="W442" s="458"/>
      <c r="X442" s="448">
        <f t="shared" si="22"/>
        <v>910</v>
      </c>
    </row>
    <row r="443" spans="1:24" s="356" customFormat="1" ht="15.75" customHeight="1">
      <c r="A443" s="679" t="s">
        <v>585</v>
      </c>
      <c r="B443" s="457"/>
      <c r="C443" s="457"/>
      <c r="D443" s="457"/>
      <c r="E443" s="457"/>
      <c r="F443" s="457"/>
      <c r="G443" s="457"/>
      <c r="H443" s="457"/>
      <c r="I443" s="457"/>
      <c r="J443" s="457">
        <v>4954</v>
      </c>
      <c r="K443" s="457">
        <v>2326</v>
      </c>
      <c r="L443" s="457"/>
      <c r="M443" s="457"/>
      <c r="N443" s="457"/>
      <c r="O443" s="457"/>
      <c r="P443" s="457"/>
      <c r="Q443" s="457"/>
      <c r="R443" s="457"/>
      <c r="S443" s="457"/>
      <c r="T443" s="457"/>
      <c r="U443" s="457"/>
      <c r="V443" s="458"/>
      <c r="W443" s="458"/>
      <c r="X443" s="448">
        <f t="shared" si="22"/>
        <v>7280</v>
      </c>
    </row>
    <row r="444" spans="1:24" s="356" customFormat="1" ht="15.75" customHeight="1">
      <c r="A444" s="679" t="s">
        <v>592</v>
      </c>
      <c r="B444" s="457"/>
      <c r="C444" s="457"/>
      <c r="D444" s="457"/>
      <c r="E444" s="457"/>
      <c r="F444" s="457"/>
      <c r="G444" s="457"/>
      <c r="H444" s="457"/>
      <c r="I444" s="457"/>
      <c r="J444" s="457">
        <v>25080</v>
      </c>
      <c r="K444" s="457">
        <v>11775</v>
      </c>
      <c r="L444" s="457"/>
      <c r="M444" s="457"/>
      <c r="N444" s="457"/>
      <c r="O444" s="457"/>
      <c r="P444" s="457"/>
      <c r="Q444" s="457"/>
      <c r="R444" s="457"/>
      <c r="S444" s="457"/>
      <c r="T444" s="457"/>
      <c r="U444" s="457"/>
      <c r="V444" s="458"/>
      <c r="W444" s="458"/>
      <c r="X444" s="448">
        <f t="shared" si="22"/>
        <v>36855</v>
      </c>
    </row>
    <row r="445" spans="1:24" s="356" customFormat="1" ht="17.25" customHeight="1">
      <c r="A445" s="679" t="s">
        <v>190</v>
      </c>
      <c r="B445" s="457"/>
      <c r="C445" s="457"/>
      <c r="D445" s="457"/>
      <c r="E445" s="457"/>
      <c r="F445" s="457"/>
      <c r="G445" s="457"/>
      <c r="H445" s="457"/>
      <c r="I445" s="457"/>
      <c r="J445" s="457">
        <v>13004</v>
      </c>
      <c r="K445" s="457">
        <v>6106</v>
      </c>
      <c r="L445" s="457"/>
      <c r="M445" s="457"/>
      <c r="N445" s="457"/>
      <c r="O445" s="457"/>
      <c r="P445" s="457"/>
      <c r="Q445" s="457"/>
      <c r="R445" s="457"/>
      <c r="S445" s="457"/>
      <c r="T445" s="457"/>
      <c r="U445" s="457"/>
      <c r="V445" s="458"/>
      <c r="W445" s="458"/>
      <c r="X445" s="448">
        <f t="shared" si="22"/>
        <v>19110</v>
      </c>
    </row>
    <row r="446" spans="1:24" s="356" customFormat="1" ht="15" customHeight="1">
      <c r="A446" s="679" t="s">
        <v>191</v>
      </c>
      <c r="B446" s="457"/>
      <c r="C446" s="457"/>
      <c r="D446" s="457"/>
      <c r="E446" s="457"/>
      <c r="F446" s="457"/>
      <c r="G446" s="457"/>
      <c r="H446" s="457"/>
      <c r="I446" s="457"/>
      <c r="J446" s="457">
        <v>10218</v>
      </c>
      <c r="K446" s="457">
        <v>4797</v>
      </c>
      <c r="L446" s="457"/>
      <c r="M446" s="457"/>
      <c r="N446" s="457"/>
      <c r="O446" s="457"/>
      <c r="P446" s="457"/>
      <c r="Q446" s="457"/>
      <c r="R446" s="457"/>
      <c r="S446" s="457"/>
      <c r="T446" s="457"/>
      <c r="U446" s="457"/>
      <c r="V446" s="458"/>
      <c r="W446" s="458"/>
      <c r="X446" s="448">
        <f t="shared" si="22"/>
        <v>15015</v>
      </c>
    </row>
    <row r="447" spans="1:24" s="356" customFormat="1" ht="16.5" customHeight="1">
      <c r="A447" s="679" t="s">
        <v>847</v>
      </c>
      <c r="B447" s="457"/>
      <c r="C447" s="457"/>
      <c r="D447" s="457"/>
      <c r="E447" s="457"/>
      <c r="F447" s="457"/>
      <c r="G447" s="457"/>
      <c r="H447" s="457"/>
      <c r="I447" s="457"/>
      <c r="J447" s="457">
        <v>2787</v>
      </c>
      <c r="K447" s="457">
        <v>1308</v>
      </c>
      <c r="L447" s="457"/>
      <c r="M447" s="457"/>
      <c r="N447" s="457"/>
      <c r="O447" s="457"/>
      <c r="P447" s="457"/>
      <c r="Q447" s="457"/>
      <c r="R447" s="457"/>
      <c r="S447" s="457"/>
      <c r="T447" s="457"/>
      <c r="U447" s="457"/>
      <c r="V447" s="458"/>
      <c r="W447" s="458"/>
      <c r="X447" s="448">
        <f t="shared" si="22"/>
        <v>4095</v>
      </c>
    </row>
    <row r="448" spans="1:24" s="356" customFormat="1" ht="17.25" customHeight="1">
      <c r="A448" s="679" t="s">
        <v>845</v>
      </c>
      <c r="B448" s="457"/>
      <c r="C448" s="457"/>
      <c r="D448" s="457"/>
      <c r="E448" s="457"/>
      <c r="F448" s="457"/>
      <c r="G448" s="457"/>
      <c r="H448" s="457"/>
      <c r="I448" s="457"/>
      <c r="J448" s="457">
        <v>27866</v>
      </c>
      <c r="K448" s="457">
        <v>13084</v>
      </c>
      <c r="L448" s="457"/>
      <c r="M448" s="457"/>
      <c r="N448" s="457"/>
      <c r="O448" s="457"/>
      <c r="P448" s="457"/>
      <c r="Q448" s="457"/>
      <c r="R448" s="457"/>
      <c r="S448" s="457"/>
      <c r="T448" s="457"/>
      <c r="U448" s="457"/>
      <c r="V448" s="458"/>
      <c r="W448" s="458"/>
      <c r="X448" s="448">
        <f t="shared" si="22"/>
        <v>40950</v>
      </c>
    </row>
    <row r="449" spans="1:24" s="356" customFormat="1" ht="15" customHeight="1">
      <c r="A449" s="679" t="s">
        <v>192</v>
      </c>
      <c r="B449" s="457"/>
      <c r="C449" s="457"/>
      <c r="D449" s="457"/>
      <c r="E449" s="457"/>
      <c r="F449" s="457"/>
      <c r="G449" s="457"/>
      <c r="H449" s="457"/>
      <c r="I449" s="457"/>
      <c r="J449" s="457">
        <v>8360</v>
      </c>
      <c r="K449" s="457">
        <v>3925</v>
      </c>
      <c r="L449" s="457"/>
      <c r="M449" s="457"/>
      <c r="N449" s="457"/>
      <c r="O449" s="457"/>
      <c r="P449" s="457"/>
      <c r="Q449" s="457"/>
      <c r="R449" s="457"/>
      <c r="S449" s="457"/>
      <c r="T449" s="457"/>
      <c r="U449" s="457"/>
      <c r="V449" s="458"/>
      <c r="W449" s="458"/>
      <c r="X449" s="448">
        <f t="shared" si="22"/>
        <v>12285</v>
      </c>
    </row>
    <row r="450" spans="1:24" s="356" customFormat="1" ht="18" customHeight="1">
      <c r="A450" s="679" t="s">
        <v>848</v>
      </c>
      <c r="B450" s="457"/>
      <c r="C450" s="457"/>
      <c r="D450" s="457"/>
      <c r="E450" s="457"/>
      <c r="F450" s="457"/>
      <c r="G450" s="457"/>
      <c r="H450" s="457"/>
      <c r="I450" s="457"/>
      <c r="J450" s="457">
        <v>15172</v>
      </c>
      <c r="K450" s="457">
        <v>7123</v>
      </c>
      <c r="L450" s="457"/>
      <c r="M450" s="457"/>
      <c r="N450" s="457"/>
      <c r="O450" s="457"/>
      <c r="P450" s="457"/>
      <c r="Q450" s="457"/>
      <c r="R450" s="457"/>
      <c r="S450" s="457"/>
      <c r="T450" s="457"/>
      <c r="U450" s="457"/>
      <c r="V450" s="458"/>
      <c r="W450" s="458"/>
      <c r="X450" s="448">
        <f t="shared" si="22"/>
        <v>22295</v>
      </c>
    </row>
    <row r="451" spans="1:24" s="356" customFormat="1" ht="18" customHeight="1">
      <c r="A451" s="679" t="s">
        <v>593</v>
      </c>
      <c r="B451" s="457"/>
      <c r="C451" s="457"/>
      <c r="D451" s="457"/>
      <c r="E451" s="457"/>
      <c r="F451" s="457"/>
      <c r="G451" s="457"/>
      <c r="H451" s="457"/>
      <c r="I451" s="457"/>
      <c r="J451" s="457">
        <v>3406</v>
      </c>
      <c r="K451" s="457">
        <v>1599</v>
      </c>
      <c r="L451" s="457"/>
      <c r="M451" s="457"/>
      <c r="N451" s="457"/>
      <c r="O451" s="457"/>
      <c r="P451" s="457"/>
      <c r="Q451" s="457"/>
      <c r="R451" s="457"/>
      <c r="S451" s="457"/>
      <c r="T451" s="457"/>
      <c r="U451" s="457"/>
      <c r="V451" s="458"/>
      <c r="W451" s="458"/>
      <c r="X451" s="448">
        <f t="shared" si="22"/>
        <v>5005</v>
      </c>
    </row>
    <row r="452" spans="1:24" s="356" customFormat="1" ht="15.75" customHeight="1">
      <c r="A452" s="679" t="s">
        <v>849</v>
      </c>
      <c r="B452" s="457"/>
      <c r="C452" s="457"/>
      <c r="D452" s="457"/>
      <c r="E452" s="457"/>
      <c r="F452" s="457"/>
      <c r="G452" s="457"/>
      <c r="H452" s="457"/>
      <c r="I452" s="457"/>
      <c r="J452" s="457">
        <v>21983</v>
      </c>
      <c r="K452" s="457">
        <v>10322</v>
      </c>
      <c r="L452" s="457"/>
      <c r="M452" s="457"/>
      <c r="N452" s="457"/>
      <c r="O452" s="457"/>
      <c r="P452" s="457"/>
      <c r="Q452" s="457"/>
      <c r="R452" s="457"/>
      <c r="S452" s="457"/>
      <c r="T452" s="457"/>
      <c r="U452" s="457"/>
      <c r="V452" s="458"/>
      <c r="W452" s="458"/>
      <c r="X452" s="448">
        <f t="shared" si="22"/>
        <v>32305</v>
      </c>
    </row>
    <row r="453" spans="1:24" s="356" customFormat="1" ht="15.75" customHeight="1">
      <c r="A453" s="679" t="s">
        <v>123</v>
      </c>
      <c r="B453" s="457"/>
      <c r="C453" s="457"/>
      <c r="D453" s="457"/>
      <c r="E453" s="457"/>
      <c r="F453" s="457"/>
      <c r="G453" s="457"/>
      <c r="H453" s="457"/>
      <c r="I453" s="457"/>
      <c r="J453" s="457">
        <v>8360</v>
      </c>
      <c r="K453" s="457">
        <v>3925</v>
      </c>
      <c r="L453" s="457"/>
      <c r="M453" s="457"/>
      <c r="N453" s="457"/>
      <c r="O453" s="457"/>
      <c r="P453" s="457"/>
      <c r="Q453" s="457"/>
      <c r="R453" s="457"/>
      <c r="S453" s="457"/>
      <c r="T453" s="457"/>
      <c r="U453" s="457"/>
      <c r="V453" s="458"/>
      <c r="W453" s="458"/>
      <c r="X453" s="448">
        <f t="shared" si="22"/>
        <v>12285</v>
      </c>
    </row>
    <row r="454" spans="1:24" s="356" customFormat="1" ht="51" customHeight="1">
      <c r="A454" s="678" t="s">
        <v>558</v>
      </c>
      <c r="B454" s="457"/>
      <c r="C454" s="457"/>
      <c r="D454" s="457"/>
      <c r="E454" s="457"/>
      <c r="F454" s="457"/>
      <c r="G454" s="457"/>
      <c r="H454" s="457"/>
      <c r="I454" s="457"/>
      <c r="J454" s="457">
        <v>2787</v>
      </c>
      <c r="K454" s="457">
        <v>1308</v>
      </c>
      <c r="L454" s="457"/>
      <c r="M454" s="457"/>
      <c r="N454" s="457"/>
      <c r="O454" s="457"/>
      <c r="P454" s="457"/>
      <c r="Q454" s="457"/>
      <c r="R454" s="457"/>
      <c r="S454" s="457"/>
      <c r="T454" s="457"/>
      <c r="U454" s="457"/>
      <c r="V454" s="458"/>
      <c r="W454" s="458"/>
      <c r="X454" s="448">
        <f t="shared" si="22"/>
        <v>4095</v>
      </c>
    </row>
    <row r="455" spans="1:24" s="356" customFormat="1" ht="40.5" customHeight="1">
      <c r="A455" s="678" t="s">
        <v>564</v>
      </c>
      <c r="B455" s="457"/>
      <c r="C455" s="457"/>
      <c r="D455" s="457"/>
      <c r="E455" s="457"/>
      <c r="F455" s="457"/>
      <c r="G455" s="457"/>
      <c r="H455" s="457"/>
      <c r="I455" s="457"/>
      <c r="J455" s="457">
        <v>929</v>
      </c>
      <c r="K455" s="457">
        <v>436</v>
      </c>
      <c r="L455" s="457"/>
      <c r="M455" s="457"/>
      <c r="N455" s="457"/>
      <c r="O455" s="457"/>
      <c r="P455" s="457"/>
      <c r="Q455" s="457"/>
      <c r="R455" s="457"/>
      <c r="S455" s="457"/>
      <c r="T455" s="457"/>
      <c r="U455" s="457"/>
      <c r="V455" s="458"/>
      <c r="W455" s="458"/>
      <c r="X455" s="448">
        <f t="shared" si="22"/>
        <v>1365</v>
      </c>
    </row>
    <row r="456" spans="2:22" ht="120.75" customHeight="1">
      <c r="B456" s="572" t="s">
        <v>446</v>
      </c>
      <c r="C456" s="572"/>
      <c r="D456" s="1644"/>
      <c r="E456" s="1644"/>
      <c r="R456" s="572" t="s">
        <v>447</v>
      </c>
      <c r="S456" s="572"/>
      <c r="U456" s="572" t="s">
        <v>447</v>
      </c>
      <c r="V456" s="572"/>
    </row>
    <row r="457" spans="2:22" ht="20.25" customHeight="1">
      <c r="B457" s="1645" t="s">
        <v>449</v>
      </c>
      <c r="C457" s="572"/>
      <c r="D457" s="1644"/>
      <c r="E457" s="1644"/>
      <c r="R457" s="1646" t="s">
        <v>448</v>
      </c>
      <c r="S457" s="572"/>
      <c r="U457" s="1646" t="s">
        <v>448</v>
      </c>
      <c r="V457" s="572"/>
    </row>
  </sheetData>
  <mergeCells count="1">
    <mergeCell ref="B3:E3"/>
  </mergeCells>
  <printOptions/>
  <pageMargins left="0.3937007874015748" right="0.3937007874015748" top="0.9055118110236221" bottom="0.7086614173228347" header="0.5118110236220472" footer="0.5118110236220472"/>
  <pageSetup firstPageNumber="70" useFirstPageNumber="1" horizontalDpi="600" verticalDpi="600" orientation="landscape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5:Z66"/>
  <sheetViews>
    <sheetView zoomScale="70" zoomScaleNormal="70" zoomScaleSheetLayoutView="75" workbookViewId="0" topLeftCell="A12">
      <pane ySplit="1440" topLeftCell="BM43" activePane="bottomLeft" state="split"/>
      <selection pane="topLeft" activeCell="R13" sqref="R12:R13"/>
      <selection pane="bottomLeft" activeCell="E64" sqref="E64"/>
    </sheetView>
  </sheetViews>
  <sheetFormatPr defaultColWidth="9.00390625" defaultRowHeight="12.75"/>
  <cols>
    <col min="1" max="1" width="5.75390625" style="191" customWidth="1"/>
    <col min="2" max="2" width="8.25390625" style="191" customWidth="1"/>
    <col min="3" max="3" width="47.875" style="46" customWidth="1"/>
    <col min="4" max="4" width="18.75390625" style="1" customWidth="1"/>
    <col min="5" max="12" width="13.75390625" style="1" customWidth="1"/>
    <col min="13" max="16" width="13.75390625" style="2" customWidth="1"/>
    <col min="17" max="17" width="11.25390625" style="1" customWidth="1"/>
    <col min="18" max="18" width="13.875" style="1" customWidth="1"/>
    <col min="19" max="16384" width="9.125" style="1" customWidth="1"/>
  </cols>
  <sheetData>
    <row r="1" ht="20.25" customHeight="1"/>
    <row r="2" ht="21.75" customHeight="1"/>
    <row r="3" ht="21.75" customHeight="1"/>
    <row r="4" ht="19.5" customHeight="1"/>
    <row r="5" spans="14:15" ht="15">
      <c r="N5" s="1" t="s">
        <v>351</v>
      </c>
      <c r="O5" s="1"/>
    </row>
    <row r="6" spans="2:15" ht="15" customHeight="1">
      <c r="B6" s="192"/>
      <c r="N6" s="1" t="s">
        <v>14</v>
      </c>
      <c r="O6" s="1"/>
    </row>
    <row r="7" spans="3:15" ht="15.75">
      <c r="C7" s="193" t="s">
        <v>223</v>
      </c>
      <c r="N7" s="1" t="s">
        <v>605</v>
      </c>
      <c r="O7" s="1"/>
    </row>
    <row r="8" spans="14:15" ht="14.25" customHeight="1">
      <c r="N8" s="1" t="s">
        <v>15</v>
      </c>
      <c r="O8" s="1"/>
    </row>
    <row r="9" spans="3:12" ht="6" customHeight="1">
      <c r="C9" s="194"/>
      <c r="D9" s="2"/>
      <c r="E9" s="2"/>
      <c r="F9" s="2"/>
      <c r="G9" s="2"/>
      <c r="H9" s="2"/>
      <c r="I9" s="2"/>
      <c r="J9" s="2"/>
      <c r="K9" s="2"/>
      <c r="L9" s="2"/>
    </row>
    <row r="10" spans="3:16" ht="20.25" customHeight="1" thickBot="1">
      <c r="C10" s="194"/>
      <c r="D10" s="2"/>
      <c r="E10" s="2"/>
      <c r="F10" s="2"/>
      <c r="G10" s="2"/>
      <c r="H10" s="2"/>
      <c r="I10" s="2"/>
      <c r="J10" s="2"/>
      <c r="K10" s="2"/>
      <c r="L10" s="2"/>
      <c r="M10" s="195"/>
      <c r="N10" s="195"/>
      <c r="O10" s="195"/>
      <c r="P10" s="196" t="s">
        <v>606</v>
      </c>
    </row>
    <row r="11" spans="1:16" ht="18" customHeight="1" thickTop="1">
      <c r="A11" s="197"/>
      <c r="B11" s="197"/>
      <c r="C11" s="198" t="s">
        <v>607</v>
      </c>
      <c r="D11" s="198" t="s">
        <v>93</v>
      </c>
      <c r="E11" s="1681" t="s">
        <v>609</v>
      </c>
      <c r="F11" s="1682"/>
      <c r="G11" s="1682"/>
      <c r="H11" s="1682"/>
      <c r="I11" s="1682"/>
      <c r="J11" s="1682"/>
      <c r="K11" s="1682"/>
      <c r="L11" s="1682"/>
      <c r="M11" s="1682"/>
      <c r="N11" s="1682"/>
      <c r="O11" s="1682"/>
      <c r="P11" s="1683"/>
    </row>
    <row r="12" spans="1:16" ht="26.25" customHeight="1" thickBot="1">
      <c r="A12" s="199" t="s">
        <v>610</v>
      </c>
      <c r="B12" s="200" t="s">
        <v>224</v>
      </c>
      <c r="C12" s="201" t="s">
        <v>225</v>
      </c>
      <c r="D12" s="201" t="s">
        <v>94</v>
      </c>
      <c r="E12" s="201" t="s">
        <v>613</v>
      </c>
      <c r="F12" s="201" t="s">
        <v>614</v>
      </c>
      <c r="G12" s="201" t="s">
        <v>615</v>
      </c>
      <c r="H12" s="201" t="s">
        <v>616</v>
      </c>
      <c r="I12" s="201" t="s">
        <v>617</v>
      </c>
      <c r="J12" s="201" t="s">
        <v>618</v>
      </c>
      <c r="K12" s="201" t="s">
        <v>619</v>
      </c>
      <c r="L12" s="201" t="s">
        <v>620</v>
      </c>
      <c r="M12" s="202" t="s">
        <v>621</v>
      </c>
      <c r="N12" s="202" t="s">
        <v>622</v>
      </c>
      <c r="O12" s="202" t="s">
        <v>623</v>
      </c>
      <c r="P12" s="202" t="s">
        <v>624</v>
      </c>
    </row>
    <row r="13" spans="1:22" s="22" customFormat="1" ht="14.25" thickBot="1" thickTop="1">
      <c r="A13" s="203">
        <v>1</v>
      </c>
      <c r="B13" s="203">
        <v>2</v>
      </c>
      <c r="C13" s="204">
        <v>3</v>
      </c>
      <c r="D13" s="205">
        <v>4</v>
      </c>
      <c r="E13" s="205">
        <v>5</v>
      </c>
      <c r="F13" s="205">
        <v>6</v>
      </c>
      <c r="G13" s="205">
        <v>7</v>
      </c>
      <c r="H13" s="205">
        <v>8</v>
      </c>
      <c r="I13" s="205">
        <v>9</v>
      </c>
      <c r="J13" s="205">
        <v>10</v>
      </c>
      <c r="K13" s="205">
        <v>11</v>
      </c>
      <c r="L13" s="205">
        <v>12</v>
      </c>
      <c r="M13" s="205">
        <v>13</v>
      </c>
      <c r="N13" s="205">
        <v>14</v>
      </c>
      <c r="O13" s="205">
        <v>15</v>
      </c>
      <c r="P13" s="205">
        <v>16</v>
      </c>
      <c r="Q13" s="33"/>
      <c r="R13" s="33"/>
      <c r="S13" s="33"/>
      <c r="T13" s="33"/>
      <c r="U13" s="33"/>
      <c r="V13" s="33"/>
    </row>
    <row r="14" spans="1:26" s="192" customFormat="1" ht="30.75" customHeight="1" thickBot="1" thickTop="1">
      <c r="A14" s="206"/>
      <c r="B14" s="207"/>
      <c r="C14" s="208" t="s">
        <v>226</v>
      </c>
      <c r="D14" s="209">
        <f aca="true" t="shared" si="0" ref="D14:D34">SUM(E14:P14)</f>
        <v>-2823827</v>
      </c>
      <c r="E14" s="210"/>
      <c r="F14" s="210"/>
      <c r="G14" s="210">
        <f>G15</f>
        <v>-15269</v>
      </c>
      <c r="H14" s="210"/>
      <c r="I14" s="210"/>
      <c r="J14" s="210">
        <f aca="true" t="shared" si="1" ref="J14:M15">J15</f>
        <v>-125681</v>
      </c>
      <c r="K14" s="210"/>
      <c r="L14" s="210">
        <f t="shared" si="1"/>
        <v>-473157</v>
      </c>
      <c r="M14" s="210">
        <f t="shared" si="1"/>
        <v>-205970</v>
      </c>
      <c r="N14" s="210">
        <f aca="true" t="shared" si="2" ref="N14:P15">N15</f>
        <v>-21642</v>
      </c>
      <c r="O14" s="210">
        <f t="shared" si="2"/>
        <v>282979</v>
      </c>
      <c r="P14" s="210">
        <f t="shared" si="2"/>
        <v>-2265087</v>
      </c>
      <c r="Q14" s="211"/>
      <c r="R14" s="212"/>
      <c r="S14" s="212"/>
      <c r="T14" s="212"/>
      <c r="U14" s="212"/>
      <c r="V14" s="212"/>
      <c r="W14" s="213"/>
      <c r="X14" s="213"/>
      <c r="Y14" s="213"/>
      <c r="Z14" s="213"/>
    </row>
    <row r="15" spans="1:26" s="218" customFormat="1" ht="24" customHeight="1" thickBot="1" thickTop="1">
      <c r="A15" s="214"/>
      <c r="B15" s="214"/>
      <c r="C15" s="215" t="s">
        <v>639</v>
      </c>
      <c r="D15" s="209">
        <f t="shared" si="0"/>
        <v>-2823827</v>
      </c>
      <c r="E15" s="209"/>
      <c r="F15" s="209"/>
      <c r="G15" s="209">
        <f>G16</f>
        <v>-15269</v>
      </c>
      <c r="H15" s="209"/>
      <c r="I15" s="209"/>
      <c r="J15" s="209">
        <f t="shared" si="1"/>
        <v>-125681</v>
      </c>
      <c r="K15" s="209"/>
      <c r="L15" s="209">
        <f t="shared" si="1"/>
        <v>-473157</v>
      </c>
      <c r="M15" s="209">
        <f t="shared" si="1"/>
        <v>-205970</v>
      </c>
      <c r="N15" s="209">
        <f t="shared" si="2"/>
        <v>-21642</v>
      </c>
      <c r="O15" s="209">
        <f t="shared" si="2"/>
        <v>282979</v>
      </c>
      <c r="P15" s="209">
        <f t="shared" si="2"/>
        <v>-2265087</v>
      </c>
      <c r="Q15" s="216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16" ht="23.25" customHeight="1" thickTop="1">
      <c r="A16" s="219"/>
      <c r="B16" s="219"/>
      <c r="C16" s="220" t="s">
        <v>227</v>
      </c>
      <c r="D16" s="221">
        <f t="shared" si="0"/>
        <v>-2823827</v>
      </c>
      <c r="E16" s="221"/>
      <c r="F16" s="221"/>
      <c r="G16" s="221">
        <f>G17+G35</f>
        <v>-15269</v>
      </c>
      <c r="H16" s="221"/>
      <c r="I16" s="221"/>
      <c r="J16" s="221">
        <f>J17+J35</f>
        <v>-125681</v>
      </c>
      <c r="K16" s="221"/>
      <c r="L16" s="221">
        <f>L17+L35</f>
        <v>-473157</v>
      </c>
      <c r="M16" s="221">
        <f>M17+M35</f>
        <v>-205970</v>
      </c>
      <c r="N16" s="221">
        <f>N17+N35</f>
        <v>-21642</v>
      </c>
      <c r="O16" s="221">
        <f>O17+O35</f>
        <v>282979</v>
      </c>
      <c r="P16" s="221">
        <f>P17+P35</f>
        <v>-2265087</v>
      </c>
    </row>
    <row r="17" spans="1:16" ht="25.5" customHeight="1">
      <c r="A17" s="219"/>
      <c r="B17" s="219"/>
      <c r="C17" s="222" t="s">
        <v>222</v>
      </c>
      <c r="D17" s="223">
        <f t="shared" si="0"/>
        <v>-3235966</v>
      </c>
      <c r="E17" s="223"/>
      <c r="F17" s="223"/>
      <c r="G17" s="223"/>
      <c r="H17" s="223"/>
      <c r="I17" s="223"/>
      <c r="J17" s="223">
        <f>J18+J25</f>
        <v>-114344</v>
      </c>
      <c r="K17" s="223"/>
      <c r="L17" s="223">
        <f>L18+L25</f>
        <v>-473157</v>
      </c>
      <c r="M17" s="223">
        <f>M18+M25</f>
        <v>-205970</v>
      </c>
      <c r="N17" s="223">
        <f>N18+N25</f>
        <v>-17290</v>
      </c>
      <c r="O17" s="223">
        <f>O18+O25</f>
        <v>205295</v>
      </c>
      <c r="P17" s="223">
        <f>P18+P25</f>
        <v>-2630500</v>
      </c>
    </row>
    <row r="18" spans="1:16" s="48" customFormat="1" ht="39.75" customHeight="1" thickBot="1">
      <c r="A18" s="224"/>
      <c r="B18" s="224"/>
      <c r="C18" s="225" t="s">
        <v>216</v>
      </c>
      <c r="D18" s="226">
        <f t="shared" si="0"/>
        <v>-84104</v>
      </c>
      <c r="E18" s="226"/>
      <c r="F18" s="226"/>
      <c r="G18" s="226"/>
      <c r="H18" s="226"/>
      <c r="I18" s="226"/>
      <c r="J18" s="226">
        <f>J22+J19</f>
        <v>-114344</v>
      </c>
      <c r="K18" s="226"/>
      <c r="L18" s="226"/>
      <c r="M18" s="226"/>
      <c r="N18" s="226"/>
      <c r="O18" s="226">
        <f>O22+O19</f>
        <v>20240</v>
      </c>
      <c r="P18" s="226">
        <f>P22+P19</f>
        <v>10000</v>
      </c>
    </row>
    <row r="19" spans="1:16" s="4" customFormat="1" ht="21.75" customHeight="1" thickTop="1">
      <c r="A19" s="227">
        <v>801</v>
      </c>
      <c r="B19" s="227"/>
      <c r="C19" s="228" t="s">
        <v>647</v>
      </c>
      <c r="D19" s="41">
        <f t="shared" si="0"/>
        <v>20240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>
        <f>O21+O20</f>
        <v>20240</v>
      </c>
      <c r="P19" s="41"/>
    </row>
    <row r="20" spans="1:16" s="229" customFormat="1" ht="22.5" customHeight="1">
      <c r="A20" s="311"/>
      <c r="B20" s="312">
        <v>80101</v>
      </c>
      <c r="C20" s="98" t="s">
        <v>202</v>
      </c>
      <c r="D20" s="43">
        <f t="shared" si="0"/>
        <v>429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429</v>
      </c>
      <c r="P20" s="43"/>
    </row>
    <row r="21" spans="1:16" s="229" customFormat="1" ht="22.5" customHeight="1">
      <c r="A21" s="1207"/>
      <c r="B21" s="312">
        <v>80195</v>
      </c>
      <c r="C21" s="98" t="s">
        <v>646</v>
      </c>
      <c r="D21" s="43">
        <f t="shared" si="0"/>
        <v>19811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>
        <v>19811</v>
      </c>
      <c r="P21" s="43"/>
    </row>
    <row r="22" spans="1:16" s="4" customFormat="1" ht="21.75" customHeight="1">
      <c r="A22" s="1530">
        <v>852</v>
      </c>
      <c r="B22" s="227"/>
      <c r="C22" s="228" t="s">
        <v>648</v>
      </c>
      <c r="D22" s="41">
        <f t="shared" si="0"/>
        <v>-104344</v>
      </c>
      <c r="E22" s="41"/>
      <c r="F22" s="41"/>
      <c r="G22" s="41"/>
      <c r="H22" s="41"/>
      <c r="I22" s="41"/>
      <c r="J22" s="41">
        <f>SUM(J23:J24)</f>
        <v>-114344</v>
      </c>
      <c r="K22" s="41"/>
      <c r="L22" s="41"/>
      <c r="M22" s="41"/>
      <c r="N22" s="41"/>
      <c r="O22" s="41"/>
      <c r="P22" s="41">
        <f>SUM(P23:P24)</f>
        <v>10000</v>
      </c>
    </row>
    <row r="23" spans="1:16" s="229" customFormat="1" ht="30" customHeight="1">
      <c r="A23" s="1038"/>
      <c r="B23" s="312">
        <v>85214</v>
      </c>
      <c r="C23" s="98" t="s">
        <v>66</v>
      </c>
      <c r="D23" s="43">
        <f>SUM(E23:P23)</f>
        <v>-114344</v>
      </c>
      <c r="E23" s="43"/>
      <c r="F23" s="43"/>
      <c r="G23" s="43"/>
      <c r="H23" s="43"/>
      <c r="I23" s="43"/>
      <c r="J23" s="43">
        <v>-114344</v>
      </c>
      <c r="K23" s="43"/>
      <c r="L23" s="43"/>
      <c r="M23" s="43"/>
      <c r="N23" s="43"/>
      <c r="O23" s="43"/>
      <c r="P23" s="43"/>
    </row>
    <row r="24" spans="1:16" s="229" customFormat="1" ht="22.5" customHeight="1">
      <c r="A24" s="1038"/>
      <c r="B24" s="312">
        <v>85219</v>
      </c>
      <c r="C24" s="98" t="s">
        <v>813</v>
      </c>
      <c r="D24" s="43">
        <f t="shared" si="0"/>
        <v>10000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v>10000</v>
      </c>
    </row>
    <row r="25" spans="1:16" s="48" customFormat="1" ht="51" customHeight="1" thickBot="1">
      <c r="A25" s="224"/>
      <c r="B25" s="224"/>
      <c r="C25" s="225" t="s">
        <v>209</v>
      </c>
      <c r="D25" s="226">
        <f t="shared" si="0"/>
        <v>-3151862</v>
      </c>
      <c r="E25" s="226"/>
      <c r="F25" s="226"/>
      <c r="G25" s="226"/>
      <c r="H25" s="226"/>
      <c r="I25" s="226"/>
      <c r="J25" s="226"/>
      <c r="K25" s="226"/>
      <c r="L25" s="226">
        <f>L26+L30+L28</f>
        <v>-473157</v>
      </c>
      <c r="M25" s="226">
        <f>M26+M30+M28</f>
        <v>-205970</v>
      </c>
      <c r="N25" s="226">
        <f>N26+N30+N28</f>
        <v>-17290</v>
      </c>
      <c r="O25" s="226">
        <f>O26+O30+O28</f>
        <v>185055</v>
      </c>
      <c r="P25" s="226">
        <f>P26+P30</f>
        <v>-2640500</v>
      </c>
    </row>
    <row r="26" spans="1:16" s="4" customFormat="1" ht="21.75" customHeight="1" thickTop="1">
      <c r="A26" s="1220" t="s">
        <v>862</v>
      </c>
      <c r="B26" s="1220"/>
      <c r="C26" s="228" t="s">
        <v>863</v>
      </c>
      <c r="D26" s="41">
        <f t="shared" si="0"/>
        <v>4573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f>O27</f>
        <v>4573</v>
      </c>
      <c r="P26" s="41"/>
    </row>
    <row r="27" spans="1:16" s="229" customFormat="1" ht="22.5" customHeight="1">
      <c r="A27" s="1221"/>
      <c r="B27" s="1221" t="s">
        <v>896</v>
      </c>
      <c r="C27" s="98" t="s">
        <v>646</v>
      </c>
      <c r="D27" s="43">
        <f t="shared" si="0"/>
        <v>4573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>
        <v>4573</v>
      </c>
      <c r="P27" s="43"/>
    </row>
    <row r="28" spans="1:16" s="4" customFormat="1" ht="21.75" customHeight="1">
      <c r="A28" s="227">
        <v>851</v>
      </c>
      <c r="B28" s="227"/>
      <c r="C28" s="228" t="s">
        <v>650</v>
      </c>
      <c r="D28" s="41">
        <f t="shared" si="0"/>
        <v>3297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f>O29</f>
        <v>3297</v>
      </c>
      <c r="P28" s="41"/>
    </row>
    <row r="29" spans="1:16" s="229" customFormat="1" ht="25.5" customHeight="1">
      <c r="A29" s="312"/>
      <c r="B29" s="312">
        <v>85195</v>
      </c>
      <c r="C29" s="98" t="s">
        <v>646</v>
      </c>
      <c r="D29" s="43">
        <f t="shared" si="0"/>
        <v>3297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>
        <v>3297</v>
      </c>
      <c r="P29" s="43"/>
    </row>
    <row r="30" spans="1:16" s="4" customFormat="1" ht="21.75" customHeight="1">
      <c r="A30" s="227">
        <v>852</v>
      </c>
      <c r="B30" s="227"/>
      <c r="C30" s="228" t="s">
        <v>648</v>
      </c>
      <c r="D30" s="41">
        <f t="shared" si="0"/>
        <v>-3159732</v>
      </c>
      <c r="E30" s="41"/>
      <c r="F30" s="41"/>
      <c r="G30" s="41"/>
      <c r="H30" s="41"/>
      <c r="I30" s="41"/>
      <c r="J30" s="41"/>
      <c r="K30" s="41"/>
      <c r="L30" s="41">
        <f>SUM(L31:L34)</f>
        <v>-473157</v>
      </c>
      <c r="M30" s="41">
        <f>SUM(M31:M34)</f>
        <v>-205970</v>
      </c>
      <c r="N30" s="41">
        <f>SUM(N31:N34)</f>
        <v>-17290</v>
      </c>
      <c r="O30" s="41">
        <f>SUM(O31:O34)</f>
        <v>177185</v>
      </c>
      <c r="P30" s="41">
        <f>SUM(P31:P34)</f>
        <v>-2640500</v>
      </c>
    </row>
    <row r="31" spans="1:16" s="229" customFormat="1" ht="25.5" customHeight="1">
      <c r="A31" s="311"/>
      <c r="B31" s="312">
        <v>85203</v>
      </c>
      <c r="C31" s="98" t="s">
        <v>261</v>
      </c>
      <c r="D31" s="43">
        <f t="shared" si="0"/>
        <v>3000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v>3000</v>
      </c>
    </row>
    <row r="32" spans="1:16" s="229" customFormat="1" ht="48" customHeight="1">
      <c r="A32" s="1038"/>
      <c r="B32" s="312">
        <v>85212</v>
      </c>
      <c r="C32" s="98" t="s">
        <v>415</v>
      </c>
      <c r="D32" s="43">
        <f t="shared" si="0"/>
        <v>-2643500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>
        <v>-2643500</v>
      </c>
    </row>
    <row r="33" spans="1:16" s="229" customFormat="1" ht="25.5" customHeight="1">
      <c r="A33" s="1038"/>
      <c r="B33" s="312">
        <v>85214</v>
      </c>
      <c r="C33" s="98" t="s">
        <v>66</v>
      </c>
      <c r="D33" s="43">
        <f t="shared" si="0"/>
        <v>-700000</v>
      </c>
      <c r="E33" s="43"/>
      <c r="F33" s="43"/>
      <c r="G33" s="43"/>
      <c r="H33" s="43"/>
      <c r="I33" s="43"/>
      <c r="J33" s="43"/>
      <c r="K33" s="43"/>
      <c r="L33" s="43">
        <v>-473157</v>
      </c>
      <c r="M33" s="43">
        <v>-205970</v>
      </c>
      <c r="N33" s="43">
        <v>-17290</v>
      </c>
      <c r="O33" s="43">
        <v>-3583</v>
      </c>
      <c r="P33" s="43"/>
    </row>
    <row r="34" spans="1:16" s="229" customFormat="1" ht="25.5" customHeight="1">
      <c r="A34" s="1038"/>
      <c r="B34" s="312">
        <v>85278</v>
      </c>
      <c r="C34" s="98" t="s">
        <v>74</v>
      </c>
      <c r="D34" s="43">
        <f t="shared" si="0"/>
        <v>180768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>
        <v>180768</v>
      </c>
      <c r="P34" s="43"/>
    </row>
    <row r="35" spans="1:16" ht="19.5" customHeight="1">
      <c r="A35" s="219"/>
      <c r="B35" s="219"/>
      <c r="C35" s="222" t="s">
        <v>311</v>
      </c>
      <c r="D35" s="223">
        <f aca="true" t="shared" si="3" ref="D35:D58">SUM(E35:P35)</f>
        <v>412139</v>
      </c>
      <c r="E35" s="223"/>
      <c r="F35" s="223"/>
      <c r="G35" s="223">
        <f>G36+G46</f>
        <v>-15269</v>
      </c>
      <c r="H35" s="223"/>
      <c r="I35" s="223"/>
      <c r="J35" s="223">
        <f>J36+J46</f>
        <v>-11337</v>
      </c>
      <c r="K35" s="223"/>
      <c r="L35" s="223"/>
      <c r="M35" s="223"/>
      <c r="N35" s="223">
        <f>N36+N46</f>
        <v>-4352</v>
      </c>
      <c r="O35" s="223">
        <f>O36+O46</f>
        <v>77684</v>
      </c>
      <c r="P35" s="223">
        <f>P36+P46</f>
        <v>365413</v>
      </c>
    </row>
    <row r="36" spans="1:16" s="48" customFormat="1" ht="39.75" customHeight="1" thickBot="1">
      <c r="A36" s="224"/>
      <c r="B36" s="224"/>
      <c r="C36" s="225" t="s">
        <v>216</v>
      </c>
      <c r="D36" s="226">
        <f t="shared" si="3"/>
        <v>238692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>
        <f>O40+O37+O44</f>
        <v>42462</v>
      </c>
      <c r="P36" s="226">
        <f>P40+P37+P44</f>
        <v>196230</v>
      </c>
    </row>
    <row r="37" spans="1:16" s="4" customFormat="1" ht="21.75" customHeight="1" thickTop="1">
      <c r="A37" s="227">
        <v>801</v>
      </c>
      <c r="B37" s="227"/>
      <c r="C37" s="228" t="s">
        <v>647</v>
      </c>
      <c r="D37" s="41">
        <f t="shared" si="3"/>
        <v>16062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f>SUM(O38:O39)</f>
        <v>16062</v>
      </c>
      <c r="P37" s="41"/>
    </row>
    <row r="38" spans="1:16" s="229" customFormat="1" ht="22.5" customHeight="1">
      <c r="A38" s="311"/>
      <c r="B38" s="312">
        <v>80102</v>
      </c>
      <c r="C38" s="98" t="s">
        <v>271</v>
      </c>
      <c r="D38" s="43">
        <f t="shared" si="3"/>
        <v>1462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>
        <v>1462</v>
      </c>
      <c r="P38" s="43"/>
    </row>
    <row r="39" spans="1:16" s="229" customFormat="1" ht="22.5" customHeight="1">
      <c r="A39" s="1207"/>
      <c r="B39" s="312">
        <v>80195</v>
      </c>
      <c r="C39" s="98" t="s">
        <v>646</v>
      </c>
      <c r="D39" s="43">
        <f t="shared" si="3"/>
        <v>14600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>
        <f>3000+11600</f>
        <v>14600</v>
      </c>
      <c r="P39" s="43"/>
    </row>
    <row r="40" spans="1:16" s="4" customFormat="1" ht="22.5" customHeight="1">
      <c r="A40" s="227">
        <v>852</v>
      </c>
      <c r="B40" s="227"/>
      <c r="C40" s="40" t="s">
        <v>648</v>
      </c>
      <c r="D40" s="41">
        <f t="shared" si="3"/>
        <v>179430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>
        <f>SUM(P41:P43)</f>
        <v>179430</v>
      </c>
    </row>
    <row r="41" spans="1:16" s="229" customFormat="1" ht="22.5" customHeight="1">
      <c r="A41" s="312"/>
      <c r="B41" s="312">
        <v>85201</v>
      </c>
      <c r="C41" s="98" t="s">
        <v>911</v>
      </c>
      <c r="D41" s="43">
        <f t="shared" si="3"/>
        <v>77680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77680</v>
      </c>
    </row>
    <row r="42" spans="1:16" s="229" customFormat="1" ht="22.5" customHeight="1">
      <c r="A42" s="1038"/>
      <c r="B42" s="1207">
        <v>85202</v>
      </c>
      <c r="C42" s="318" t="s">
        <v>220</v>
      </c>
      <c r="D42" s="319">
        <f t="shared" si="3"/>
        <v>100000</v>
      </c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>
        <v>100000</v>
      </c>
    </row>
    <row r="43" spans="1:16" s="229" customFormat="1" ht="45" customHeight="1">
      <c r="A43" s="1207"/>
      <c r="B43" s="312">
        <v>85220</v>
      </c>
      <c r="C43" s="1208" t="s">
        <v>586</v>
      </c>
      <c r="D43" s="43">
        <f t="shared" si="3"/>
        <v>1750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1750</v>
      </c>
    </row>
    <row r="44" spans="1:16" s="4" customFormat="1" ht="21.75" customHeight="1">
      <c r="A44" s="227">
        <v>854</v>
      </c>
      <c r="B44" s="227"/>
      <c r="C44" s="228" t="s">
        <v>649</v>
      </c>
      <c r="D44" s="41">
        <f t="shared" si="3"/>
        <v>43200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>
        <f>O45</f>
        <v>26400</v>
      </c>
      <c r="P44" s="41">
        <f>P45</f>
        <v>16800</v>
      </c>
    </row>
    <row r="45" spans="1:16" s="229" customFormat="1" ht="22.5" customHeight="1">
      <c r="A45" s="311"/>
      <c r="B45" s="312">
        <v>85415</v>
      </c>
      <c r="C45" s="98" t="s">
        <v>201</v>
      </c>
      <c r="D45" s="43">
        <f t="shared" si="3"/>
        <v>43200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>
        <v>26400</v>
      </c>
      <c r="P45" s="43">
        <v>16800</v>
      </c>
    </row>
    <row r="46" spans="1:16" s="48" customFormat="1" ht="46.5" customHeight="1" thickBot="1">
      <c r="A46" s="224"/>
      <c r="B46" s="224"/>
      <c r="C46" s="225" t="s">
        <v>356</v>
      </c>
      <c r="D46" s="226">
        <f t="shared" si="3"/>
        <v>173447</v>
      </c>
      <c r="E46" s="226"/>
      <c r="F46" s="226"/>
      <c r="G46" s="226">
        <f>G50+G53+G57+G47</f>
        <v>-15269</v>
      </c>
      <c r="H46" s="226"/>
      <c r="I46" s="226"/>
      <c r="J46" s="226">
        <f>J50+J53+J57+J47</f>
        <v>-11337</v>
      </c>
      <c r="K46" s="226"/>
      <c r="L46" s="226"/>
      <c r="M46" s="226"/>
      <c r="N46" s="226">
        <f>N50+N53+N57+N47+N55</f>
        <v>-4352</v>
      </c>
      <c r="O46" s="226">
        <f>O50+O53+O57+O47+O55</f>
        <v>35222</v>
      </c>
      <c r="P46" s="226">
        <f>P50+P53+P57+P47+P55</f>
        <v>169183</v>
      </c>
    </row>
    <row r="47" spans="1:16" s="4" customFormat="1" ht="21.75" customHeight="1" thickTop="1">
      <c r="A47" s="227">
        <v>710</v>
      </c>
      <c r="B47" s="227"/>
      <c r="C47" s="40" t="s">
        <v>258</v>
      </c>
      <c r="D47" s="41">
        <f t="shared" si="3"/>
        <v>3000</v>
      </c>
      <c r="E47" s="41"/>
      <c r="F47" s="41"/>
      <c r="G47" s="41"/>
      <c r="H47" s="41"/>
      <c r="I47" s="41"/>
      <c r="J47" s="41">
        <f>SUM(J48:J49)</f>
        <v>-11337</v>
      </c>
      <c r="K47" s="41"/>
      <c r="L47" s="41"/>
      <c r="M47" s="41"/>
      <c r="N47" s="41"/>
      <c r="O47" s="41"/>
      <c r="P47" s="41">
        <f>P48</f>
        <v>14337</v>
      </c>
    </row>
    <row r="48" spans="1:16" s="229" customFormat="1" ht="22.5" customHeight="1">
      <c r="A48" s="311"/>
      <c r="B48" s="219">
        <v>71015</v>
      </c>
      <c r="C48" s="436" t="s">
        <v>79</v>
      </c>
      <c r="D48" s="43">
        <f t="shared" si="3"/>
        <v>14337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>
        <v>14337</v>
      </c>
    </row>
    <row r="49" spans="1:16" s="229" customFormat="1" ht="22.5" customHeight="1">
      <c r="A49" s="1207"/>
      <c r="B49" s="941">
        <v>71095</v>
      </c>
      <c r="C49" s="335" t="s">
        <v>646</v>
      </c>
      <c r="D49" s="43">
        <f t="shared" si="3"/>
        <v>-11337</v>
      </c>
      <c r="E49" s="43"/>
      <c r="F49" s="43"/>
      <c r="G49" s="43"/>
      <c r="H49" s="43"/>
      <c r="I49" s="43"/>
      <c r="J49" s="43">
        <v>-11337</v>
      </c>
      <c r="K49" s="43"/>
      <c r="L49" s="43"/>
      <c r="M49" s="43"/>
      <c r="N49" s="43"/>
      <c r="O49" s="43"/>
      <c r="P49" s="43"/>
    </row>
    <row r="50" spans="1:16" s="4" customFormat="1" ht="21.75" customHeight="1">
      <c r="A50" s="227">
        <v>750</v>
      </c>
      <c r="B50" s="227"/>
      <c r="C50" s="40" t="s">
        <v>651</v>
      </c>
      <c r="D50" s="41">
        <f t="shared" si="3"/>
        <v>0</v>
      </c>
      <c r="E50" s="41"/>
      <c r="F50" s="41"/>
      <c r="G50" s="41">
        <f>G52</f>
        <v>-15269</v>
      </c>
      <c r="H50" s="41"/>
      <c r="I50" s="41"/>
      <c r="J50" s="41"/>
      <c r="K50" s="41"/>
      <c r="L50" s="41"/>
      <c r="M50" s="41"/>
      <c r="N50" s="41"/>
      <c r="O50" s="41">
        <f>O51+O52</f>
        <v>15269</v>
      </c>
      <c r="P50" s="41"/>
    </row>
    <row r="51" spans="1:16" s="229" customFormat="1" ht="22.5" customHeight="1">
      <c r="A51" s="311"/>
      <c r="B51" s="1005">
        <v>75011</v>
      </c>
      <c r="C51" s="1006" t="s">
        <v>77</v>
      </c>
      <c r="D51" s="43">
        <f t="shared" si="3"/>
        <v>15269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>
        <v>15269</v>
      </c>
      <c r="P51" s="43"/>
    </row>
    <row r="52" spans="1:16" s="229" customFormat="1" ht="22.5" customHeight="1">
      <c r="A52" s="1207"/>
      <c r="B52" s="1005">
        <v>75045</v>
      </c>
      <c r="C52" s="1006" t="s">
        <v>886</v>
      </c>
      <c r="D52" s="43">
        <f t="shared" si="3"/>
        <v>-15269</v>
      </c>
      <c r="E52" s="43"/>
      <c r="F52" s="43"/>
      <c r="G52" s="43">
        <v>-15269</v>
      </c>
      <c r="H52" s="43"/>
      <c r="I52" s="43"/>
      <c r="J52" s="43"/>
      <c r="K52" s="43"/>
      <c r="L52" s="43"/>
      <c r="M52" s="43"/>
      <c r="N52" s="43"/>
      <c r="O52" s="43"/>
      <c r="P52" s="43"/>
    </row>
    <row r="53" spans="1:16" s="4" customFormat="1" ht="28.5" customHeight="1">
      <c r="A53" s="227">
        <v>754</v>
      </c>
      <c r="B53" s="227"/>
      <c r="C53" s="228" t="s">
        <v>641</v>
      </c>
      <c r="D53" s="41">
        <f t="shared" si="3"/>
        <v>21200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>
        <f>P54</f>
        <v>21200</v>
      </c>
    </row>
    <row r="54" spans="1:16" s="229" customFormat="1" ht="34.5" customHeight="1">
      <c r="A54" s="312"/>
      <c r="B54" s="312">
        <v>75411</v>
      </c>
      <c r="C54" s="98" t="s">
        <v>806</v>
      </c>
      <c r="D54" s="43">
        <f t="shared" si="3"/>
        <v>21200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>
        <v>21200</v>
      </c>
    </row>
    <row r="55" spans="1:16" s="4" customFormat="1" ht="21.75" customHeight="1">
      <c r="A55" s="227">
        <v>851</v>
      </c>
      <c r="B55" s="227"/>
      <c r="C55" s="40" t="s">
        <v>650</v>
      </c>
      <c r="D55" s="41">
        <f t="shared" si="3"/>
        <v>120000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>
        <f>P56</f>
        <v>120000</v>
      </c>
    </row>
    <row r="56" spans="1:16" s="229" customFormat="1" ht="22.5" customHeight="1">
      <c r="A56" s="312"/>
      <c r="B56" s="1005">
        <v>85141</v>
      </c>
      <c r="C56" s="1006" t="s">
        <v>891</v>
      </c>
      <c r="D56" s="43">
        <f t="shared" si="3"/>
        <v>120000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v>120000</v>
      </c>
    </row>
    <row r="57" spans="1:16" s="4" customFormat="1" ht="31.5">
      <c r="A57" s="227">
        <v>853</v>
      </c>
      <c r="B57" s="227"/>
      <c r="C57" s="40" t="s">
        <v>691</v>
      </c>
      <c r="D57" s="41">
        <f t="shared" si="3"/>
        <v>29247</v>
      </c>
      <c r="E57" s="41"/>
      <c r="F57" s="41"/>
      <c r="G57" s="41"/>
      <c r="H57" s="41"/>
      <c r="I57" s="41"/>
      <c r="J57" s="41"/>
      <c r="K57" s="41"/>
      <c r="L57" s="41"/>
      <c r="M57" s="41"/>
      <c r="N57" s="41">
        <f>N58</f>
        <v>-4352</v>
      </c>
      <c r="O57" s="41">
        <f>O58</f>
        <v>19953</v>
      </c>
      <c r="P57" s="41">
        <f>P58</f>
        <v>13646</v>
      </c>
    </row>
    <row r="58" spans="1:16" s="229" customFormat="1" ht="22.5" customHeight="1">
      <c r="A58" s="312"/>
      <c r="B58" s="312">
        <v>85334</v>
      </c>
      <c r="C58" s="334" t="s">
        <v>908</v>
      </c>
      <c r="D58" s="43">
        <f t="shared" si="3"/>
        <v>29247</v>
      </c>
      <c r="E58" s="43"/>
      <c r="F58" s="43"/>
      <c r="G58" s="43"/>
      <c r="H58" s="43"/>
      <c r="I58" s="43"/>
      <c r="J58" s="43"/>
      <c r="K58" s="43"/>
      <c r="L58" s="43"/>
      <c r="M58" s="43"/>
      <c r="N58" s="43">
        <v>-4352</v>
      </c>
      <c r="O58" s="43">
        <v>19953</v>
      </c>
      <c r="P58" s="43">
        <v>13646</v>
      </c>
    </row>
    <row r="59" ht="39.75" customHeight="1"/>
    <row r="60" ht="30" customHeight="1"/>
    <row r="61" spans="3:15" ht="23.25">
      <c r="C61" s="572" t="s">
        <v>446</v>
      </c>
      <c r="D61" s="22"/>
      <c r="M61" s="572" t="s">
        <v>447</v>
      </c>
      <c r="N61" s="572"/>
      <c r="O61" s="1698"/>
    </row>
    <row r="62" spans="3:15" ht="23.25">
      <c r="C62" s="1636" t="s">
        <v>228</v>
      </c>
      <c r="D62" s="22"/>
      <c r="M62" s="1646" t="s">
        <v>448</v>
      </c>
      <c r="N62" s="572"/>
      <c r="O62" s="1698"/>
    </row>
    <row r="63" ht="15">
      <c r="D63" s="2"/>
    </row>
    <row r="66" ht="15">
      <c r="D66" s="2"/>
    </row>
  </sheetData>
  <mergeCells count="1">
    <mergeCell ref="E11:P11"/>
  </mergeCells>
  <printOptions horizontalCentered="1"/>
  <pageMargins left="0.3937007874015748" right="0.3937007874015748" top="0.34" bottom="0.4724409448818898" header="0.19" footer="0.3937007874015748"/>
  <pageSetup firstPageNumber="87" useFirstPageNumber="1" horizontalDpi="300" verticalDpi="3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6"/>
  <dimension ref="A1:S538"/>
  <sheetViews>
    <sheetView zoomScale="68" zoomScaleNormal="68" zoomScaleSheetLayoutView="75" workbookViewId="0" topLeftCell="A8">
      <pane ySplit="1215" topLeftCell="BM277" activePane="bottomLeft" state="split"/>
      <selection pane="topLeft" activeCell="E10" sqref="E10:P10"/>
      <selection pane="bottomLeft" activeCell="F293" sqref="F293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47.875" style="1" customWidth="1"/>
    <col min="4" max="4" width="17.75390625" style="2" customWidth="1"/>
    <col min="5" max="16" width="14.375" style="2" customWidth="1"/>
    <col min="17" max="17" width="14.75390625" style="513" bestFit="1" customWidth="1"/>
    <col min="18" max="16384" width="9.125" style="1" customWidth="1"/>
  </cols>
  <sheetData>
    <row r="1" ht="19.5" customHeight="1">
      <c r="N1" s="2" t="s">
        <v>714</v>
      </c>
    </row>
    <row r="2" ht="19.5" customHeight="1">
      <c r="N2" s="1" t="s">
        <v>14</v>
      </c>
    </row>
    <row r="3" spans="3:14" ht="19.5" customHeight="1">
      <c r="C3" s="3" t="s">
        <v>604</v>
      </c>
      <c r="N3" s="1" t="s">
        <v>605</v>
      </c>
    </row>
    <row r="4" spans="3:14" ht="19.5" customHeight="1">
      <c r="C4" s="4"/>
      <c r="N4" s="1" t="s">
        <v>15</v>
      </c>
    </row>
    <row r="5" ht="18">
      <c r="C5" s="4"/>
    </row>
    <row r="6" spans="8:16" ht="18.75" thickBot="1">
      <c r="H6" s="5"/>
      <c r="P6" s="2" t="s">
        <v>606</v>
      </c>
    </row>
    <row r="7" spans="1:16" ht="19.5" customHeight="1" thickTop="1">
      <c r="A7" s="6"/>
      <c r="B7" s="6"/>
      <c r="C7" s="7" t="s">
        <v>607</v>
      </c>
      <c r="D7" s="8" t="s">
        <v>684</v>
      </c>
      <c r="E7" s="9"/>
      <c r="F7" s="10" t="s">
        <v>609</v>
      </c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3.25" customHeight="1" thickBot="1">
      <c r="A8" s="12" t="s">
        <v>610</v>
      </c>
      <c r="B8" s="12" t="s">
        <v>611</v>
      </c>
      <c r="C8" s="13" t="s">
        <v>612</v>
      </c>
      <c r="D8" s="14" t="s">
        <v>94</v>
      </c>
      <c r="E8" s="15" t="s">
        <v>613</v>
      </c>
      <c r="F8" s="15" t="s">
        <v>614</v>
      </c>
      <c r="G8" s="15" t="s">
        <v>615</v>
      </c>
      <c r="H8" s="15" t="s">
        <v>616</v>
      </c>
      <c r="I8" s="15" t="s">
        <v>617</v>
      </c>
      <c r="J8" s="15" t="s">
        <v>618</v>
      </c>
      <c r="K8" s="15" t="s">
        <v>619</v>
      </c>
      <c r="L8" s="611" t="s">
        <v>620</v>
      </c>
      <c r="M8" s="611" t="s">
        <v>621</v>
      </c>
      <c r="N8" s="15" t="s">
        <v>622</v>
      </c>
      <c r="O8" s="15" t="s">
        <v>623</v>
      </c>
      <c r="P8" s="15" t="s">
        <v>624</v>
      </c>
    </row>
    <row r="9" spans="1:17" s="18" customFormat="1" ht="14.25" customHeight="1" thickBot="1" thickTop="1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513"/>
    </row>
    <row r="10" spans="1:19" s="22" customFormat="1" ht="24.75" customHeight="1" thickBot="1" thickTop="1">
      <c r="A10" s="19"/>
      <c r="B10" s="19"/>
      <c r="C10" s="20" t="s">
        <v>625</v>
      </c>
      <c r="D10" s="21">
        <f>SUM(E10:P10)</f>
        <v>-2823827</v>
      </c>
      <c r="E10" s="21">
        <f aca="true" t="shared" si="0" ref="E10:P10">E12+E144+E151+E155+E159+E168+E176+E187+E195+E219+E237+E172+E226+E232+E180+E191+E164</f>
        <v>-1600</v>
      </c>
      <c r="F10" s="21">
        <f t="shared" si="0"/>
        <v>-19421</v>
      </c>
      <c r="G10" s="21">
        <f t="shared" si="0"/>
        <v>-9048</v>
      </c>
      <c r="H10" s="21">
        <f t="shared" si="0"/>
        <v>-146898</v>
      </c>
      <c r="I10" s="21">
        <f t="shared" si="0"/>
        <v>-89365</v>
      </c>
      <c r="J10" s="21">
        <f t="shared" si="0"/>
        <v>-123957</v>
      </c>
      <c r="K10" s="21">
        <f t="shared" si="0"/>
        <v>-203550</v>
      </c>
      <c r="L10" s="21">
        <f t="shared" si="0"/>
        <v>-227411</v>
      </c>
      <c r="M10" s="21">
        <f t="shared" si="0"/>
        <v>-2541118</v>
      </c>
      <c r="N10" s="21">
        <f t="shared" si="0"/>
        <v>-52477582</v>
      </c>
      <c r="O10" s="21">
        <f t="shared" si="0"/>
        <v>47663269</v>
      </c>
      <c r="P10" s="21">
        <f t="shared" si="0"/>
        <v>5352854</v>
      </c>
      <c r="Q10" s="514"/>
      <c r="R10" s="47"/>
      <c r="S10" s="47"/>
    </row>
    <row r="11" spans="1:17" s="22" customFormat="1" ht="12.75" customHeight="1">
      <c r="A11" s="23"/>
      <c r="B11" s="23"/>
      <c r="C11" s="24" t="s">
        <v>626</v>
      </c>
      <c r="D11" s="2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6"/>
      <c r="Q11" s="513"/>
    </row>
    <row r="12" spans="1:17" s="22" customFormat="1" ht="24" customHeight="1">
      <c r="A12" s="23"/>
      <c r="B12" s="23"/>
      <c r="C12" s="27" t="s">
        <v>639</v>
      </c>
      <c r="D12" s="28">
        <f>SUM(E12:P12)</f>
        <v>-2965545</v>
      </c>
      <c r="E12" s="29">
        <f aca="true" t="shared" si="1" ref="E12:O12">E13+E28+E42+E46+E65+E92+E107+E140+E88+E24</f>
        <v>-1600</v>
      </c>
      <c r="F12" s="29">
        <f t="shared" si="1"/>
        <v>-19421</v>
      </c>
      <c r="G12" s="29">
        <f t="shared" si="1"/>
        <v>-9048</v>
      </c>
      <c r="H12" s="29">
        <f t="shared" si="1"/>
        <v>-13600</v>
      </c>
      <c r="I12" s="29">
        <f t="shared" si="1"/>
        <v>-2060</v>
      </c>
      <c r="J12" s="29">
        <f t="shared" si="1"/>
        <v>-4824</v>
      </c>
      <c r="K12" s="29">
        <f t="shared" si="1"/>
        <v>-42330</v>
      </c>
      <c r="L12" s="29">
        <f t="shared" si="1"/>
        <v>-73600</v>
      </c>
      <c r="M12" s="29">
        <f t="shared" si="1"/>
        <v>-394684</v>
      </c>
      <c r="N12" s="29">
        <f t="shared" si="1"/>
        <v>-37161621</v>
      </c>
      <c r="O12" s="29">
        <f t="shared" si="1"/>
        <v>32323023</v>
      </c>
      <c r="P12" s="29">
        <f>P13+P28+P42+P46+P65+P92+P107+P140+P88+P24</f>
        <v>2434220</v>
      </c>
      <c r="Q12" s="513"/>
    </row>
    <row r="13" spans="1:18" s="33" customFormat="1" ht="21.75" customHeight="1">
      <c r="A13" s="30"/>
      <c r="B13" s="30"/>
      <c r="C13" s="31" t="s">
        <v>227</v>
      </c>
      <c r="D13" s="32">
        <f aca="true" t="shared" si="2" ref="D13:D121">SUM(E13:P13)</f>
        <v>-1277295</v>
      </c>
      <c r="E13" s="32"/>
      <c r="F13" s="32"/>
      <c r="G13" s="32"/>
      <c r="H13" s="32"/>
      <c r="I13" s="32"/>
      <c r="J13" s="32"/>
      <c r="K13" s="32"/>
      <c r="L13" s="32"/>
      <c r="M13" s="32"/>
      <c r="N13" s="32">
        <f>N14+N21</f>
        <v>-1082962</v>
      </c>
      <c r="O13" s="32">
        <f>O14+O21</f>
        <v>-202333</v>
      </c>
      <c r="P13" s="32">
        <f>P14+P21</f>
        <v>8000</v>
      </c>
      <c r="Q13" s="515"/>
      <c r="R13" s="34"/>
    </row>
    <row r="14" spans="1:17" s="22" customFormat="1" ht="21.75" customHeight="1" thickBot="1">
      <c r="A14" s="35"/>
      <c r="B14" s="35"/>
      <c r="C14" s="36" t="s">
        <v>640</v>
      </c>
      <c r="D14" s="37">
        <f t="shared" si="2"/>
        <v>-1281868</v>
      </c>
      <c r="E14" s="37"/>
      <c r="F14" s="37"/>
      <c r="G14" s="37"/>
      <c r="H14" s="37"/>
      <c r="I14" s="37"/>
      <c r="J14" s="37"/>
      <c r="K14" s="37"/>
      <c r="L14" s="37"/>
      <c r="M14" s="37"/>
      <c r="N14" s="37">
        <f>N17+N15</f>
        <v>-1082962</v>
      </c>
      <c r="O14" s="37">
        <f>O17+O15</f>
        <v>-206906</v>
      </c>
      <c r="P14" s="37">
        <f>P17+P15+P19</f>
        <v>8000</v>
      </c>
      <c r="Q14" s="513"/>
    </row>
    <row r="15" spans="1:17" s="22" customFormat="1" ht="21.75" customHeight="1" thickTop="1">
      <c r="A15" s="947" t="s">
        <v>862</v>
      </c>
      <c r="B15" s="948"/>
      <c r="C15" s="949" t="s">
        <v>863</v>
      </c>
      <c r="D15" s="41">
        <f t="shared" si="2"/>
        <v>3000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f>P16</f>
        <v>3000</v>
      </c>
      <c r="Q15" s="513"/>
    </row>
    <row r="16" spans="1:17" s="99" customFormat="1" ht="21.75" customHeight="1">
      <c r="A16" s="950"/>
      <c r="B16" s="951" t="s">
        <v>864</v>
      </c>
      <c r="C16" s="952" t="s">
        <v>868</v>
      </c>
      <c r="D16" s="43">
        <f t="shared" si="2"/>
        <v>3000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v>3000</v>
      </c>
      <c r="Q16" s="516"/>
    </row>
    <row r="17" spans="1:17" s="22" customFormat="1" ht="21.75" customHeight="1">
      <c r="A17" s="38">
        <v>758</v>
      </c>
      <c r="B17" s="39"/>
      <c r="C17" s="40" t="s">
        <v>642</v>
      </c>
      <c r="D17" s="41">
        <f t="shared" si="2"/>
        <v>-1289868</v>
      </c>
      <c r="E17" s="41"/>
      <c r="F17" s="41"/>
      <c r="G17" s="41"/>
      <c r="H17" s="41"/>
      <c r="I17" s="41"/>
      <c r="J17" s="41"/>
      <c r="K17" s="41"/>
      <c r="L17" s="41"/>
      <c r="M17" s="41"/>
      <c r="N17" s="41">
        <f>N18</f>
        <v>-1082962</v>
      </c>
      <c r="O17" s="41">
        <f>O18</f>
        <v>-206906</v>
      </c>
      <c r="P17" s="41"/>
      <c r="Q17" s="513"/>
    </row>
    <row r="18" spans="1:17" s="99" customFormat="1" ht="21.75" customHeight="1">
      <c r="A18" s="42"/>
      <c r="B18" s="312">
        <v>75818</v>
      </c>
      <c r="C18" s="98" t="s">
        <v>643</v>
      </c>
      <c r="D18" s="43">
        <f t="shared" si="2"/>
        <v>-1289868</v>
      </c>
      <c r="E18" s="43"/>
      <c r="F18" s="43"/>
      <c r="G18" s="43"/>
      <c r="H18" s="43"/>
      <c r="I18" s="43"/>
      <c r="J18" s="43"/>
      <c r="K18" s="43"/>
      <c r="L18" s="43"/>
      <c r="M18" s="43"/>
      <c r="N18" s="43">
        <v>-1082962</v>
      </c>
      <c r="O18" s="43">
        <v>-206906</v>
      </c>
      <c r="P18" s="43"/>
      <c r="Q18" s="516"/>
    </row>
    <row r="19" spans="1:17" s="22" customFormat="1" ht="21.75" customHeight="1">
      <c r="A19" s="38">
        <v>852</v>
      </c>
      <c r="B19" s="39"/>
      <c r="C19" s="40" t="s">
        <v>648</v>
      </c>
      <c r="D19" s="41">
        <f t="shared" si="2"/>
        <v>5000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>
        <f>P20</f>
        <v>5000</v>
      </c>
      <c r="Q19" s="513"/>
    </row>
    <row r="20" spans="1:17" s="99" customFormat="1" ht="21.75" customHeight="1">
      <c r="A20" s="42"/>
      <c r="B20" s="312">
        <v>85204</v>
      </c>
      <c r="C20" s="98" t="s">
        <v>76</v>
      </c>
      <c r="D20" s="43">
        <f t="shared" si="2"/>
        <v>5000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>
        <v>5000</v>
      </c>
      <c r="Q20" s="516"/>
    </row>
    <row r="21" spans="1:17" s="22" customFormat="1" ht="33.75" customHeight="1" thickBot="1">
      <c r="A21" s="35"/>
      <c r="B21" s="35"/>
      <c r="C21" s="36" t="s">
        <v>677</v>
      </c>
      <c r="D21" s="37">
        <f aca="true" t="shared" si="3" ref="D21:D27">SUM(E21:P21)</f>
        <v>4573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>O22</f>
        <v>4573</v>
      </c>
      <c r="P21" s="37"/>
      <c r="Q21" s="513"/>
    </row>
    <row r="22" spans="1:17" s="22" customFormat="1" ht="21.75" customHeight="1" thickTop="1">
      <c r="A22" s="947" t="s">
        <v>862</v>
      </c>
      <c r="B22" s="948"/>
      <c r="C22" s="949" t="s">
        <v>863</v>
      </c>
      <c r="D22" s="41">
        <f t="shared" si="3"/>
        <v>4573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f>O23</f>
        <v>4573</v>
      </c>
      <c r="P22" s="41"/>
      <c r="Q22" s="513"/>
    </row>
    <row r="23" spans="1:17" s="99" customFormat="1" ht="21.75" customHeight="1">
      <c r="A23" s="137"/>
      <c r="B23" s="951" t="s">
        <v>896</v>
      </c>
      <c r="C23" s="952" t="s">
        <v>646</v>
      </c>
      <c r="D23" s="43">
        <f t="shared" si="3"/>
        <v>4573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>
        <v>4573</v>
      </c>
      <c r="P23" s="43"/>
      <c r="Q23" s="516"/>
    </row>
    <row r="24" spans="1:18" s="33" customFormat="1" ht="21.75" customHeight="1">
      <c r="A24" s="30"/>
      <c r="B24" s="30"/>
      <c r="C24" s="31" t="s">
        <v>84</v>
      </c>
      <c r="D24" s="32">
        <f t="shared" si="3"/>
        <v>432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f>O25</f>
        <v>432</v>
      </c>
      <c r="P24" s="32"/>
      <c r="Q24" s="515"/>
      <c r="R24" s="34"/>
    </row>
    <row r="25" spans="1:17" s="22" customFormat="1" ht="21.75" customHeight="1" thickBot="1">
      <c r="A25" s="35"/>
      <c r="B25" s="35"/>
      <c r="C25" s="36" t="s">
        <v>662</v>
      </c>
      <c r="D25" s="37">
        <f t="shared" si="3"/>
        <v>432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f>O26</f>
        <v>432</v>
      </c>
      <c r="P25" s="37"/>
      <c r="Q25" s="513"/>
    </row>
    <row r="26" spans="1:17" s="22" customFormat="1" ht="21.75" customHeight="1" thickTop="1">
      <c r="A26" s="947" t="s">
        <v>627</v>
      </c>
      <c r="B26" s="948"/>
      <c r="C26" s="949" t="s">
        <v>642</v>
      </c>
      <c r="D26" s="41">
        <f t="shared" si="3"/>
        <v>432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f>O27</f>
        <v>432</v>
      </c>
      <c r="P26" s="41"/>
      <c r="Q26" s="513"/>
    </row>
    <row r="27" spans="1:17" s="99" customFormat="1" ht="21.75" customHeight="1">
      <c r="A27" s="137"/>
      <c r="B27" s="951" t="s">
        <v>628</v>
      </c>
      <c r="C27" s="952" t="s">
        <v>819</v>
      </c>
      <c r="D27" s="43">
        <f t="shared" si="3"/>
        <v>432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>
        <v>432</v>
      </c>
      <c r="P27" s="43"/>
      <c r="Q27" s="516"/>
    </row>
    <row r="28" spans="1:18" s="33" customFormat="1" ht="21.75" customHeight="1">
      <c r="A28" s="30"/>
      <c r="B28" s="30"/>
      <c r="C28" s="31" t="s">
        <v>629</v>
      </c>
      <c r="D28" s="32">
        <f aca="true" t="shared" si="4" ref="D28:D38">SUM(E28:P28)</f>
        <v>26000</v>
      </c>
      <c r="E28" s="32"/>
      <c r="F28" s="32"/>
      <c r="G28" s="32"/>
      <c r="H28" s="32">
        <f>H29</f>
        <v>-12000</v>
      </c>
      <c r="I28" s="32"/>
      <c r="J28" s="32"/>
      <c r="K28" s="32"/>
      <c r="L28" s="32">
        <f>L29</f>
        <v>-71000</v>
      </c>
      <c r="M28" s="32"/>
      <c r="N28" s="32"/>
      <c r="O28" s="32">
        <f>O29</f>
        <v>-100000</v>
      </c>
      <c r="P28" s="32">
        <f>P29</f>
        <v>209000</v>
      </c>
      <c r="Q28" s="515"/>
      <c r="R28" s="34"/>
    </row>
    <row r="29" spans="1:17" s="22" customFormat="1" ht="21.75" customHeight="1" thickBot="1">
      <c r="A29" s="35"/>
      <c r="B29" s="35"/>
      <c r="C29" s="36" t="s">
        <v>640</v>
      </c>
      <c r="D29" s="37">
        <f t="shared" si="4"/>
        <v>26000</v>
      </c>
      <c r="E29" s="37"/>
      <c r="F29" s="37"/>
      <c r="G29" s="37"/>
      <c r="H29" s="37">
        <f>H33+H30+H35</f>
        <v>-12000</v>
      </c>
      <c r="I29" s="37"/>
      <c r="J29" s="37"/>
      <c r="K29" s="37"/>
      <c r="L29" s="37">
        <f>L33+L30+L35</f>
        <v>-71000</v>
      </c>
      <c r="M29" s="37"/>
      <c r="N29" s="37"/>
      <c r="O29" s="37">
        <f>O33+O30+O35</f>
        <v>-100000</v>
      </c>
      <c r="P29" s="37">
        <f>P33+P30+P35</f>
        <v>209000</v>
      </c>
      <c r="Q29" s="513"/>
    </row>
    <row r="30" spans="1:17" s="22" customFormat="1" ht="21.75" customHeight="1" thickTop="1">
      <c r="A30" s="38">
        <v>600</v>
      </c>
      <c r="B30" s="39"/>
      <c r="C30" s="40" t="s">
        <v>644</v>
      </c>
      <c r="D30" s="41">
        <f t="shared" si="4"/>
        <v>0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>
        <f>SUM(P31:P32)</f>
        <v>0</v>
      </c>
      <c r="Q30" s="513"/>
    </row>
    <row r="31" spans="1:17" s="99" customFormat="1" ht="21.75" customHeight="1">
      <c r="A31" s="42"/>
      <c r="B31" s="312">
        <v>60015</v>
      </c>
      <c r="C31" s="98" t="s">
        <v>208</v>
      </c>
      <c r="D31" s="43">
        <f t="shared" si="4"/>
        <v>-291510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v>-291510</v>
      </c>
      <c r="Q31" s="516"/>
    </row>
    <row r="32" spans="1:17" s="99" customFormat="1" ht="21.75" customHeight="1">
      <c r="A32" s="42"/>
      <c r="B32" s="312">
        <v>60016</v>
      </c>
      <c r="C32" s="98" t="s">
        <v>257</v>
      </c>
      <c r="D32" s="43">
        <f t="shared" si="4"/>
        <v>291510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>
        <v>291510</v>
      </c>
      <c r="Q32" s="516"/>
    </row>
    <row r="33" spans="1:17" s="22" customFormat="1" ht="21.75" customHeight="1">
      <c r="A33" s="38">
        <v>710</v>
      </c>
      <c r="B33" s="39"/>
      <c r="C33" s="40" t="s">
        <v>258</v>
      </c>
      <c r="D33" s="41">
        <f t="shared" si="4"/>
        <v>26000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>
        <f>P34</f>
        <v>26000</v>
      </c>
      <c r="Q33" s="513"/>
    </row>
    <row r="34" spans="1:17" s="99" customFormat="1" ht="21.75" customHeight="1">
      <c r="A34" s="42"/>
      <c r="B34" s="312">
        <v>71035</v>
      </c>
      <c r="C34" s="98" t="s">
        <v>600</v>
      </c>
      <c r="D34" s="43">
        <f t="shared" si="4"/>
        <v>26000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v>26000</v>
      </c>
      <c r="Q34" s="516"/>
    </row>
    <row r="35" spans="1:17" s="22" customFormat="1" ht="29.25" customHeight="1">
      <c r="A35" s="38">
        <v>900</v>
      </c>
      <c r="B35" s="39"/>
      <c r="C35" s="40" t="s">
        <v>801</v>
      </c>
      <c r="D35" s="41">
        <f t="shared" si="4"/>
        <v>0</v>
      </c>
      <c r="E35" s="41"/>
      <c r="F35" s="41"/>
      <c r="G35" s="41"/>
      <c r="H35" s="41">
        <f>SUM(H36:H38)</f>
        <v>-12000</v>
      </c>
      <c r="I35" s="41"/>
      <c r="J35" s="41"/>
      <c r="K35" s="41"/>
      <c r="L35" s="41">
        <f>SUM(L36:L38)</f>
        <v>-71000</v>
      </c>
      <c r="M35" s="41"/>
      <c r="N35" s="41"/>
      <c r="O35" s="41">
        <f>SUM(O36:O38)</f>
        <v>-100000</v>
      </c>
      <c r="P35" s="41">
        <f>SUM(P36:P38)</f>
        <v>183000</v>
      </c>
      <c r="Q35" s="513"/>
    </row>
    <row r="36" spans="1:17" s="99" customFormat="1" ht="21.75" customHeight="1">
      <c r="A36" s="42"/>
      <c r="B36" s="312">
        <v>90001</v>
      </c>
      <c r="C36" s="98" t="s">
        <v>263</v>
      </c>
      <c r="D36" s="43">
        <f t="shared" si="4"/>
        <v>-183000</v>
      </c>
      <c r="E36" s="43"/>
      <c r="F36" s="43"/>
      <c r="G36" s="43"/>
      <c r="H36" s="43">
        <v>-12000</v>
      </c>
      <c r="I36" s="43"/>
      <c r="J36" s="43"/>
      <c r="K36" s="43"/>
      <c r="L36" s="43">
        <v>-71000</v>
      </c>
      <c r="M36" s="43"/>
      <c r="N36" s="43"/>
      <c r="O36" s="43">
        <v>-100000</v>
      </c>
      <c r="P36" s="43"/>
      <c r="Q36" s="516"/>
    </row>
    <row r="37" spans="1:17" s="99" customFormat="1" ht="21.75" customHeight="1">
      <c r="A37" s="42"/>
      <c r="B37" s="312">
        <v>90004</v>
      </c>
      <c r="C37" s="98" t="s">
        <v>438</v>
      </c>
      <c r="D37" s="43">
        <f t="shared" si="4"/>
        <v>100000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100000</v>
      </c>
      <c r="Q37" s="516"/>
    </row>
    <row r="38" spans="1:17" s="99" customFormat="1" ht="21.75" customHeight="1">
      <c r="A38" s="42"/>
      <c r="B38" s="311">
        <v>90015</v>
      </c>
      <c r="C38" s="1578" t="s">
        <v>440</v>
      </c>
      <c r="D38" s="321">
        <f t="shared" si="4"/>
        <v>83000</v>
      </c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>
        <v>83000</v>
      </c>
      <c r="Q38" s="516"/>
    </row>
    <row r="39" spans="1:17" s="99" customFormat="1" ht="21.75" customHeight="1">
      <c r="A39" s="1579"/>
      <c r="B39" s="1580"/>
      <c r="C39" s="1581"/>
      <c r="D39" s="1582"/>
      <c r="E39" s="1582"/>
      <c r="F39" s="1582"/>
      <c r="G39" s="1582"/>
      <c r="H39" s="1582"/>
      <c r="I39" s="1582"/>
      <c r="J39" s="1582"/>
      <c r="K39" s="1582"/>
      <c r="L39" s="1582"/>
      <c r="M39" s="1582"/>
      <c r="N39" s="1582"/>
      <c r="O39" s="1582"/>
      <c r="P39" s="1582"/>
      <c r="Q39" s="516"/>
    </row>
    <row r="40" spans="1:17" s="99" customFormat="1" ht="21.75" customHeight="1">
      <c r="A40" s="1583"/>
      <c r="B40" s="1584"/>
      <c r="C40" s="1585"/>
      <c r="D40" s="1586"/>
      <c r="E40" s="1586"/>
      <c r="F40" s="1586"/>
      <c r="G40" s="1586"/>
      <c r="H40" s="1586"/>
      <c r="I40" s="1586"/>
      <c r="J40" s="1586"/>
      <c r="K40" s="1586"/>
      <c r="L40" s="1586"/>
      <c r="M40" s="1586"/>
      <c r="N40" s="1586"/>
      <c r="O40" s="1586"/>
      <c r="P40" s="1586"/>
      <c r="Q40" s="516"/>
    </row>
    <row r="41" spans="1:17" s="99" customFormat="1" ht="21.75" customHeight="1">
      <c r="A41" s="1583"/>
      <c r="B41" s="1584"/>
      <c r="C41" s="1585"/>
      <c r="D41" s="1586"/>
      <c r="E41" s="1586"/>
      <c r="F41" s="1586"/>
      <c r="G41" s="1586"/>
      <c r="H41" s="1586"/>
      <c r="I41" s="1586"/>
      <c r="J41" s="1586"/>
      <c r="K41" s="1586"/>
      <c r="L41" s="1586"/>
      <c r="M41" s="1586"/>
      <c r="N41" s="1586"/>
      <c r="O41" s="1586"/>
      <c r="P41" s="1586"/>
      <c r="Q41" s="516"/>
    </row>
    <row r="42" spans="1:18" s="33" customFormat="1" ht="34.5" customHeight="1">
      <c r="A42" s="30"/>
      <c r="B42" s="30"/>
      <c r="C42" s="31" t="s">
        <v>630</v>
      </c>
      <c r="D42" s="32">
        <f>SUM(E42:P42)</f>
        <v>-350000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>
        <f>O43</f>
        <v>-350000</v>
      </c>
      <c r="P42" s="32"/>
      <c r="Q42" s="515"/>
      <c r="R42" s="34"/>
    </row>
    <row r="43" spans="1:17" s="22" customFormat="1" ht="21.75" customHeight="1" thickBot="1">
      <c r="A43" s="35"/>
      <c r="B43" s="35"/>
      <c r="C43" s="36" t="s">
        <v>640</v>
      </c>
      <c r="D43" s="37">
        <f>SUM(E43:P43)</f>
        <v>-350000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f>O44</f>
        <v>-350000</v>
      </c>
      <c r="P43" s="37"/>
      <c r="Q43" s="513"/>
    </row>
    <row r="44" spans="1:17" s="22" customFormat="1" ht="21.75" customHeight="1" thickTop="1">
      <c r="A44" s="38">
        <v>750</v>
      </c>
      <c r="B44" s="39"/>
      <c r="C44" s="40" t="s">
        <v>651</v>
      </c>
      <c r="D44" s="41">
        <f>SUM(E44:P44)</f>
        <v>-350000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>
        <f>O45</f>
        <v>-350000</v>
      </c>
      <c r="P44" s="41"/>
      <c r="Q44" s="513"/>
    </row>
    <row r="45" spans="1:17" s="99" customFormat="1" ht="24.75" customHeight="1">
      <c r="A45" s="42"/>
      <c r="B45" s="312">
        <v>75023</v>
      </c>
      <c r="C45" s="335" t="s">
        <v>666</v>
      </c>
      <c r="D45" s="43">
        <f>SUM(E45:P45)</f>
        <v>-350000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>
        <v>-350000</v>
      </c>
      <c r="P45" s="43"/>
      <c r="Q45" s="516"/>
    </row>
    <row r="46" spans="1:18" s="33" customFormat="1" ht="21.75" customHeight="1">
      <c r="A46" s="30"/>
      <c r="B46" s="30"/>
      <c r="C46" s="31" t="s">
        <v>631</v>
      </c>
      <c r="D46" s="32">
        <f t="shared" si="2"/>
        <v>-225826</v>
      </c>
      <c r="E46" s="32">
        <f aca="true" t="shared" si="5" ref="E46:O46">E47+E60</f>
        <v>-1600</v>
      </c>
      <c r="F46" s="32">
        <f t="shared" si="5"/>
        <v>-11600</v>
      </c>
      <c r="G46" s="32">
        <f t="shared" si="5"/>
        <v>-1600</v>
      </c>
      <c r="H46" s="32">
        <f t="shared" si="5"/>
        <v>-1600</v>
      </c>
      <c r="I46" s="32">
        <f t="shared" si="5"/>
        <v>-1600</v>
      </c>
      <c r="J46" s="32">
        <f t="shared" si="5"/>
        <v>-1600</v>
      </c>
      <c r="K46" s="32">
        <f t="shared" si="5"/>
        <v>-1600</v>
      </c>
      <c r="L46" s="32">
        <f t="shared" si="5"/>
        <v>-1600</v>
      </c>
      <c r="M46" s="32">
        <f t="shared" si="5"/>
        <v>-33600</v>
      </c>
      <c r="N46" s="32">
        <f t="shared" si="5"/>
        <v>-558049</v>
      </c>
      <c r="O46" s="32">
        <f t="shared" si="5"/>
        <v>349049</v>
      </c>
      <c r="P46" s="32">
        <f>P47+P60</f>
        <v>39574</v>
      </c>
      <c r="Q46" s="515"/>
      <c r="R46" s="34"/>
    </row>
    <row r="47" spans="1:17" s="99" customFormat="1" ht="21.75" customHeight="1" thickBot="1">
      <c r="A47" s="44"/>
      <c r="B47" s="44"/>
      <c r="C47" s="103" t="s">
        <v>640</v>
      </c>
      <c r="D47" s="104">
        <f>SUM(E47:P47)</f>
        <v>-242793</v>
      </c>
      <c r="E47" s="104">
        <f aca="true" t="shared" si="6" ref="E47:O47">E50+E53+E48+E58+E56</f>
        <v>-1600</v>
      </c>
      <c r="F47" s="104">
        <f t="shared" si="6"/>
        <v>-11600</v>
      </c>
      <c r="G47" s="104">
        <f t="shared" si="6"/>
        <v>-1600</v>
      </c>
      <c r="H47" s="104">
        <f t="shared" si="6"/>
        <v>-1600</v>
      </c>
      <c r="I47" s="104">
        <f t="shared" si="6"/>
        <v>-1600</v>
      </c>
      <c r="J47" s="104">
        <f t="shared" si="6"/>
        <v>-1600</v>
      </c>
      <c r="K47" s="104">
        <f t="shared" si="6"/>
        <v>-1600</v>
      </c>
      <c r="L47" s="104">
        <f t="shared" si="6"/>
        <v>-1600</v>
      </c>
      <c r="M47" s="104">
        <f t="shared" si="6"/>
        <v>-33600</v>
      </c>
      <c r="N47" s="104">
        <f t="shared" si="6"/>
        <v>-558049</v>
      </c>
      <c r="O47" s="104">
        <f t="shared" si="6"/>
        <v>348200</v>
      </c>
      <c r="P47" s="104">
        <f>P50+P53+P48+P58+P56</f>
        <v>23456</v>
      </c>
      <c r="Q47" s="516"/>
    </row>
    <row r="48" spans="1:17" s="22" customFormat="1" ht="21.75" customHeight="1" thickTop="1">
      <c r="A48" s="38">
        <v>750</v>
      </c>
      <c r="B48" s="39"/>
      <c r="C48" s="40" t="s">
        <v>651</v>
      </c>
      <c r="D48" s="41">
        <f>SUM(E48:P48)</f>
        <v>350000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>
        <f>O49</f>
        <v>350000</v>
      </c>
      <c r="P48" s="41"/>
      <c r="Q48" s="513"/>
    </row>
    <row r="49" spans="1:17" s="99" customFormat="1" ht="24.75" customHeight="1">
      <c r="A49" s="42"/>
      <c r="B49" s="312">
        <v>75023</v>
      </c>
      <c r="C49" s="335" t="s">
        <v>666</v>
      </c>
      <c r="D49" s="43">
        <f>SUM(E49:P49)</f>
        <v>350000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>
        <v>350000</v>
      </c>
      <c r="P49" s="43"/>
      <c r="Q49" s="516"/>
    </row>
    <row r="50" spans="1:17" s="22" customFormat="1" ht="21.75" customHeight="1">
      <c r="A50" s="38">
        <v>801</v>
      </c>
      <c r="B50" s="39"/>
      <c r="C50" s="40" t="s">
        <v>647</v>
      </c>
      <c r="D50" s="41">
        <f t="shared" si="2"/>
        <v>-444579</v>
      </c>
      <c r="E50" s="41"/>
      <c r="F50" s="41"/>
      <c r="G50" s="41"/>
      <c r="H50" s="41"/>
      <c r="I50" s="41"/>
      <c r="J50" s="41"/>
      <c r="K50" s="41"/>
      <c r="L50" s="41"/>
      <c r="M50" s="41"/>
      <c r="N50" s="41">
        <f>SUM(N51:N52)</f>
        <v>-470035</v>
      </c>
      <c r="O50" s="41"/>
      <c r="P50" s="41">
        <f>SUM(P51:P52)</f>
        <v>25456</v>
      </c>
      <c r="Q50" s="513"/>
    </row>
    <row r="51" spans="1:17" s="99" customFormat="1" ht="21.75" customHeight="1">
      <c r="A51" s="156"/>
      <c r="B51" s="157">
        <v>80101</v>
      </c>
      <c r="C51" s="98" t="s">
        <v>202</v>
      </c>
      <c r="D51" s="43">
        <f t="shared" si="2"/>
        <v>-470035</v>
      </c>
      <c r="E51" s="43"/>
      <c r="F51" s="43"/>
      <c r="G51" s="43"/>
      <c r="H51" s="43"/>
      <c r="I51" s="43"/>
      <c r="J51" s="43"/>
      <c r="K51" s="43"/>
      <c r="L51" s="43"/>
      <c r="M51" s="43"/>
      <c r="N51" s="43">
        <v>-470035</v>
      </c>
      <c r="O51" s="43"/>
      <c r="P51" s="43"/>
      <c r="Q51" s="516"/>
    </row>
    <row r="52" spans="1:17" s="99" customFormat="1" ht="21.75" customHeight="1">
      <c r="A52" s="44"/>
      <c r="B52" s="44">
        <v>80104</v>
      </c>
      <c r="C52" s="318" t="s">
        <v>200</v>
      </c>
      <c r="D52" s="43">
        <f t="shared" si="2"/>
        <v>25456</v>
      </c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>
        <v>25456</v>
      </c>
      <c r="Q52" s="516"/>
    </row>
    <row r="53" spans="1:17" s="22" customFormat="1" ht="21.75" customHeight="1">
      <c r="A53" s="41">
        <v>852</v>
      </c>
      <c r="B53" s="39"/>
      <c r="C53" s="40" t="s">
        <v>648</v>
      </c>
      <c r="D53" s="41">
        <f t="shared" si="2"/>
        <v>-118214</v>
      </c>
      <c r="E53" s="41"/>
      <c r="F53" s="41"/>
      <c r="G53" s="41"/>
      <c r="H53" s="41"/>
      <c r="I53" s="41"/>
      <c r="J53" s="41"/>
      <c r="K53" s="41"/>
      <c r="L53" s="41"/>
      <c r="M53" s="41">
        <f>SUM(M54:M55)</f>
        <v>-32000</v>
      </c>
      <c r="N53" s="41">
        <f>SUM(N54:N55)</f>
        <v>-86214</v>
      </c>
      <c r="O53" s="41"/>
      <c r="P53" s="41"/>
      <c r="Q53" s="513"/>
    </row>
    <row r="54" spans="1:17" s="99" customFormat="1" ht="21.75" customHeight="1">
      <c r="A54" s="156"/>
      <c r="B54" s="157">
        <v>85201</v>
      </c>
      <c r="C54" s="98" t="s">
        <v>298</v>
      </c>
      <c r="D54" s="43">
        <f t="shared" si="2"/>
        <v>-32000</v>
      </c>
      <c r="E54" s="43"/>
      <c r="F54" s="43"/>
      <c r="G54" s="43"/>
      <c r="H54" s="43"/>
      <c r="I54" s="43"/>
      <c r="J54" s="43"/>
      <c r="K54" s="43"/>
      <c r="L54" s="43"/>
      <c r="M54" s="43">
        <v>-32000</v>
      </c>
      <c r="N54" s="43"/>
      <c r="O54" s="43"/>
      <c r="P54" s="43"/>
      <c r="Q54" s="516"/>
    </row>
    <row r="55" spans="1:17" s="99" customFormat="1" ht="21.75" customHeight="1">
      <c r="A55" s="44"/>
      <c r="B55" s="157">
        <v>85202</v>
      </c>
      <c r="C55" s="98" t="s">
        <v>220</v>
      </c>
      <c r="D55" s="43">
        <f t="shared" si="2"/>
        <v>-86214</v>
      </c>
      <c r="E55" s="43"/>
      <c r="F55" s="43"/>
      <c r="G55" s="43"/>
      <c r="H55" s="43"/>
      <c r="I55" s="43"/>
      <c r="J55" s="43"/>
      <c r="K55" s="43"/>
      <c r="L55" s="43"/>
      <c r="M55" s="43"/>
      <c r="N55" s="43">
        <v>-86214</v>
      </c>
      <c r="O55" s="43"/>
      <c r="P55" s="43"/>
      <c r="Q55" s="516"/>
    </row>
    <row r="56" spans="1:17" s="22" customFormat="1" ht="33" customHeight="1">
      <c r="A56" s="41">
        <v>853</v>
      </c>
      <c r="B56" s="39"/>
      <c r="C56" s="40" t="s">
        <v>691</v>
      </c>
      <c r="D56" s="41">
        <f t="shared" si="2"/>
        <v>-20000</v>
      </c>
      <c r="E56" s="41">
        <f>E57</f>
        <v>-1600</v>
      </c>
      <c r="F56" s="41">
        <f aca="true" t="shared" si="7" ref="F56:P56">F57</f>
        <v>-1600</v>
      </c>
      <c r="G56" s="41">
        <f t="shared" si="7"/>
        <v>-1600</v>
      </c>
      <c r="H56" s="41">
        <f t="shared" si="7"/>
        <v>-1600</v>
      </c>
      <c r="I56" s="41">
        <f t="shared" si="7"/>
        <v>-1600</v>
      </c>
      <c r="J56" s="41">
        <f t="shared" si="7"/>
        <v>-1600</v>
      </c>
      <c r="K56" s="41">
        <f t="shared" si="7"/>
        <v>-1600</v>
      </c>
      <c r="L56" s="41">
        <f t="shared" si="7"/>
        <v>-1600</v>
      </c>
      <c r="M56" s="41">
        <f t="shared" si="7"/>
        <v>-1600</v>
      </c>
      <c r="N56" s="41">
        <f t="shared" si="7"/>
        <v>-1800</v>
      </c>
      <c r="O56" s="41">
        <f t="shared" si="7"/>
        <v>-1800</v>
      </c>
      <c r="P56" s="41">
        <f t="shared" si="7"/>
        <v>-2000</v>
      </c>
      <c r="Q56" s="513"/>
    </row>
    <row r="57" spans="1:17" s="99" customFormat="1" ht="21.75" customHeight="1">
      <c r="A57" s="157"/>
      <c r="B57" s="157">
        <v>85334</v>
      </c>
      <c r="C57" s="98" t="s">
        <v>908</v>
      </c>
      <c r="D57" s="43">
        <f t="shared" si="2"/>
        <v>-20000</v>
      </c>
      <c r="E57" s="43">
        <v>-1600</v>
      </c>
      <c r="F57" s="43">
        <v>-1600</v>
      </c>
      <c r="G57" s="43">
        <v>-1600</v>
      </c>
      <c r="H57" s="43">
        <v>-1600</v>
      </c>
      <c r="I57" s="43">
        <v>-1600</v>
      </c>
      <c r="J57" s="43">
        <v>-1600</v>
      </c>
      <c r="K57" s="43">
        <v>-1600</v>
      </c>
      <c r="L57" s="43">
        <v>-1600</v>
      </c>
      <c r="M57" s="43">
        <v>-1600</v>
      </c>
      <c r="N57" s="43">
        <v>-1800</v>
      </c>
      <c r="O57" s="43">
        <v>-1800</v>
      </c>
      <c r="P57" s="43">
        <v>-2000</v>
      </c>
      <c r="Q57" s="516"/>
    </row>
    <row r="58" spans="1:17" s="22" customFormat="1" ht="21.75" customHeight="1">
      <c r="A58" s="41">
        <v>854</v>
      </c>
      <c r="B58" s="39"/>
      <c r="C58" s="40" t="s">
        <v>649</v>
      </c>
      <c r="D58" s="41">
        <f t="shared" si="2"/>
        <v>-10000</v>
      </c>
      <c r="E58" s="41"/>
      <c r="F58" s="41">
        <f>F59</f>
        <v>-10000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513"/>
    </row>
    <row r="59" spans="1:17" s="99" customFormat="1" ht="21.75" customHeight="1">
      <c r="A59" s="156"/>
      <c r="B59" s="157">
        <v>85417</v>
      </c>
      <c r="C59" s="98" t="s">
        <v>294</v>
      </c>
      <c r="D59" s="43">
        <f t="shared" si="2"/>
        <v>-10000</v>
      </c>
      <c r="E59" s="43"/>
      <c r="F59" s="43">
        <v>-10000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516"/>
    </row>
    <row r="60" spans="1:17" s="99" customFormat="1" ht="47.25" customHeight="1" thickBot="1">
      <c r="A60" s="44"/>
      <c r="B60" s="44"/>
      <c r="C60" s="36" t="s">
        <v>678</v>
      </c>
      <c r="D60" s="104">
        <f>SUM(E60:P60)</f>
        <v>16967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>
        <f>O61+O63</f>
        <v>849</v>
      </c>
      <c r="P60" s="104">
        <f>P61+P63</f>
        <v>16118</v>
      </c>
      <c r="Q60" s="516"/>
    </row>
    <row r="61" spans="1:17" s="22" customFormat="1" ht="18.75" thickTop="1">
      <c r="A61" s="41">
        <v>750</v>
      </c>
      <c r="B61" s="38"/>
      <c r="C61" s="228" t="s">
        <v>651</v>
      </c>
      <c r="D61" s="41">
        <f>SUM(E61:P61)</f>
        <v>15269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>
        <f>P62</f>
        <v>15269</v>
      </c>
      <c r="Q61" s="513"/>
    </row>
    <row r="62" spans="1:17" s="99" customFormat="1" ht="21" customHeight="1">
      <c r="A62" s="157"/>
      <c r="B62" s="157">
        <v>75011</v>
      </c>
      <c r="C62" s="335" t="s">
        <v>77</v>
      </c>
      <c r="D62" s="43">
        <f>SUM(E62:P62)</f>
        <v>15269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v>15269</v>
      </c>
      <c r="Q62" s="516"/>
    </row>
    <row r="63" spans="1:17" s="22" customFormat="1" ht="31.5">
      <c r="A63" s="41">
        <v>853</v>
      </c>
      <c r="B63" s="39"/>
      <c r="C63" s="228" t="s">
        <v>691</v>
      </c>
      <c r="D63" s="41">
        <f>SUM(E63:P63)</f>
        <v>1698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>
        <f>O64</f>
        <v>849</v>
      </c>
      <c r="P63" s="41">
        <f>P64</f>
        <v>849</v>
      </c>
      <c r="Q63" s="513"/>
    </row>
    <row r="64" spans="1:17" s="99" customFormat="1" ht="21" customHeight="1">
      <c r="A64" s="156"/>
      <c r="B64" s="157">
        <v>85334</v>
      </c>
      <c r="C64" s="335" t="s">
        <v>908</v>
      </c>
      <c r="D64" s="43">
        <f>SUM(E64:P64)</f>
        <v>1698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>
        <v>849</v>
      </c>
      <c r="P64" s="43">
        <v>849</v>
      </c>
      <c r="Q64" s="516"/>
    </row>
    <row r="65" spans="1:17" s="102" customFormat="1" ht="21.75" customHeight="1">
      <c r="A65" s="42"/>
      <c r="B65" s="42"/>
      <c r="C65" s="100" t="s">
        <v>632</v>
      </c>
      <c r="D65" s="101">
        <f t="shared" si="2"/>
        <v>-1286587</v>
      </c>
      <c r="E65" s="101"/>
      <c r="F65" s="101"/>
      <c r="G65" s="101"/>
      <c r="H65" s="101"/>
      <c r="I65" s="101">
        <f>I66+I83</f>
        <v>-460</v>
      </c>
      <c r="J65" s="101">
        <f>J66+J83</f>
        <v>-3224</v>
      </c>
      <c r="K65" s="101">
        <f>K66+K83</f>
        <v>-31230</v>
      </c>
      <c r="L65" s="101"/>
      <c r="M65" s="101"/>
      <c r="N65" s="101">
        <f>N66+N83</f>
        <v>-150406</v>
      </c>
      <c r="O65" s="101">
        <f>O66+O83</f>
        <v>-657964</v>
      </c>
      <c r="P65" s="101">
        <f>P66+P83</f>
        <v>-443303</v>
      </c>
      <c r="Q65" s="517"/>
    </row>
    <row r="66" spans="1:17" s="99" customFormat="1" ht="21.75" customHeight="1" thickBot="1">
      <c r="A66" s="44"/>
      <c r="B66" s="44"/>
      <c r="C66" s="103" t="s">
        <v>640</v>
      </c>
      <c r="D66" s="104">
        <f t="shared" si="2"/>
        <v>-891192</v>
      </c>
      <c r="E66" s="104"/>
      <c r="F66" s="104"/>
      <c r="G66" s="104"/>
      <c r="H66" s="104"/>
      <c r="I66" s="104">
        <f>I67+I76+I78</f>
        <v>-460</v>
      </c>
      <c r="J66" s="104">
        <f>J67+J76+J78</f>
        <v>-3224</v>
      </c>
      <c r="K66" s="104">
        <f>K67+K76+K78</f>
        <v>-31230</v>
      </c>
      <c r="L66" s="104"/>
      <c r="M66" s="104"/>
      <c r="N66" s="104">
        <f>N67+N76+N78</f>
        <v>-150406</v>
      </c>
      <c r="O66" s="104">
        <f>O67+O76+O78</f>
        <v>-653477</v>
      </c>
      <c r="P66" s="104">
        <f>P67+P76+P78</f>
        <v>-52395</v>
      </c>
      <c r="Q66" s="516"/>
    </row>
    <row r="67" spans="1:17" s="22" customFormat="1" ht="21.75" customHeight="1" thickTop="1">
      <c r="A67" s="38">
        <v>801</v>
      </c>
      <c r="B67" s="39"/>
      <c r="C67" s="40" t="s">
        <v>647</v>
      </c>
      <c r="D67" s="41">
        <f t="shared" si="2"/>
        <v>28411</v>
      </c>
      <c r="E67" s="41"/>
      <c r="F67" s="41"/>
      <c r="G67" s="41"/>
      <c r="H67" s="41"/>
      <c r="I67" s="41">
        <f>SUM(I68:I75)</f>
        <v>-460</v>
      </c>
      <c r="J67" s="41">
        <f>SUM(J68:J75)</f>
        <v>-3224</v>
      </c>
      <c r="K67" s="41">
        <f>SUM(K68:K75)</f>
        <v>-31230</v>
      </c>
      <c r="L67" s="41"/>
      <c r="M67" s="41"/>
      <c r="N67" s="41">
        <f>SUM(N68:N75)</f>
        <v>-37046</v>
      </c>
      <c r="O67" s="41">
        <f>SUM(O68:O75)</f>
        <v>174182</v>
      </c>
      <c r="P67" s="41">
        <f>SUM(P68:P75)</f>
        <v>-73811</v>
      </c>
      <c r="Q67" s="513"/>
    </row>
    <row r="68" spans="1:17" s="99" customFormat="1" ht="21.75" customHeight="1">
      <c r="A68" s="156"/>
      <c r="B68" s="157">
        <v>80101</v>
      </c>
      <c r="C68" s="98" t="s">
        <v>202</v>
      </c>
      <c r="D68" s="43">
        <f t="shared" si="2"/>
        <v>0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>
        <v>2916</v>
      </c>
      <c r="P68" s="43">
        <v>-2916</v>
      </c>
      <c r="Q68" s="516"/>
    </row>
    <row r="69" spans="1:17" s="99" customFormat="1" ht="21.75" customHeight="1">
      <c r="A69" s="42"/>
      <c r="B69" s="157">
        <v>80104</v>
      </c>
      <c r="C69" s="98" t="s">
        <v>200</v>
      </c>
      <c r="D69" s="43">
        <f t="shared" si="2"/>
        <v>-6000</v>
      </c>
      <c r="E69" s="43"/>
      <c r="F69" s="43"/>
      <c r="G69" s="43"/>
      <c r="H69" s="43"/>
      <c r="I69" s="43">
        <v>-460</v>
      </c>
      <c r="J69" s="43">
        <v>-3224</v>
      </c>
      <c r="K69" s="43">
        <v>-31230</v>
      </c>
      <c r="L69" s="43"/>
      <c r="M69" s="43"/>
      <c r="N69" s="43"/>
      <c r="O69" s="43">
        <v>-3809</v>
      </c>
      <c r="P69" s="43">
        <v>32723</v>
      </c>
      <c r="Q69" s="516"/>
    </row>
    <row r="70" spans="1:17" s="99" customFormat="1" ht="21.75" customHeight="1">
      <c r="A70" s="42"/>
      <c r="B70" s="157">
        <v>80110</v>
      </c>
      <c r="C70" s="98" t="s">
        <v>203</v>
      </c>
      <c r="D70" s="43">
        <f t="shared" si="2"/>
        <v>0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>
        <v>8580</v>
      </c>
      <c r="P70" s="43">
        <v>-8580</v>
      </c>
      <c r="Q70" s="516"/>
    </row>
    <row r="71" spans="1:17" s="99" customFormat="1" ht="21.75" customHeight="1">
      <c r="A71" s="42"/>
      <c r="B71" s="157">
        <v>80120</v>
      </c>
      <c r="C71" s="98" t="s">
        <v>204</v>
      </c>
      <c r="D71" s="43">
        <f t="shared" si="2"/>
        <v>0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>
        <v>16105</v>
      </c>
      <c r="P71" s="43">
        <v>-16105</v>
      </c>
      <c r="Q71" s="516"/>
    </row>
    <row r="72" spans="1:17" s="99" customFormat="1" ht="21.75" customHeight="1">
      <c r="A72" s="42"/>
      <c r="B72" s="157">
        <v>80123</v>
      </c>
      <c r="C72" s="98" t="s">
        <v>286</v>
      </c>
      <c r="D72" s="43">
        <f t="shared" si="2"/>
        <v>0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>
        <v>-5544</v>
      </c>
      <c r="P72" s="43">
        <v>5544</v>
      </c>
      <c r="Q72" s="516"/>
    </row>
    <row r="73" spans="1:17" s="99" customFormat="1" ht="21.75" customHeight="1">
      <c r="A73" s="42"/>
      <c r="B73" s="157">
        <v>80130</v>
      </c>
      <c r="C73" s="98" t="s">
        <v>693</v>
      </c>
      <c r="D73" s="43">
        <f t="shared" si="2"/>
        <v>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>
        <v>118888</v>
      </c>
      <c r="P73" s="43">
        <v>-118888</v>
      </c>
      <c r="Q73" s="516"/>
    </row>
    <row r="74" spans="1:17" s="99" customFormat="1" ht="21.75" customHeight="1">
      <c r="A74" s="42"/>
      <c r="B74" s="157">
        <v>80195</v>
      </c>
      <c r="C74" s="98" t="s">
        <v>646</v>
      </c>
      <c r="D74" s="43">
        <f t="shared" si="2"/>
        <v>34411</v>
      </c>
      <c r="E74" s="43"/>
      <c r="F74" s="43"/>
      <c r="G74" s="43"/>
      <c r="H74" s="43"/>
      <c r="I74" s="43"/>
      <c r="J74" s="43"/>
      <c r="K74" s="43"/>
      <c r="L74" s="43"/>
      <c r="M74" s="43"/>
      <c r="N74" s="43">
        <v>-28596</v>
      </c>
      <c r="O74" s="43">
        <v>28596</v>
      </c>
      <c r="P74" s="43">
        <v>34411</v>
      </c>
      <c r="Q74" s="516"/>
    </row>
    <row r="75" spans="1:17" s="99" customFormat="1" ht="21.75" customHeight="1">
      <c r="A75" s="42"/>
      <c r="B75" s="44">
        <v>80197</v>
      </c>
      <c r="C75" s="318" t="s">
        <v>260</v>
      </c>
      <c r="D75" s="43">
        <f t="shared" si="2"/>
        <v>0</v>
      </c>
      <c r="E75" s="319"/>
      <c r="F75" s="319"/>
      <c r="G75" s="319"/>
      <c r="H75" s="319"/>
      <c r="I75" s="319"/>
      <c r="J75" s="319"/>
      <c r="K75" s="319"/>
      <c r="L75" s="319"/>
      <c r="M75" s="319"/>
      <c r="N75" s="319">
        <v>-8450</v>
      </c>
      <c r="O75" s="319">
        <v>8450</v>
      </c>
      <c r="P75" s="319"/>
      <c r="Q75" s="516"/>
    </row>
    <row r="76" spans="1:17" s="22" customFormat="1" ht="21.75" customHeight="1">
      <c r="A76" s="38">
        <v>851</v>
      </c>
      <c r="B76" s="39"/>
      <c r="C76" s="40" t="s">
        <v>650</v>
      </c>
      <c r="D76" s="41">
        <f>SUM(E76:P76)</f>
        <v>0</v>
      </c>
      <c r="E76" s="41"/>
      <c r="F76" s="41"/>
      <c r="G76" s="41"/>
      <c r="H76" s="41"/>
      <c r="I76" s="41"/>
      <c r="J76" s="41"/>
      <c r="K76" s="41"/>
      <c r="L76" s="41"/>
      <c r="M76" s="41"/>
      <c r="N76" s="41">
        <f>N77</f>
        <v>-50000</v>
      </c>
      <c r="O76" s="41">
        <f>O77</f>
        <v>50000</v>
      </c>
      <c r="P76" s="41"/>
      <c r="Q76" s="513"/>
    </row>
    <row r="77" spans="1:17" s="99" customFormat="1" ht="21.75" customHeight="1">
      <c r="A77" s="157"/>
      <c r="B77" s="157">
        <v>85154</v>
      </c>
      <c r="C77" s="98" t="s">
        <v>673</v>
      </c>
      <c r="D77" s="43">
        <f>SUM(E77:P77)</f>
        <v>0</v>
      </c>
      <c r="E77" s="43"/>
      <c r="F77" s="43"/>
      <c r="G77" s="43"/>
      <c r="H77" s="43"/>
      <c r="I77" s="43"/>
      <c r="J77" s="43"/>
      <c r="K77" s="43"/>
      <c r="L77" s="43"/>
      <c r="M77" s="43"/>
      <c r="N77" s="43">
        <v>-50000</v>
      </c>
      <c r="O77" s="43">
        <v>50000</v>
      </c>
      <c r="P77" s="43"/>
      <c r="Q77" s="516"/>
    </row>
    <row r="78" spans="1:17" s="22" customFormat="1" ht="21.75" customHeight="1">
      <c r="A78" s="38">
        <v>854</v>
      </c>
      <c r="B78" s="39"/>
      <c r="C78" s="40" t="s">
        <v>649</v>
      </c>
      <c r="D78" s="41">
        <f t="shared" si="2"/>
        <v>-919603</v>
      </c>
      <c r="E78" s="41"/>
      <c r="F78" s="41"/>
      <c r="G78" s="41"/>
      <c r="H78" s="41"/>
      <c r="I78" s="41"/>
      <c r="J78" s="41"/>
      <c r="K78" s="41"/>
      <c r="L78" s="41"/>
      <c r="M78" s="41"/>
      <c r="N78" s="41">
        <f>SUM(N79:N82)</f>
        <v>-63360</v>
      </c>
      <c r="O78" s="41">
        <f>SUM(O79:O82)</f>
        <v>-877659</v>
      </c>
      <c r="P78" s="41">
        <f>SUM(P79:P82)</f>
        <v>21416</v>
      </c>
      <c r="Q78" s="513"/>
    </row>
    <row r="79" spans="1:17" s="99" customFormat="1" ht="21.75" customHeight="1">
      <c r="A79" s="156"/>
      <c r="B79" s="157">
        <v>85403</v>
      </c>
      <c r="C79" s="98" t="s">
        <v>292</v>
      </c>
      <c r="D79" s="43">
        <f t="shared" si="2"/>
        <v>0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>
        <v>-7880</v>
      </c>
      <c r="P79" s="43">
        <v>7880</v>
      </c>
      <c r="Q79" s="516"/>
    </row>
    <row r="80" spans="1:17" s="99" customFormat="1" ht="21.75" customHeight="1">
      <c r="A80" s="42"/>
      <c r="B80" s="157">
        <v>85410</v>
      </c>
      <c r="C80" s="98" t="s">
        <v>230</v>
      </c>
      <c r="D80" s="43">
        <f t="shared" si="2"/>
        <v>0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>
        <v>-13536</v>
      </c>
      <c r="P80" s="43">
        <v>13536</v>
      </c>
      <c r="Q80" s="516"/>
    </row>
    <row r="81" spans="1:17" s="99" customFormat="1" ht="21.75" customHeight="1">
      <c r="A81" s="42"/>
      <c r="B81" s="44">
        <v>85415</v>
      </c>
      <c r="C81" s="318" t="s">
        <v>201</v>
      </c>
      <c r="D81" s="319">
        <f t="shared" si="2"/>
        <v>-919603</v>
      </c>
      <c r="E81" s="319"/>
      <c r="F81" s="319"/>
      <c r="G81" s="319"/>
      <c r="H81" s="319"/>
      <c r="I81" s="319"/>
      <c r="J81" s="319"/>
      <c r="K81" s="319"/>
      <c r="L81" s="319"/>
      <c r="M81" s="319"/>
      <c r="N81" s="319">
        <v>-56360</v>
      </c>
      <c r="O81" s="319">
        <v>-863243</v>
      </c>
      <c r="P81" s="319"/>
      <c r="Q81" s="516"/>
    </row>
    <row r="82" spans="1:17" s="99" customFormat="1" ht="21.75" customHeight="1">
      <c r="A82" s="42"/>
      <c r="B82" s="157">
        <v>85495</v>
      </c>
      <c r="C82" s="98" t="s">
        <v>646</v>
      </c>
      <c r="D82" s="43">
        <f t="shared" si="2"/>
        <v>0</v>
      </c>
      <c r="E82" s="43"/>
      <c r="F82" s="43"/>
      <c r="G82" s="43"/>
      <c r="H82" s="43"/>
      <c r="I82" s="43"/>
      <c r="J82" s="43"/>
      <c r="K82" s="43"/>
      <c r="L82" s="43"/>
      <c r="M82" s="43"/>
      <c r="N82" s="43">
        <v>-7000</v>
      </c>
      <c r="O82" s="43">
        <v>7000</v>
      </c>
      <c r="P82" s="43"/>
      <c r="Q82" s="516"/>
    </row>
    <row r="83" spans="1:17" s="99" customFormat="1" ht="31.5" thickBot="1">
      <c r="A83" s="44"/>
      <c r="B83" s="44"/>
      <c r="C83" s="103" t="s">
        <v>297</v>
      </c>
      <c r="D83" s="104">
        <f aca="true" t="shared" si="8" ref="D83:D91">SUM(E83:P83)</f>
        <v>-395395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>
        <f>O86+O84</f>
        <v>-4487</v>
      </c>
      <c r="P83" s="104">
        <f>P86+P84</f>
        <v>-390908</v>
      </c>
      <c r="Q83" s="516"/>
    </row>
    <row r="84" spans="1:17" s="22" customFormat="1" ht="21.75" customHeight="1" thickTop="1">
      <c r="A84" s="41">
        <v>801</v>
      </c>
      <c r="B84" s="38"/>
      <c r="C84" s="40" t="s">
        <v>647</v>
      </c>
      <c r="D84" s="41">
        <f t="shared" si="8"/>
        <v>0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>
        <f>O85</f>
        <v>-4487</v>
      </c>
      <c r="P84" s="41">
        <f>P85</f>
        <v>4487</v>
      </c>
      <c r="Q84" s="513"/>
    </row>
    <row r="85" spans="1:17" s="326" customFormat="1" ht="21.75" customHeight="1">
      <c r="A85" s="322"/>
      <c r="B85" s="323">
        <v>80104</v>
      </c>
      <c r="C85" s="324" t="s">
        <v>200</v>
      </c>
      <c r="D85" s="43">
        <f t="shared" si="8"/>
        <v>0</v>
      </c>
      <c r="E85" s="325"/>
      <c r="F85" s="325"/>
      <c r="G85" s="325"/>
      <c r="H85" s="325"/>
      <c r="I85" s="325"/>
      <c r="J85" s="319"/>
      <c r="K85" s="325"/>
      <c r="L85" s="325"/>
      <c r="M85" s="325"/>
      <c r="N85" s="325"/>
      <c r="O85" s="325">
        <v>-4487</v>
      </c>
      <c r="P85" s="325">
        <v>4487</v>
      </c>
      <c r="Q85" s="516"/>
    </row>
    <row r="86" spans="1:17" s="22" customFormat="1" ht="21.75" customHeight="1">
      <c r="A86" s="38">
        <v>854</v>
      </c>
      <c r="B86" s="39"/>
      <c r="C86" s="40" t="s">
        <v>649</v>
      </c>
      <c r="D86" s="41">
        <f t="shared" si="8"/>
        <v>-395395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>
        <f>P87</f>
        <v>-395395</v>
      </c>
      <c r="Q86" s="513"/>
    </row>
    <row r="87" spans="1:17" s="99" customFormat="1" ht="21.75" customHeight="1">
      <c r="A87" s="156"/>
      <c r="B87" s="157">
        <v>85415</v>
      </c>
      <c r="C87" s="98" t="s">
        <v>201</v>
      </c>
      <c r="D87" s="43">
        <f t="shared" si="8"/>
        <v>-395395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>
        <v>-395395</v>
      </c>
      <c r="Q87" s="516"/>
    </row>
    <row r="88" spans="1:17" s="33" customFormat="1" ht="21.75" customHeight="1">
      <c r="A88" s="30"/>
      <c r="B88" s="30"/>
      <c r="C88" s="31" t="s">
        <v>633</v>
      </c>
      <c r="D88" s="32">
        <f t="shared" si="8"/>
        <v>-15269</v>
      </c>
      <c r="E88" s="32"/>
      <c r="F88" s="32">
        <f aca="true" t="shared" si="9" ref="F88:G90">F89</f>
        <v>-7821</v>
      </c>
      <c r="G88" s="32">
        <f t="shared" si="9"/>
        <v>-7448</v>
      </c>
      <c r="H88" s="32"/>
      <c r="I88" s="32"/>
      <c r="J88" s="32"/>
      <c r="K88" s="32"/>
      <c r="L88" s="32"/>
      <c r="M88" s="32"/>
      <c r="N88" s="32"/>
      <c r="O88" s="32"/>
      <c r="P88" s="32"/>
      <c r="Q88" s="515"/>
    </row>
    <row r="89" spans="1:17" s="22" customFormat="1" ht="49.5" customHeight="1" thickBot="1">
      <c r="A89" s="35"/>
      <c r="B89" s="35"/>
      <c r="C89" s="36" t="s">
        <v>678</v>
      </c>
      <c r="D89" s="37">
        <f t="shared" si="8"/>
        <v>-15269</v>
      </c>
      <c r="E89" s="37"/>
      <c r="F89" s="37">
        <f t="shared" si="9"/>
        <v>-7821</v>
      </c>
      <c r="G89" s="37">
        <f t="shared" si="9"/>
        <v>-7448</v>
      </c>
      <c r="H89" s="37"/>
      <c r="I89" s="37"/>
      <c r="J89" s="37"/>
      <c r="K89" s="37"/>
      <c r="L89" s="37"/>
      <c r="M89" s="37"/>
      <c r="N89" s="37"/>
      <c r="O89" s="37"/>
      <c r="P89" s="37"/>
      <c r="Q89" s="513"/>
    </row>
    <row r="90" spans="1:17" s="22" customFormat="1" ht="21.75" customHeight="1" thickTop="1">
      <c r="A90" s="38">
        <v>750</v>
      </c>
      <c r="B90" s="39"/>
      <c r="C90" s="40" t="s">
        <v>651</v>
      </c>
      <c r="D90" s="41">
        <f t="shared" si="8"/>
        <v>-15269</v>
      </c>
      <c r="E90" s="41"/>
      <c r="F90" s="41">
        <f t="shared" si="9"/>
        <v>-7821</v>
      </c>
      <c r="G90" s="41">
        <f t="shared" si="9"/>
        <v>-7448</v>
      </c>
      <c r="H90" s="41"/>
      <c r="I90" s="41"/>
      <c r="J90" s="41"/>
      <c r="K90" s="41"/>
      <c r="L90" s="41"/>
      <c r="M90" s="41"/>
      <c r="N90" s="41"/>
      <c r="O90" s="41"/>
      <c r="P90" s="41"/>
      <c r="Q90" s="513"/>
    </row>
    <row r="91" spans="1:17" s="99" customFormat="1" ht="18">
      <c r="A91" s="156"/>
      <c r="B91" s="157">
        <v>75045</v>
      </c>
      <c r="C91" s="98" t="s">
        <v>886</v>
      </c>
      <c r="D91" s="43">
        <f t="shared" si="8"/>
        <v>-15269</v>
      </c>
      <c r="E91" s="43"/>
      <c r="F91" s="43">
        <v>-7821</v>
      </c>
      <c r="G91" s="43">
        <v>-7448</v>
      </c>
      <c r="H91" s="43"/>
      <c r="I91" s="43"/>
      <c r="J91" s="43"/>
      <c r="K91" s="43"/>
      <c r="L91" s="43"/>
      <c r="M91" s="43"/>
      <c r="N91" s="43"/>
      <c r="O91" s="43"/>
      <c r="P91" s="43"/>
      <c r="Q91" s="516"/>
    </row>
    <row r="92" spans="1:17" s="33" customFormat="1" ht="21.75" customHeight="1">
      <c r="A92" s="30"/>
      <c r="B92" s="30"/>
      <c r="C92" s="31" t="s">
        <v>634</v>
      </c>
      <c r="D92" s="32">
        <f t="shared" si="2"/>
        <v>13000</v>
      </c>
      <c r="E92" s="32"/>
      <c r="F92" s="32"/>
      <c r="G92" s="32"/>
      <c r="H92" s="32"/>
      <c r="I92" s="32"/>
      <c r="J92" s="32"/>
      <c r="K92" s="32">
        <f aca="true" t="shared" si="10" ref="K92:P92">K93</f>
        <v>-9500</v>
      </c>
      <c r="L92" s="32">
        <f t="shared" si="10"/>
        <v>-1000</v>
      </c>
      <c r="M92" s="32">
        <f t="shared" si="10"/>
        <v>-361084</v>
      </c>
      <c r="N92" s="32">
        <f t="shared" si="10"/>
        <v>-248437</v>
      </c>
      <c r="O92" s="32">
        <f t="shared" si="10"/>
        <v>466072</v>
      </c>
      <c r="P92" s="32">
        <f t="shared" si="10"/>
        <v>166949</v>
      </c>
      <c r="Q92" s="515"/>
    </row>
    <row r="93" spans="1:17" s="22" customFormat="1" ht="21.75" customHeight="1" thickBot="1">
      <c r="A93" s="35"/>
      <c r="B93" s="35"/>
      <c r="C93" s="36" t="s">
        <v>640</v>
      </c>
      <c r="D93" s="37">
        <f t="shared" si="2"/>
        <v>13000</v>
      </c>
      <c r="E93" s="37"/>
      <c r="F93" s="37"/>
      <c r="G93" s="37"/>
      <c r="H93" s="37"/>
      <c r="I93" s="37"/>
      <c r="J93" s="37"/>
      <c r="K93" s="37">
        <f aca="true" t="shared" si="11" ref="K93:P93">K94+K96+K102+K104</f>
        <v>-9500</v>
      </c>
      <c r="L93" s="37">
        <f t="shared" si="11"/>
        <v>-1000</v>
      </c>
      <c r="M93" s="37">
        <f t="shared" si="11"/>
        <v>-361084</v>
      </c>
      <c r="N93" s="37">
        <f t="shared" si="11"/>
        <v>-248437</v>
      </c>
      <c r="O93" s="37">
        <f t="shared" si="11"/>
        <v>466072</v>
      </c>
      <c r="P93" s="37">
        <f t="shared" si="11"/>
        <v>166949</v>
      </c>
      <c r="Q93" s="513"/>
    </row>
    <row r="94" spans="1:17" s="22" customFormat="1" ht="21.75" customHeight="1" thickTop="1">
      <c r="A94" s="38">
        <v>758</v>
      </c>
      <c r="B94" s="39"/>
      <c r="C94" s="40" t="s">
        <v>642</v>
      </c>
      <c r="D94" s="41">
        <f>SUM(E94:P94)</f>
        <v>0</v>
      </c>
      <c r="E94" s="41"/>
      <c r="F94" s="41"/>
      <c r="G94" s="41"/>
      <c r="H94" s="41"/>
      <c r="I94" s="41"/>
      <c r="J94" s="41"/>
      <c r="K94" s="41"/>
      <c r="L94" s="41"/>
      <c r="M94" s="41"/>
      <c r="N94" s="41">
        <f>N95</f>
        <v>-26879</v>
      </c>
      <c r="O94" s="41">
        <f>O95</f>
        <v>11588</v>
      </c>
      <c r="P94" s="41">
        <f>P95</f>
        <v>15291</v>
      </c>
      <c r="Q94" s="513"/>
    </row>
    <row r="95" spans="1:17" s="99" customFormat="1" ht="18">
      <c r="A95" s="156"/>
      <c r="B95" s="157">
        <v>75860</v>
      </c>
      <c r="C95" s="98" t="s">
        <v>819</v>
      </c>
      <c r="D95" s="43">
        <f>SUM(E95:P95)</f>
        <v>0</v>
      </c>
      <c r="E95" s="43"/>
      <c r="F95" s="43"/>
      <c r="G95" s="43"/>
      <c r="H95" s="43"/>
      <c r="I95" s="43"/>
      <c r="J95" s="43"/>
      <c r="K95" s="43"/>
      <c r="L95" s="43"/>
      <c r="M95" s="43"/>
      <c r="N95" s="43">
        <f>-11588-15291</f>
        <v>-26879</v>
      </c>
      <c r="O95" s="43">
        <f>11588</f>
        <v>11588</v>
      </c>
      <c r="P95" s="43">
        <v>15291</v>
      </c>
      <c r="Q95" s="516"/>
    </row>
    <row r="96" spans="1:17" s="22" customFormat="1" ht="21.75" customHeight="1">
      <c r="A96" s="38">
        <v>851</v>
      </c>
      <c r="B96" s="39"/>
      <c r="C96" s="40" t="s">
        <v>650</v>
      </c>
      <c r="D96" s="41">
        <f t="shared" si="2"/>
        <v>-7000</v>
      </c>
      <c r="E96" s="41"/>
      <c r="F96" s="41"/>
      <c r="G96" s="41"/>
      <c r="H96" s="41"/>
      <c r="I96" s="41"/>
      <c r="J96" s="41"/>
      <c r="K96" s="41"/>
      <c r="L96" s="41"/>
      <c r="M96" s="41">
        <f>SUM(M97:M101)</f>
        <v>-361084</v>
      </c>
      <c r="N96" s="41">
        <f>SUM(N97:N101)</f>
        <v>-135158</v>
      </c>
      <c r="O96" s="41">
        <f>SUM(O97:O101)</f>
        <v>284484</v>
      </c>
      <c r="P96" s="41">
        <f>SUM(P97:P101)</f>
        <v>204758</v>
      </c>
      <c r="Q96" s="513"/>
    </row>
    <row r="97" spans="1:17" s="99" customFormat="1" ht="21.75" customHeight="1">
      <c r="A97" s="42"/>
      <c r="B97" s="219">
        <v>85121</v>
      </c>
      <c r="C97" s="436" t="s">
        <v>831</v>
      </c>
      <c r="D97" s="43">
        <f t="shared" si="2"/>
        <v>0</v>
      </c>
      <c r="E97" s="43"/>
      <c r="F97" s="43"/>
      <c r="G97" s="43"/>
      <c r="H97" s="43"/>
      <c r="I97" s="43"/>
      <c r="J97" s="43"/>
      <c r="K97" s="43"/>
      <c r="L97" s="43"/>
      <c r="M97" s="43">
        <v>-8530</v>
      </c>
      <c r="N97" s="43">
        <v>-52109</v>
      </c>
      <c r="O97" s="43"/>
      <c r="P97" s="43">
        <v>60639</v>
      </c>
      <c r="Q97" s="516"/>
    </row>
    <row r="98" spans="1:17" s="99" customFormat="1" ht="21.75" customHeight="1">
      <c r="A98" s="42"/>
      <c r="B98" s="157">
        <v>85149</v>
      </c>
      <c r="C98" s="98" t="s">
        <v>734</v>
      </c>
      <c r="D98" s="43">
        <f t="shared" si="2"/>
        <v>0</v>
      </c>
      <c r="E98" s="43"/>
      <c r="F98" s="43"/>
      <c r="G98" s="43"/>
      <c r="H98" s="43"/>
      <c r="I98" s="43"/>
      <c r="J98" s="43"/>
      <c r="K98" s="43"/>
      <c r="L98" s="43"/>
      <c r="M98" s="43">
        <v>-30000</v>
      </c>
      <c r="N98" s="43">
        <v>-15000</v>
      </c>
      <c r="O98" s="43">
        <v>45000</v>
      </c>
      <c r="P98" s="43"/>
      <c r="Q98" s="516"/>
    </row>
    <row r="99" spans="1:17" s="99" customFormat="1" ht="21.75" customHeight="1">
      <c r="A99" s="42"/>
      <c r="B99" s="941">
        <v>85153</v>
      </c>
      <c r="C99" s="335" t="s">
        <v>832</v>
      </c>
      <c r="D99" s="43">
        <f t="shared" si="2"/>
        <v>-7000</v>
      </c>
      <c r="E99" s="319"/>
      <c r="F99" s="319"/>
      <c r="G99" s="319"/>
      <c r="H99" s="319"/>
      <c r="I99" s="319"/>
      <c r="J99" s="319"/>
      <c r="K99" s="319"/>
      <c r="L99" s="319"/>
      <c r="M99" s="319"/>
      <c r="N99" s="319">
        <v>-56709</v>
      </c>
      <c r="O99" s="319">
        <v>5590</v>
      </c>
      <c r="P99" s="319">
        <v>44119</v>
      </c>
      <c r="Q99" s="516"/>
    </row>
    <row r="100" spans="1:17" s="99" customFormat="1" ht="21.75" customHeight="1">
      <c r="A100" s="42"/>
      <c r="B100" s="941">
        <v>85154</v>
      </c>
      <c r="C100" s="335" t="s">
        <v>673</v>
      </c>
      <c r="D100" s="43">
        <f t="shared" si="2"/>
        <v>0</v>
      </c>
      <c r="E100" s="319"/>
      <c r="F100" s="319"/>
      <c r="G100" s="319"/>
      <c r="H100" s="319"/>
      <c r="I100" s="319"/>
      <c r="J100" s="319"/>
      <c r="K100" s="319"/>
      <c r="L100" s="319"/>
      <c r="M100" s="319">
        <v>-320099</v>
      </c>
      <c r="N100" s="319"/>
      <c r="O100" s="319">
        <v>220099</v>
      </c>
      <c r="P100" s="319">
        <v>100000</v>
      </c>
      <c r="Q100" s="516"/>
    </row>
    <row r="101" spans="1:17" s="99" customFormat="1" ht="21.75" customHeight="1">
      <c r="A101" s="42"/>
      <c r="B101" s="941">
        <v>85195</v>
      </c>
      <c r="C101" s="335" t="s">
        <v>646</v>
      </c>
      <c r="D101" s="43">
        <f t="shared" si="2"/>
        <v>0</v>
      </c>
      <c r="E101" s="319"/>
      <c r="F101" s="319"/>
      <c r="G101" s="319"/>
      <c r="H101" s="319"/>
      <c r="I101" s="319"/>
      <c r="J101" s="319"/>
      <c r="K101" s="319"/>
      <c r="L101" s="319"/>
      <c r="M101" s="319">
        <v>-2455</v>
      </c>
      <c r="N101" s="319">
        <v>-11340</v>
      </c>
      <c r="O101" s="319">
        <v>13795</v>
      </c>
      <c r="P101" s="319"/>
      <c r="Q101" s="516"/>
    </row>
    <row r="102" spans="1:17" s="22" customFormat="1" ht="29.25" customHeight="1">
      <c r="A102" s="38">
        <v>853</v>
      </c>
      <c r="B102" s="39"/>
      <c r="C102" s="40" t="s">
        <v>691</v>
      </c>
      <c r="D102" s="41">
        <f t="shared" si="2"/>
        <v>20000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>
        <f>O103</f>
        <v>20000</v>
      </c>
      <c r="P102" s="41"/>
      <c r="Q102" s="513"/>
    </row>
    <row r="103" spans="1:17" s="99" customFormat="1" ht="33" customHeight="1">
      <c r="A103" s="42"/>
      <c r="B103" s="941">
        <v>85321</v>
      </c>
      <c r="C103" s="335" t="s">
        <v>434</v>
      </c>
      <c r="D103" s="43">
        <f t="shared" si="2"/>
        <v>20000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>
        <v>20000</v>
      </c>
      <c r="P103" s="43"/>
      <c r="Q103" s="516"/>
    </row>
    <row r="104" spans="1:17" s="22" customFormat="1" ht="29.25" customHeight="1">
      <c r="A104" s="38">
        <v>921</v>
      </c>
      <c r="B104" s="39"/>
      <c r="C104" s="40" t="s">
        <v>265</v>
      </c>
      <c r="D104" s="41">
        <f>SUM(E104:P104)</f>
        <v>0</v>
      </c>
      <c r="E104" s="41"/>
      <c r="F104" s="41"/>
      <c r="G104" s="41"/>
      <c r="H104" s="41"/>
      <c r="I104" s="41"/>
      <c r="J104" s="41"/>
      <c r="K104" s="41">
        <f aca="true" t="shared" si="12" ref="K104:P104">SUM(K105:K106)</f>
        <v>-9500</v>
      </c>
      <c r="L104" s="41">
        <f t="shared" si="12"/>
        <v>-1000</v>
      </c>
      <c r="M104" s="41"/>
      <c r="N104" s="41">
        <f t="shared" si="12"/>
        <v>-86400</v>
      </c>
      <c r="O104" s="41">
        <f t="shared" si="12"/>
        <v>150000</v>
      </c>
      <c r="P104" s="41">
        <f t="shared" si="12"/>
        <v>-53100</v>
      </c>
      <c r="Q104" s="513"/>
    </row>
    <row r="105" spans="1:17" s="99" customFormat="1" ht="21.75" customHeight="1">
      <c r="A105" s="42"/>
      <c r="B105" s="157">
        <v>92113</v>
      </c>
      <c r="C105" s="98" t="s">
        <v>267</v>
      </c>
      <c r="D105" s="43">
        <f>SUM(E105:P105)</f>
        <v>0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>
        <v>100000</v>
      </c>
      <c r="P105" s="43">
        <v>-100000</v>
      </c>
      <c r="Q105" s="516"/>
    </row>
    <row r="106" spans="1:17" s="99" customFormat="1" ht="21.75" customHeight="1">
      <c r="A106" s="42"/>
      <c r="B106" s="44">
        <v>92116</v>
      </c>
      <c r="C106" s="318" t="s">
        <v>882</v>
      </c>
      <c r="D106" s="319">
        <f>SUM(E106:P106)</f>
        <v>0</v>
      </c>
      <c r="E106" s="319"/>
      <c r="F106" s="319"/>
      <c r="G106" s="319"/>
      <c r="H106" s="319"/>
      <c r="I106" s="319"/>
      <c r="J106" s="319"/>
      <c r="K106" s="319">
        <v>-9500</v>
      </c>
      <c r="L106" s="319">
        <v>-1000</v>
      </c>
      <c r="M106" s="319"/>
      <c r="N106" s="319">
        <v>-86400</v>
      </c>
      <c r="O106" s="319">
        <v>50000</v>
      </c>
      <c r="P106" s="319">
        <f>30000+16900</f>
        <v>46900</v>
      </c>
      <c r="Q106" s="516"/>
    </row>
    <row r="107" spans="1:17" s="33" customFormat="1" ht="21.75" customHeight="1">
      <c r="A107" s="30"/>
      <c r="B107" s="30"/>
      <c r="C107" s="31" t="s">
        <v>635</v>
      </c>
      <c r="D107" s="32">
        <f t="shared" si="2"/>
        <v>0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>
        <f>N108+N137</f>
        <v>-35121767</v>
      </c>
      <c r="O107" s="32">
        <f>O108+O137</f>
        <v>32737767</v>
      </c>
      <c r="P107" s="32">
        <f>P108+P137</f>
        <v>2384000</v>
      </c>
      <c r="Q107" s="515"/>
    </row>
    <row r="108" spans="1:17" s="22" customFormat="1" ht="21.75" customHeight="1" thickBot="1">
      <c r="A108" s="35"/>
      <c r="B108" s="35"/>
      <c r="C108" s="36" t="s">
        <v>640</v>
      </c>
      <c r="D108" s="37">
        <f t="shared" si="2"/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>
        <f>N109+N115+N117+N120+N125+N127+N131+N134</f>
        <v>-34929005</v>
      </c>
      <c r="O108" s="37">
        <f>O109+O115+O117+O120+O125+O127+O131+O134</f>
        <v>32545005</v>
      </c>
      <c r="P108" s="37">
        <f>P109+P115+P117+P120+P125+P127+P131+P134</f>
        <v>2384000</v>
      </c>
      <c r="Q108" s="513"/>
    </row>
    <row r="109" spans="1:17" s="22" customFormat="1" ht="21.75" customHeight="1" thickTop="1">
      <c r="A109" s="38">
        <v>600</v>
      </c>
      <c r="B109" s="39"/>
      <c r="C109" s="40" t="s">
        <v>644</v>
      </c>
      <c r="D109" s="41">
        <f t="shared" si="2"/>
        <v>0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>
        <f>SUM(N110:N113)</f>
        <v>-11507602</v>
      </c>
      <c r="O109" s="41">
        <f>SUM(O110:O113)</f>
        <v>10159602</v>
      </c>
      <c r="P109" s="41">
        <f>SUM(P110:P113)</f>
        <v>1348000</v>
      </c>
      <c r="Q109" s="513"/>
    </row>
    <row r="110" spans="1:17" s="155" customFormat="1" ht="21.75" customHeight="1">
      <c r="A110" s="304"/>
      <c r="B110" s="305">
        <v>60004</v>
      </c>
      <c r="C110" s="153" t="s">
        <v>645</v>
      </c>
      <c r="D110" s="43">
        <f t="shared" si="2"/>
        <v>0</v>
      </c>
      <c r="E110" s="154"/>
      <c r="F110" s="154"/>
      <c r="G110" s="154"/>
      <c r="H110" s="154"/>
      <c r="I110" s="154"/>
      <c r="J110" s="154"/>
      <c r="K110" s="154"/>
      <c r="L110" s="325"/>
      <c r="M110" s="325"/>
      <c r="N110" s="325">
        <v>-57921</v>
      </c>
      <c r="O110" s="154">
        <v>57921</v>
      </c>
      <c r="P110" s="154"/>
      <c r="Q110" s="518"/>
    </row>
    <row r="111" spans="1:17" s="99" customFormat="1" ht="19.5" customHeight="1">
      <c r="A111" s="42"/>
      <c r="B111" s="44">
        <v>60015</v>
      </c>
      <c r="C111" s="318" t="s">
        <v>208</v>
      </c>
      <c r="D111" s="43">
        <f t="shared" si="2"/>
        <v>518000</v>
      </c>
      <c r="E111" s="319"/>
      <c r="F111" s="319"/>
      <c r="G111" s="319"/>
      <c r="H111" s="319"/>
      <c r="I111" s="319"/>
      <c r="J111" s="319"/>
      <c r="K111" s="319"/>
      <c r="L111" s="319"/>
      <c r="M111" s="319"/>
      <c r="N111" s="319">
        <v>-9793461</v>
      </c>
      <c r="O111" s="319">
        <f>-830000+9793461</f>
        <v>8963461</v>
      </c>
      <c r="P111" s="319">
        <v>1348000</v>
      </c>
      <c r="Q111" s="516"/>
    </row>
    <row r="112" spans="1:17" s="99" customFormat="1" ht="19.5" customHeight="1">
      <c r="A112" s="42"/>
      <c r="B112" s="44">
        <v>60016</v>
      </c>
      <c r="C112" s="318" t="s">
        <v>257</v>
      </c>
      <c r="D112" s="43">
        <f t="shared" si="2"/>
        <v>-518000</v>
      </c>
      <c r="E112" s="319"/>
      <c r="F112" s="319"/>
      <c r="G112" s="319"/>
      <c r="H112" s="319"/>
      <c r="I112" s="319"/>
      <c r="J112" s="319"/>
      <c r="K112" s="319"/>
      <c r="L112" s="319"/>
      <c r="M112" s="319"/>
      <c r="N112" s="319">
        <v>-1655651</v>
      </c>
      <c r="O112" s="319">
        <f>-518000+1655651</f>
        <v>1137651</v>
      </c>
      <c r="P112" s="319"/>
      <c r="Q112" s="516"/>
    </row>
    <row r="113" spans="1:17" s="99" customFormat="1" ht="19.5" customHeight="1">
      <c r="A113" s="44"/>
      <c r="B113" s="44">
        <v>60017</v>
      </c>
      <c r="C113" s="318" t="s">
        <v>587</v>
      </c>
      <c r="D113" s="43">
        <f t="shared" si="2"/>
        <v>0</v>
      </c>
      <c r="E113" s="319"/>
      <c r="F113" s="319"/>
      <c r="G113" s="319"/>
      <c r="H113" s="319"/>
      <c r="I113" s="319"/>
      <c r="J113" s="319"/>
      <c r="K113" s="319"/>
      <c r="L113" s="319"/>
      <c r="M113" s="319"/>
      <c r="N113" s="319">
        <v>-569</v>
      </c>
      <c r="O113" s="319">
        <v>569</v>
      </c>
      <c r="P113" s="319"/>
      <c r="Q113" s="516"/>
    </row>
    <row r="114" spans="1:17" s="99" customFormat="1" ht="19.5" customHeight="1">
      <c r="A114" s="1579"/>
      <c r="B114" s="1579"/>
      <c r="C114" s="1581"/>
      <c r="D114" s="1582"/>
      <c r="E114" s="1582"/>
      <c r="F114" s="1582"/>
      <c r="G114" s="1582"/>
      <c r="H114" s="1582"/>
      <c r="I114" s="1582"/>
      <c r="J114" s="1582"/>
      <c r="K114" s="1582"/>
      <c r="L114" s="1582"/>
      <c r="M114" s="1582"/>
      <c r="N114" s="1582"/>
      <c r="O114" s="1582"/>
      <c r="P114" s="1582"/>
      <c r="Q114" s="516"/>
    </row>
    <row r="115" spans="1:17" s="22" customFormat="1" ht="21.75" customHeight="1">
      <c r="A115" s="39">
        <v>700</v>
      </c>
      <c r="B115" s="39"/>
      <c r="C115" s="40" t="s">
        <v>679</v>
      </c>
      <c r="D115" s="41">
        <f t="shared" si="2"/>
        <v>0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>
        <f>N116</f>
        <v>-1625114</v>
      </c>
      <c r="O115" s="41">
        <f>O116</f>
        <v>1625114</v>
      </c>
      <c r="P115" s="41"/>
      <c r="Q115" s="513"/>
    </row>
    <row r="116" spans="1:17" s="99" customFormat="1" ht="21.75" customHeight="1">
      <c r="A116" s="156"/>
      <c r="B116" s="157">
        <v>70095</v>
      </c>
      <c r="C116" s="98" t="s">
        <v>646</v>
      </c>
      <c r="D116" s="43">
        <f t="shared" si="2"/>
        <v>0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>
        <v>-1625114</v>
      </c>
      <c r="O116" s="43">
        <v>1625114</v>
      </c>
      <c r="P116" s="43"/>
      <c r="Q116" s="516"/>
    </row>
    <row r="117" spans="1:17" s="22" customFormat="1" ht="21.75" customHeight="1">
      <c r="A117" s="38">
        <v>710</v>
      </c>
      <c r="B117" s="39"/>
      <c r="C117" s="40" t="s">
        <v>258</v>
      </c>
      <c r="D117" s="41">
        <f t="shared" si="2"/>
        <v>0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>
        <f>SUM(N118:N119)</f>
        <v>-417431</v>
      </c>
      <c r="O117" s="41">
        <f>SUM(O118:O119)</f>
        <v>417431</v>
      </c>
      <c r="P117" s="41"/>
      <c r="Q117" s="513"/>
    </row>
    <row r="118" spans="1:17" s="99" customFormat="1" ht="21.75" customHeight="1">
      <c r="A118" s="156"/>
      <c r="B118" s="157">
        <v>71004</v>
      </c>
      <c r="C118" s="98" t="s">
        <v>262</v>
      </c>
      <c r="D118" s="43">
        <f t="shared" si="2"/>
        <v>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>
        <v>-52535</v>
      </c>
      <c r="O118" s="43">
        <v>52535</v>
      </c>
      <c r="P118" s="43"/>
      <c r="Q118" s="516"/>
    </row>
    <row r="119" spans="1:17" s="99" customFormat="1" ht="21.75" customHeight="1">
      <c r="A119" s="44"/>
      <c r="B119" s="157">
        <v>71035</v>
      </c>
      <c r="C119" s="98" t="s">
        <v>600</v>
      </c>
      <c r="D119" s="43">
        <f t="shared" si="2"/>
        <v>0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>
        <v>-364896</v>
      </c>
      <c r="O119" s="43">
        <v>364896</v>
      </c>
      <c r="P119" s="43"/>
      <c r="Q119" s="516"/>
    </row>
    <row r="120" spans="1:17" s="22" customFormat="1" ht="21.75" customHeight="1">
      <c r="A120" s="39">
        <v>801</v>
      </c>
      <c r="B120" s="39"/>
      <c r="C120" s="40" t="s">
        <v>647</v>
      </c>
      <c r="D120" s="41">
        <f t="shared" si="2"/>
        <v>0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>
        <f>SUM(N121:N124)</f>
        <v>-4306198</v>
      </c>
      <c r="O120" s="41">
        <f>SUM(O121:O124)</f>
        <v>4301198</v>
      </c>
      <c r="P120" s="41">
        <f>SUM(P121:P124)</f>
        <v>5000</v>
      </c>
      <c r="Q120" s="513"/>
    </row>
    <row r="121" spans="1:17" s="99" customFormat="1" ht="21.75" customHeight="1">
      <c r="A121" s="156"/>
      <c r="B121" s="157">
        <v>80101</v>
      </c>
      <c r="C121" s="98" t="s">
        <v>202</v>
      </c>
      <c r="D121" s="43">
        <f t="shared" si="2"/>
        <v>5000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>
        <v>-2473364</v>
      </c>
      <c r="O121" s="43">
        <v>2473364</v>
      </c>
      <c r="P121" s="43">
        <v>5000</v>
      </c>
      <c r="Q121" s="516"/>
    </row>
    <row r="122" spans="1:17" s="99" customFormat="1" ht="21.75" customHeight="1">
      <c r="A122" s="42"/>
      <c r="B122" s="44">
        <v>80110</v>
      </c>
      <c r="C122" s="318" t="s">
        <v>203</v>
      </c>
      <c r="D122" s="43">
        <f aca="true" t="shared" si="13" ref="D122:D197">SUM(E122:P122)</f>
        <v>-5000</v>
      </c>
      <c r="E122" s="319"/>
      <c r="F122" s="319"/>
      <c r="G122" s="319"/>
      <c r="H122" s="319"/>
      <c r="I122" s="319"/>
      <c r="J122" s="319"/>
      <c r="K122" s="319"/>
      <c r="L122" s="319"/>
      <c r="M122" s="319"/>
      <c r="N122" s="319">
        <v>-20894</v>
      </c>
      <c r="O122" s="319">
        <f>-5000+20894</f>
        <v>15894</v>
      </c>
      <c r="P122" s="319"/>
      <c r="Q122" s="516"/>
    </row>
    <row r="123" spans="1:17" s="99" customFormat="1" ht="21.75" customHeight="1">
      <c r="A123" s="42"/>
      <c r="B123" s="44">
        <v>80120</v>
      </c>
      <c r="C123" s="318" t="s">
        <v>204</v>
      </c>
      <c r="D123" s="319">
        <f t="shared" si="13"/>
        <v>0</v>
      </c>
      <c r="E123" s="319"/>
      <c r="F123" s="319"/>
      <c r="G123" s="319"/>
      <c r="H123" s="319"/>
      <c r="I123" s="319"/>
      <c r="J123" s="319"/>
      <c r="K123" s="319"/>
      <c r="L123" s="319"/>
      <c r="M123" s="319"/>
      <c r="N123" s="319">
        <v>-52190</v>
      </c>
      <c r="O123" s="319">
        <v>52190</v>
      </c>
      <c r="P123" s="319"/>
      <c r="Q123" s="516"/>
    </row>
    <row r="124" spans="1:17" s="99" customFormat="1" ht="21.75" customHeight="1">
      <c r="A124" s="44"/>
      <c r="B124" s="44">
        <v>80130</v>
      </c>
      <c r="C124" s="318" t="s">
        <v>693</v>
      </c>
      <c r="D124" s="43">
        <f t="shared" si="13"/>
        <v>0</v>
      </c>
      <c r="E124" s="319"/>
      <c r="F124" s="319"/>
      <c r="G124" s="319"/>
      <c r="H124" s="319"/>
      <c r="I124" s="319"/>
      <c r="J124" s="319"/>
      <c r="K124" s="319"/>
      <c r="L124" s="319"/>
      <c r="M124" s="319"/>
      <c r="N124" s="319">
        <v>-1759750</v>
      </c>
      <c r="O124" s="319">
        <v>1759750</v>
      </c>
      <c r="P124" s="319"/>
      <c r="Q124" s="516"/>
    </row>
    <row r="125" spans="1:17" s="22" customFormat="1" ht="21.75" customHeight="1">
      <c r="A125" s="39">
        <v>852</v>
      </c>
      <c r="B125" s="39"/>
      <c r="C125" s="40" t="s">
        <v>648</v>
      </c>
      <c r="D125" s="41">
        <f t="shared" si="13"/>
        <v>0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>
        <f>N126</f>
        <v>-24846</v>
      </c>
      <c r="O125" s="41">
        <f>O126</f>
        <v>24846</v>
      </c>
      <c r="P125" s="41"/>
      <c r="Q125" s="513"/>
    </row>
    <row r="126" spans="1:17" s="99" customFormat="1" ht="21.75" customHeight="1">
      <c r="A126" s="156"/>
      <c r="B126" s="157">
        <v>85202</v>
      </c>
      <c r="C126" s="98" t="s">
        <v>220</v>
      </c>
      <c r="D126" s="43">
        <f t="shared" si="13"/>
        <v>0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>
        <v>-24846</v>
      </c>
      <c r="O126" s="43">
        <v>24846</v>
      </c>
      <c r="P126" s="43"/>
      <c r="Q126" s="516"/>
    </row>
    <row r="127" spans="1:17" s="22" customFormat="1" ht="30.75" customHeight="1">
      <c r="A127" s="38">
        <v>900</v>
      </c>
      <c r="B127" s="39"/>
      <c r="C127" s="40" t="s">
        <v>126</v>
      </c>
      <c r="D127" s="41">
        <f t="shared" si="13"/>
        <v>0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>
        <f>SUM(N128:N130)</f>
        <v>-9286328</v>
      </c>
      <c r="O127" s="41">
        <f>SUM(O128:O130)</f>
        <v>8381328</v>
      </c>
      <c r="P127" s="41">
        <f>SUM(P128:P130)</f>
        <v>905000</v>
      </c>
      <c r="Q127" s="513"/>
    </row>
    <row r="128" spans="1:17" s="99" customFormat="1" ht="21.75" customHeight="1">
      <c r="A128" s="156"/>
      <c r="B128" s="157">
        <v>90001</v>
      </c>
      <c r="C128" s="98" t="s">
        <v>263</v>
      </c>
      <c r="D128" s="43">
        <f t="shared" si="13"/>
        <v>-620000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>
        <v>-2601700</v>
      </c>
      <c r="O128" s="43">
        <f>-635000+2601700</f>
        <v>1966700</v>
      </c>
      <c r="P128" s="43">
        <v>15000</v>
      </c>
      <c r="Q128" s="516"/>
    </row>
    <row r="129" spans="1:17" s="99" customFormat="1" ht="21.75" customHeight="1">
      <c r="A129" s="42"/>
      <c r="B129" s="44">
        <v>90002</v>
      </c>
      <c r="C129" s="318" t="s">
        <v>264</v>
      </c>
      <c r="D129" s="43">
        <f t="shared" si="13"/>
        <v>0</v>
      </c>
      <c r="E129" s="319"/>
      <c r="F129" s="319"/>
      <c r="G129" s="319"/>
      <c r="H129" s="319"/>
      <c r="I129" s="319"/>
      <c r="J129" s="319"/>
      <c r="K129" s="319"/>
      <c r="L129" s="319"/>
      <c r="M129" s="319"/>
      <c r="N129" s="319">
        <v>-3697713</v>
      </c>
      <c r="O129" s="319">
        <v>3697713</v>
      </c>
      <c r="P129" s="319"/>
      <c r="Q129" s="516"/>
    </row>
    <row r="130" spans="1:17" s="99" customFormat="1" ht="21.75" customHeight="1">
      <c r="A130" s="42"/>
      <c r="B130" s="44">
        <v>90095</v>
      </c>
      <c r="C130" s="318" t="s">
        <v>646</v>
      </c>
      <c r="D130" s="43">
        <f t="shared" si="13"/>
        <v>620000</v>
      </c>
      <c r="E130" s="319"/>
      <c r="F130" s="319"/>
      <c r="G130" s="319"/>
      <c r="H130" s="319"/>
      <c r="I130" s="319"/>
      <c r="J130" s="319"/>
      <c r="K130" s="319"/>
      <c r="L130" s="319"/>
      <c r="M130" s="319"/>
      <c r="N130" s="319">
        <v>-2986915</v>
      </c>
      <c r="O130" s="319">
        <f>-270000+2986915</f>
        <v>2716915</v>
      </c>
      <c r="P130" s="319">
        <v>890000</v>
      </c>
      <c r="Q130" s="516"/>
    </row>
    <row r="131" spans="1:17" s="22" customFormat="1" ht="30" customHeight="1">
      <c r="A131" s="38">
        <v>921</v>
      </c>
      <c r="B131" s="39"/>
      <c r="C131" s="40" t="s">
        <v>265</v>
      </c>
      <c r="D131" s="41">
        <f t="shared" si="13"/>
        <v>0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>
        <f>SUM(N132:N133)</f>
        <v>-902854</v>
      </c>
      <c r="O131" s="41">
        <f>SUM(O132:O133)</f>
        <v>902854</v>
      </c>
      <c r="P131" s="41"/>
      <c r="Q131" s="513"/>
    </row>
    <row r="132" spans="1:17" s="99" customFormat="1" ht="21.75" customHeight="1">
      <c r="A132" s="156"/>
      <c r="B132" s="157">
        <v>92113</v>
      </c>
      <c r="C132" s="98" t="s">
        <v>267</v>
      </c>
      <c r="D132" s="43">
        <f t="shared" si="13"/>
        <v>0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>
        <v>-89020</v>
      </c>
      <c r="O132" s="43">
        <v>89020</v>
      </c>
      <c r="P132" s="43"/>
      <c r="Q132" s="516"/>
    </row>
    <row r="133" spans="1:17" s="99" customFormat="1" ht="21.75" customHeight="1">
      <c r="A133" s="44"/>
      <c r="B133" s="44">
        <v>92120</v>
      </c>
      <c r="C133" s="318" t="s">
        <v>305</v>
      </c>
      <c r="D133" s="319">
        <f t="shared" si="13"/>
        <v>0</v>
      </c>
      <c r="E133" s="319"/>
      <c r="F133" s="319"/>
      <c r="G133" s="319"/>
      <c r="H133" s="319"/>
      <c r="I133" s="319"/>
      <c r="J133" s="319"/>
      <c r="K133" s="319"/>
      <c r="L133" s="319"/>
      <c r="M133" s="319"/>
      <c r="N133" s="319">
        <v>-813834</v>
      </c>
      <c r="O133" s="319">
        <v>813834</v>
      </c>
      <c r="P133" s="319"/>
      <c r="Q133" s="516"/>
    </row>
    <row r="134" spans="1:17" s="22" customFormat="1" ht="19.5" customHeight="1">
      <c r="A134" s="38">
        <v>926</v>
      </c>
      <c r="B134" s="39"/>
      <c r="C134" s="40" t="s">
        <v>266</v>
      </c>
      <c r="D134" s="41">
        <f t="shared" si="13"/>
        <v>0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>
        <f>SUM(N135:N136)</f>
        <v>-6858632</v>
      </c>
      <c r="O134" s="41">
        <f>SUM(O135:O136)</f>
        <v>6732632</v>
      </c>
      <c r="P134" s="41">
        <f>SUM(P135:P136)</f>
        <v>126000</v>
      </c>
      <c r="Q134" s="513"/>
    </row>
    <row r="135" spans="1:17" s="99" customFormat="1" ht="17.25" customHeight="1">
      <c r="A135" s="156"/>
      <c r="B135" s="157">
        <v>92604</v>
      </c>
      <c r="C135" s="98" t="s">
        <v>268</v>
      </c>
      <c r="D135" s="43">
        <f t="shared" si="13"/>
        <v>0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>
        <v>-6728476</v>
      </c>
      <c r="O135" s="43">
        <f>-94000+6728476</f>
        <v>6634476</v>
      </c>
      <c r="P135" s="43">
        <v>94000</v>
      </c>
      <c r="Q135" s="516"/>
    </row>
    <row r="136" spans="1:17" s="99" customFormat="1" ht="21.75" customHeight="1">
      <c r="A136" s="42"/>
      <c r="B136" s="157">
        <v>92605</v>
      </c>
      <c r="C136" s="98" t="s">
        <v>290</v>
      </c>
      <c r="D136" s="43">
        <f t="shared" si="13"/>
        <v>0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>
        <v>-130156</v>
      </c>
      <c r="O136" s="43">
        <f>-32000+130156</f>
        <v>98156</v>
      </c>
      <c r="P136" s="43">
        <v>32000</v>
      </c>
      <c r="Q136" s="516"/>
    </row>
    <row r="137" spans="1:17" s="22" customFormat="1" ht="47.25" customHeight="1" thickBot="1">
      <c r="A137" s="35"/>
      <c r="B137" s="35"/>
      <c r="C137" s="36" t="s">
        <v>678</v>
      </c>
      <c r="D137" s="37">
        <f t="shared" si="13"/>
        <v>0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>
        <f>N138</f>
        <v>-192762</v>
      </c>
      <c r="O137" s="37">
        <f>O138</f>
        <v>192762</v>
      </c>
      <c r="P137" s="37"/>
      <c r="Q137" s="513"/>
    </row>
    <row r="138" spans="1:17" s="22" customFormat="1" ht="21.75" customHeight="1" thickTop="1">
      <c r="A138" s="38">
        <v>700</v>
      </c>
      <c r="B138" s="39"/>
      <c r="C138" s="40" t="s">
        <v>601</v>
      </c>
      <c r="D138" s="41">
        <f t="shared" si="13"/>
        <v>0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>
        <f>N139</f>
        <v>-192762</v>
      </c>
      <c r="O138" s="41">
        <f>O139</f>
        <v>192762</v>
      </c>
      <c r="P138" s="41"/>
      <c r="Q138" s="513"/>
    </row>
    <row r="139" spans="1:17" s="99" customFormat="1" ht="21.75" customHeight="1">
      <c r="A139" s="156"/>
      <c r="B139" s="157">
        <v>70005</v>
      </c>
      <c r="C139" s="98" t="s">
        <v>680</v>
      </c>
      <c r="D139" s="43">
        <f t="shared" si="13"/>
        <v>0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>
        <v>-192762</v>
      </c>
      <c r="O139" s="43">
        <v>192762</v>
      </c>
      <c r="P139" s="43"/>
      <c r="Q139" s="516"/>
    </row>
    <row r="140" spans="1:17" s="102" customFormat="1" ht="21.75" customHeight="1">
      <c r="A140" s="42"/>
      <c r="B140" s="42"/>
      <c r="C140" s="100" t="s">
        <v>636</v>
      </c>
      <c r="D140" s="101">
        <f t="shared" si="13"/>
        <v>150000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>
        <f aca="true" t="shared" si="14" ref="O140:P142">O141</f>
        <v>80000</v>
      </c>
      <c r="P140" s="101">
        <f t="shared" si="14"/>
        <v>70000</v>
      </c>
      <c r="Q140" s="517"/>
    </row>
    <row r="141" spans="1:17" s="99" customFormat="1" ht="21.75" customHeight="1" thickBot="1">
      <c r="A141" s="44"/>
      <c r="B141" s="44"/>
      <c r="C141" s="103" t="s">
        <v>640</v>
      </c>
      <c r="D141" s="104">
        <f t="shared" si="13"/>
        <v>150000</v>
      </c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>
        <f t="shared" si="14"/>
        <v>80000</v>
      </c>
      <c r="P141" s="104">
        <f t="shared" si="14"/>
        <v>70000</v>
      </c>
      <c r="Q141" s="516"/>
    </row>
    <row r="142" spans="1:17" s="22" customFormat="1" ht="21.75" customHeight="1" thickTop="1">
      <c r="A142" s="38">
        <v>750</v>
      </c>
      <c r="B142" s="39"/>
      <c r="C142" s="40" t="s">
        <v>651</v>
      </c>
      <c r="D142" s="41">
        <f t="shared" si="13"/>
        <v>150000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>
        <f t="shared" si="14"/>
        <v>80000</v>
      </c>
      <c r="P142" s="41">
        <f t="shared" si="14"/>
        <v>70000</v>
      </c>
      <c r="Q142" s="513"/>
    </row>
    <row r="143" spans="1:17" s="99" customFormat="1" ht="21.75" customHeight="1">
      <c r="A143" s="156"/>
      <c r="B143" s="157">
        <v>75075</v>
      </c>
      <c r="C143" s="98" t="s">
        <v>514</v>
      </c>
      <c r="D143" s="43">
        <f t="shared" si="13"/>
        <v>150000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>
        <v>80000</v>
      </c>
      <c r="P143" s="43">
        <v>70000</v>
      </c>
      <c r="Q143" s="516"/>
    </row>
    <row r="144" spans="1:17" s="102" customFormat="1" ht="21.75" customHeight="1">
      <c r="A144" s="42"/>
      <c r="B144" s="42"/>
      <c r="C144" s="100" t="s">
        <v>128</v>
      </c>
      <c r="D144" s="101">
        <f t="shared" si="13"/>
        <v>44000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>
        <f aca="true" t="shared" si="15" ref="O144:P146">O145</f>
        <v>117265</v>
      </c>
      <c r="P144" s="101">
        <f t="shared" si="15"/>
        <v>-73265</v>
      </c>
      <c r="Q144" s="517"/>
    </row>
    <row r="145" spans="1:17" s="99" customFormat="1" ht="21.75" customHeight="1" thickBot="1">
      <c r="A145" s="44"/>
      <c r="B145" s="44"/>
      <c r="C145" s="103" t="s">
        <v>640</v>
      </c>
      <c r="D145" s="104">
        <f t="shared" si="13"/>
        <v>44000</v>
      </c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>
        <f t="shared" si="15"/>
        <v>117265</v>
      </c>
      <c r="P145" s="104">
        <f t="shared" si="15"/>
        <v>-73265</v>
      </c>
      <c r="Q145" s="516"/>
    </row>
    <row r="146" spans="1:17" s="22" customFormat="1" ht="36" customHeight="1" thickTop="1">
      <c r="A146" s="38">
        <v>754</v>
      </c>
      <c r="B146" s="39"/>
      <c r="C146" s="40" t="s">
        <v>641</v>
      </c>
      <c r="D146" s="41">
        <f t="shared" si="13"/>
        <v>44000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>
        <f t="shared" si="15"/>
        <v>117265</v>
      </c>
      <c r="P146" s="41">
        <f t="shared" si="15"/>
        <v>-73265</v>
      </c>
      <c r="Q146" s="513"/>
    </row>
    <row r="147" spans="1:17" s="99" customFormat="1" ht="21.75" customHeight="1">
      <c r="A147" s="156"/>
      <c r="B147" s="156">
        <v>75416</v>
      </c>
      <c r="C147" s="1578" t="s">
        <v>129</v>
      </c>
      <c r="D147" s="321">
        <f t="shared" si="13"/>
        <v>44000</v>
      </c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>
        <v>117265</v>
      </c>
      <c r="P147" s="321">
        <v>-73265</v>
      </c>
      <c r="Q147" s="516"/>
    </row>
    <row r="148" spans="1:17" s="99" customFormat="1" ht="21.75" customHeight="1">
      <c r="A148" s="1579"/>
      <c r="B148" s="1579"/>
      <c r="C148" s="1581"/>
      <c r="D148" s="1582"/>
      <c r="E148" s="1582"/>
      <c r="F148" s="1582"/>
      <c r="G148" s="1582"/>
      <c r="H148" s="1582"/>
      <c r="I148" s="1582"/>
      <c r="J148" s="1582"/>
      <c r="K148" s="1582"/>
      <c r="L148" s="1582"/>
      <c r="M148" s="1582"/>
      <c r="N148" s="1582"/>
      <c r="O148" s="1582"/>
      <c r="P148" s="1582"/>
      <c r="Q148" s="516"/>
    </row>
    <row r="149" spans="1:17" s="99" customFormat="1" ht="21.75" customHeight="1">
      <c r="A149" s="1583"/>
      <c r="B149" s="1583"/>
      <c r="C149" s="1585"/>
      <c r="D149" s="1586"/>
      <c r="E149" s="1586"/>
      <c r="F149" s="1586"/>
      <c r="G149" s="1586"/>
      <c r="H149" s="1586"/>
      <c r="I149" s="1586"/>
      <c r="J149" s="1586"/>
      <c r="K149" s="1586"/>
      <c r="L149" s="1586"/>
      <c r="M149" s="1586"/>
      <c r="N149" s="1586"/>
      <c r="O149" s="1586"/>
      <c r="P149" s="1586"/>
      <c r="Q149" s="516"/>
    </row>
    <row r="150" spans="1:17" s="99" customFormat="1" ht="21.75" customHeight="1">
      <c r="A150" s="1583"/>
      <c r="B150" s="1583"/>
      <c r="C150" s="1585"/>
      <c r="D150" s="1586"/>
      <c r="E150" s="1586"/>
      <c r="F150" s="1586"/>
      <c r="G150" s="1586"/>
      <c r="H150" s="1586"/>
      <c r="I150" s="1586"/>
      <c r="J150" s="1586"/>
      <c r="K150" s="1586"/>
      <c r="L150" s="1586"/>
      <c r="M150" s="1586"/>
      <c r="N150" s="1586"/>
      <c r="O150" s="1586"/>
      <c r="P150" s="1586"/>
      <c r="Q150" s="516"/>
    </row>
    <row r="151" spans="1:17" s="102" customFormat="1" ht="33.75" customHeight="1">
      <c r="A151" s="42"/>
      <c r="B151" s="42"/>
      <c r="C151" s="510" t="s">
        <v>595</v>
      </c>
      <c r="D151" s="101">
        <f t="shared" si="13"/>
        <v>35000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>
        <f aca="true" t="shared" si="16" ref="O151:P153">O152</f>
        <v>3000</v>
      </c>
      <c r="P151" s="101">
        <f t="shared" si="16"/>
        <v>32000</v>
      </c>
      <c r="Q151" s="517"/>
    </row>
    <row r="152" spans="1:17" s="99" customFormat="1" ht="23.25" customHeight="1" thickBot="1">
      <c r="A152" s="44"/>
      <c r="B152" s="44"/>
      <c r="C152" s="103" t="s">
        <v>640</v>
      </c>
      <c r="D152" s="104">
        <f t="shared" si="13"/>
        <v>35000</v>
      </c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>
        <f t="shared" si="16"/>
        <v>3000</v>
      </c>
      <c r="P152" s="104">
        <f t="shared" si="16"/>
        <v>32000</v>
      </c>
      <c r="Q152" s="516"/>
    </row>
    <row r="153" spans="1:17" s="22" customFormat="1" ht="23.25" customHeight="1" thickTop="1">
      <c r="A153" s="38">
        <v>852</v>
      </c>
      <c r="B153" s="39"/>
      <c r="C153" s="40" t="s">
        <v>648</v>
      </c>
      <c r="D153" s="41">
        <f t="shared" si="13"/>
        <v>35000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>
        <f t="shared" si="16"/>
        <v>3000</v>
      </c>
      <c r="P153" s="41">
        <f t="shared" si="16"/>
        <v>32000</v>
      </c>
      <c r="Q153" s="513"/>
    </row>
    <row r="154" spans="1:17" s="99" customFormat="1" ht="21.75" customHeight="1">
      <c r="A154" s="509"/>
      <c r="B154" s="334">
        <v>85201</v>
      </c>
      <c r="C154" s="335" t="s">
        <v>298</v>
      </c>
      <c r="D154" s="43">
        <f t="shared" si="13"/>
        <v>35000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>
        <v>3000</v>
      </c>
      <c r="P154" s="43">
        <v>32000</v>
      </c>
      <c r="Q154" s="516"/>
    </row>
    <row r="155" spans="1:17" s="102" customFormat="1" ht="33.75" customHeight="1">
      <c r="A155" s="42"/>
      <c r="B155" s="42"/>
      <c r="C155" s="100" t="s">
        <v>589</v>
      </c>
      <c r="D155" s="101">
        <f t="shared" si="13"/>
        <v>3000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>
        <f>O156</f>
        <v>3000</v>
      </c>
      <c r="P155" s="101"/>
      <c r="Q155" s="517"/>
    </row>
    <row r="156" spans="1:17" s="99" customFormat="1" ht="21.75" customHeight="1" thickBot="1">
      <c r="A156" s="44"/>
      <c r="B156" s="44"/>
      <c r="C156" s="103" t="s">
        <v>640</v>
      </c>
      <c r="D156" s="104">
        <f t="shared" si="13"/>
        <v>3000</v>
      </c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>
        <f>O157</f>
        <v>3000</v>
      </c>
      <c r="P156" s="104"/>
      <c r="Q156" s="516"/>
    </row>
    <row r="157" spans="1:17" s="22" customFormat="1" ht="23.25" customHeight="1" thickTop="1">
      <c r="A157" s="38">
        <v>852</v>
      </c>
      <c r="B157" s="39"/>
      <c r="C157" s="40" t="s">
        <v>648</v>
      </c>
      <c r="D157" s="41">
        <f t="shared" si="13"/>
        <v>3000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>
        <f>O158</f>
        <v>3000</v>
      </c>
      <c r="P157" s="41"/>
      <c r="Q157" s="513"/>
    </row>
    <row r="158" spans="1:17" s="99" customFormat="1" ht="21.75" customHeight="1">
      <c r="A158" s="509"/>
      <c r="B158" s="334">
        <v>85201</v>
      </c>
      <c r="C158" s="335" t="s">
        <v>298</v>
      </c>
      <c r="D158" s="43">
        <f t="shared" si="13"/>
        <v>3000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>
        <v>3000</v>
      </c>
      <c r="P158" s="43"/>
      <c r="Q158" s="516"/>
    </row>
    <row r="159" spans="1:17" s="102" customFormat="1" ht="21.75" customHeight="1">
      <c r="A159" s="42"/>
      <c r="B159" s="42"/>
      <c r="C159" s="510" t="s">
        <v>146</v>
      </c>
      <c r="D159" s="101">
        <f aca="true" t="shared" si="17" ref="D159:D171">SUM(E159:P159)</f>
        <v>47680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>
        <f>O160</f>
        <v>0</v>
      </c>
      <c r="P159" s="101">
        <f>P160</f>
        <v>47680</v>
      </c>
      <c r="Q159" s="517"/>
    </row>
    <row r="160" spans="1:17" s="99" customFormat="1" ht="18.75" thickBot="1">
      <c r="A160" s="44"/>
      <c r="B160" s="44"/>
      <c r="C160" s="103" t="s">
        <v>640</v>
      </c>
      <c r="D160" s="104">
        <f t="shared" si="17"/>
        <v>47680</v>
      </c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>
        <f>O161</f>
        <v>0</v>
      </c>
      <c r="P160" s="104">
        <f>P161</f>
        <v>47680</v>
      </c>
      <c r="Q160" s="516"/>
    </row>
    <row r="161" spans="1:17" s="22" customFormat="1" ht="24" customHeight="1" thickTop="1">
      <c r="A161" s="38">
        <v>852</v>
      </c>
      <c r="B161" s="39"/>
      <c r="C161" s="40" t="s">
        <v>648</v>
      </c>
      <c r="D161" s="41">
        <f t="shared" si="17"/>
        <v>47680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>
        <f>SUM(O162:O163)</f>
        <v>0</v>
      </c>
      <c r="P161" s="41">
        <f>SUM(P162:P163)</f>
        <v>47680</v>
      </c>
      <c r="Q161" s="513"/>
    </row>
    <row r="162" spans="1:17" s="99" customFormat="1" ht="21.75" customHeight="1">
      <c r="A162" s="509"/>
      <c r="B162" s="334">
        <v>85201</v>
      </c>
      <c r="C162" s="335" t="s">
        <v>298</v>
      </c>
      <c r="D162" s="43">
        <f t="shared" si="13"/>
        <v>47572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>
        <v>-108</v>
      </c>
      <c r="P162" s="43">
        <v>47680</v>
      </c>
      <c r="Q162" s="516"/>
    </row>
    <row r="163" spans="1:17" s="99" customFormat="1" ht="21.75" customHeight="1">
      <c r="A163" s="30"/>
      <c r="B163" s="334">
        <v>85295</v>
      </c>
      <c r="C163" s="335" t="s">
        <v>646</v>
      </c>
      <c r="D163" s="43">
        <f t="shared" si="17"/>
        <v>108</v>
      </c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>
        <v>108</v>
      </c>
      <c r="P163" s="43"/>
      <c r="Q163" s="516"/>
    </row>
    <row r="164" spans="1:17" s="102" customFormat="1" ht="21.75" customHeight="1">
      <c r="A164" s="42"/>
      <c r="B164" s="42"/>
      <c r="C164" s="510" t="s">
        <v>472</v>
      </c>
      <c r="D164" s="101">
        <f>SUM(E164:P164)</f>
        <v>4110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>
        <f>O165</f>
        <v>4110</v>
      </c>
      <c r="P164" s="101"/>
      <c r="Q164" s="517"/>
    </row>
    <row r="165" spans="1:17" s="99" customFormat="1" ht="18.75" thickBot="1">
      <c r="A165" s="44"/>
      <c r="B165" s="44"/>
      <c r="C165" s="103" t="s">
        <v>640</v>
      </c>
      <c r="D165" s="104">
        <f>SUM(E165:P165)</f>
        <v>4110</v>
      </c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>
        <f>O166</f>
        <v>4110</v>
      </c>
      <c r="P165" s="104"/>
      <c r="Q165" s="516"/>
    </row>
    <row r="166" spans="1:17" s="22" customFormat="1" ht="24" customHeight="1" thickTop="1">
      <c r="A166" s="38">
        <v>852</v>
      </c>
      <c r="B166" s="39"/>
      <c r="C166" s="40" t="s">
        <v>648</v>
      </c>
      <c r="D166" s="41">
        <f>SUM(E166:P166)</f>
        <v>4110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>
        <f>O167</f>
        <v>4110</v>
      </c>
      <c r="P166" s="41"/>
      <c r="Q166" s="513"/>
    </row>
    <row r="167" spans="1:17" s="99" customFormat="1" ht="21.75" customHeight="1">
      <c r="A167" s="509"/>
      <c r="B167" s="334">
        <v>85201</v>
      </c>
      <c r="C167" s="335" t="s">
        <v>298</v>
      </c>
      <c r="D167" s="43">
        <f t="shared" si="13"/>
        <v>4110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>
        <v>4110</v>
      </c>
      <c r="P167" s="43"/>
      <c r="Q167" s="516"/>
    </row>
    <row r="168" spans="1:17" s="102" customFormat="1" ht="21.75" customHeight="1">
      <c r="A168" s="42"/>
      <c r="B168" s="42"/>
      <c r="C168" s="510" t="s">
        <v>473</v>
      </c>
      <c r="D168" s="101">
        <f t="shared" si="17"/>
        <v>60000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>
        <f>P169</f>
        <v>60000</v>
      </c>
      <c r="Q168" s="517"/>
    </row>
    <row r="169" spans="1:17" s="99" customFormat="1" ht="18.75" thickBot="1">
      <c r="A169" s="44"/>
      <c r="B169" s="44"/>
      <c r="C169" s="103" t="s">
        <v>640</v>
      </c>
      <c r="D169" s="104">
        <f t="shared" si="17"/>
        <v>60000</v>
      </c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>
        <f>P170</f>
        <v>60000</v>
      </c>
      <c r="Q169" s="516"/>
    </row>
    <row r="170" spans="1:17" s="22" customFormat="1" ht="24" customHeight="1" thickTop="1">
      <c r="A170" s="38">
        <v>852</v>
      </c>
      <c r="B170" s="39"/>
      <c r="C170" s="40" t="s">
        <v>648</v>
      </c>
      <c r="D170" s="41">
        <f t="shared" si="17"/>
        <v>60000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>
        <f>P171</f>
        <v>60000</v>
      </c>
      <c r="Q170" s="513"/>
    </row>
    <row r="171" spans="1:17" s="99" customFormat="1" ht="21.75" customHeight="1">
      <c r="A171" s="509"/>
      <c r="B171" s="334">
        <v>85201</v>
      </c>
      <c r="C171" s="335" t="s">
        <v>298</v>
      </c>
      <c r="D171" s="43">
        <f t="shared" si="17"/>
        <v>60000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>
        <v>60000</v>
      </c>
      <c r="Q171" s="516"/>
    </row>
    <row r="172" spans="1:17" s="102" customFormat="1" ht="24.75" customHeight="1">
      <c r="A172" s="42"/>
      <c r="B172" s="42"/>
      <c r="C172" s="100" t="s">
        <v>482</v>
      </c>
      <c r="D172" s="101">
        <f aca="true" t="shared" si="18" ref="D172:D183">SUM(E172:P172)</f>
        <v>7400</v>
      </c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>
        <f>P173</f>
        <v>7400</v>
      </c>
      <c r="Q172" s="517"/>
    </row>
    <row r="173" spans="1:17" s="99" customFormat="1" ht="21.75" customHeight="1" thickBot="1">
      <c r="A173" s="44"/>
      <c r="B173" s="44"/>
      <c r="C173" s="103" t="s">
        <v>640</v>
      </c>
      <c r="D173" s="104">
        <f t="shared" si="18"/>
        <v>7400</v>
      </c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>
        <f>P174</f>
        <v>7400</v>
      </c>
      <c r="Q173" s="516"/>
    </row>
    <row r="174" spans="1:17" s="22" customFormat="1" ht="24" customHeight="1" thickTop="1">
      <c r="A174" s="38">
        <v>852</v>
      </c>
      <c r="B174" s="39"/>
      <c r="C174" s="40" t="s">
        <v>648</v>
      </c>
      <c r="D174" s="41">
        <f t="shared" si="18"/>
        <v>7400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>
        <f>P175</f>
        <v>7400</v>
      </c>
      <c r="Q174" s="513"/>
    </row>
    <row r="175" spans="1:17" s="99" customFormat="1" ht="21.75" customHeight="1">
      <c r="A175" s="509"/>
      <c r="B175" s="334">
        <v>85202</v>
      </c>
      <c r="C175" s="335" t="s">
        <v>220</v>
      </c>
      <c r="D175" s="43">
        <f t="shared" si="18"/>
        <v>7400</v>
      </c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>
        <v>7400</v>
      </c>
      <c r="Q175" s="516"/>
    </row>
    <row r="176" spans="1:17" s="102" customFormat="1" ht="29.25" customHeight="1">
      <c r="A176" s="42"/>
      <c r="B176" s="42"/>
      <c r="C176" s="100" t="s">
        <v>475</v>
      </c>
      <c r="D176" s="101">
        <f t="shared" si="18"/>
        <v>90000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>
        <f aca="true" t="shared" si="19" ref="O176:P178">O177</f>
        <v>20000</v>
      </c>
      <c r="P176" s="101">
        <f t="shared" si="19"/>
        <v>70000</v>
      </c>
      <c r="Q176" s="517"/>
    </row>
    <row r="177" spans="1:17" s="99" customFormat="1" ht="21.75" customHeight="1" thickBot="1">
      <c r="A177" s="44"/>
      <c r="B177" s="44"/>
      <c r="C177" s="103" t="s">
        <v>640</v>
      </c>
      <c r="D177" s="104">
        <f t="shared" si="18"/>
        <v>90000</v>
      </c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>
        <f t="shared" si="19"/>
        <v>20000</v>
      </c>
      <c r="P177" s="104">
        <f t="shared" si="19"/>
        <v>70000</v>
      </c>
      <c r="Q177" s="516"/>
    </row>
    <row r="178" spans="1:17" s="22" customFormat="1" ht="24" customHeight="1" thickTop="1">
      <c r="A178" s="38">
        <v>852</v>
      </c>
      <c r="B178" s="39"/>
      <c r="C178" s="40" t="s">
        <v>648</v>
      </c>
      <c r="D178" s="41">
        <f t="shared" si="18"/>
        <v>90000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>
        <f t="shared" si="19"/>
        <v>20000</v>
      </c>
      <c r="P178" s="41">
        <f t="shared" si="19"/>
        <v>70000</v>
      </c>
      <c r="Q178" s="513"/>
    </row>
    <row r="179" spans="1:17" s="99" customFormat="1" ht="21.75" customHeight="1">
      <c r="A179" s="509"/>
      <c r="B179" s="334">
        <v>85202</v>
      </c>
      <c r="C179" s="335" t="s">
        <v>220</v>
      </c>
      <c r="D179" s="43">
        <f t="shared" si="18"/>
        <v>90000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>
        <v>20000</v>
      </c>
      <c r="P179" s="43">
        <v>70000</v>
      </c>
      <c r="Q179" s="516"/>
    </row>
    <row r="180" spans="1:17" s="102" customFormat="1" ht="35.25" customHeight="1">
      <c r="A180" s="42"/>
      <c r="B180" s="42"/>
      <c r="C180" s="100" t="s">
        <v>483</v>
      </c>
      <c r="D180" s="101">
        <f t="shared" si="18"/>
        <v>110000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>
        <f>O181</f>
        <v>30000</v>
      </c>
      <c r="P180" s="101">
        <f>P181</f>
        <v>80000</v>
      </c>
      <c r="Q180" s="517"/>
    </row>
    <row r="181" spans="1:17" s="99" customFormat="1" ht="21.75" customHeight="1" thickBot="1">
      <c r="A181" s="44"/>
      <c r="B181" s="44"/>
      <c r="C181" s="103" t="s">
        <v>640</v>
      </c>
      <c r="D181" s="104">
        <f t="shared" si="18"/>
        <v>110000</v>
      </c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>
        <f>O182</f>
        <v>30000</v>
      </c>
      <c r="P181" s="104">
        <f>P182</f>
        <v>80000</v>
      </c>
      <c r="Q181" s="516"/>
    </row>
    <row r="182" spans="1:17" s="22" customFormat="1" ht="21.75" customHeight="1" thickTop="1">
      <c r="A182" s="38">
        <v>852</v>
      </c>
      <c r="B182" s="39"/>
      <c r="C182" s="40" t="s">
        <v>648</v>
      </c>
      <c r="D182" s="41">
        <f t="shared" si="18"/>
        <v>110000</v>
      </c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>
        <f>SUM(O183:O183)</f>
        <v>30000</v>
      </c>
      <c r="P182" s="41">
        <f>SUM(P183:P183)</f>
        <v>80000</v>
      </c>
      <c r="Q182" s="513"/>
    </row>
    <row r="183" spans="1:17" s="99" customFormat="1" ht="21.75" customHeight="1">
      <c r="A183" s="509"/>
      <c r="B183" s="509">
        <v>85202</v>
      </c>
      <c r="C183" s="435" t="s">
        <v>220</v>
      </c>
      <c r="D183" s="321">
        <f t="shared" si="18"/>
        <v>110000</v>
      </c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>
        <v>30000</v>
      </c>
      <c r="P183" s="321">
        <v>80000</v>
      </c>
      <c r="Q183" s="516"/>
    </row>
    <row r="184" spans="1:17" s="99" customFormat="1" ht="21.75" customHeight="1">
      <c r="A184" s="1587"/>
      <c r="B184" s="1587"/>
      <c r="C184" s="1588"/>
      <c r="D184" s="1582"/>
      <c r="E184" s="1582"/>
      <c r="F184" s="1582"/>
      <c r="G184" s="1582"/>
      <c r="H184" s="1582"/>
      <c r="I184" s="1582"/>
      <c r="J184" s="1582"/>
      <c r="K184" s="1582"/>
      <c r="L184" s="1582"/>
      <c r="M184" s="1582"/>
      <c r="N184" s="1582"/>
      <c r="O184" s="1582"/>
      <c r="P184" s="1582"/>
      <c r="Q184" s="516"/>
    </row>
    <row r="185" spans="1:17" s="99" customFormat="1" ht="21.75" customHeight="1">
      <c r="A185" s="1589"/>
      <c r="B185" s="1589"/>
      <c r="C185" s="1590"/>
      <c r="D185" s="1586"/>
      <c r="E185" s="1586"/>
      <c r="F185" s="1586"/>
      <c r="G185" s="1586"/>
      <c r="H185" s="1586"/>
      <c r="I185" s="1586"/>
      <c r="J185" s="1586"/>
      <c r="K185" s="1586"/>
      <c r="L185" s="1586"/>
      <c r="M185" s="1586"/>
      <c r="N185" s="1586"/>
      <c r="O185" s="1586"/>
      <c r="P185" s="1586"/>
      <c r="Q185" s="516"/>
    </row>
    <row r="186" spans="1:17" s="99" customFormat="1" ht="21.75" customHeight="1">
      <c r="A186" s="1589"/>
      <c r="B186" s="1589"/>
      <c r="C186" s="1590"/>
      <c r="D186" s="1586"/>
      <c r="E186" s="1586"/>
      <c r="F186" s="1586"/>
      <c r="G186" s="1586"/>
      <c r="H186" s="1586"/>
      <c r="I186" s="1586"/>
      <c r="J186" s="1586"/>
      <c r="K186" s="1586"/>
      <c r="L186" s="1586"/>
      <c r="M186" s="1586"/>
      <c r="N186" s="1586"/>
      <c r="O186" s="1586"/>
      <c r="P186" s="1586"/>
      <c r="Q186" s="516"/>
    </row>
    <row r="187" spans="1:17" s="102" customFormat="1" ht="35.25" customHeight="1">
      <c r="A187" s="42"/>
      <c r="B187" s="42"/>
      <c r="C187" s="100" t="s">
        <v>484</v>
      </c>
      <c r="D187" s="101">
        <f t="shared" si="13"/>
        <v>9900</v>
      </c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>
        <f>P188</f>
        <v>9900</v>
      </c>
      <c r="Q187" s="517"/>
    </row>
    <row r="188" spans="1:17" s="99" customFormat="1" ht="21.75" customHeight="1" thickBot="1">
      <c r="A188" s="44"/>
      <c r="B188" s="44"/>
      <c r="C188" s="103" t="s">
        <v>640</v>
      </c>
      <c r="D188" s="104">
        <f t="shared" si="13"/>
        <v>9900</v>
      </c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>
        <f>P189</f>
        <v>9900</v>
      </c>
      <c r="Q188" s="516"/>
    </row>
    <row r="189" spans="1:17" s="22" customFormat="1" ht="21.75" customHeight="1" thickTop="1">
      <c r="A189" s="38">
        <v>852</v>
      </c>
      <c r="B189" s="39"/>
      <c r="C189" s="40" t="s">
        <v>648</v>
      </c>
      <c r="D189" s="41">
        <f t="shared" si="13"/>
        <v>9900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>
        <f>SUM(P190:P190)</f>
        <v>9900</v>
      </c>
      <c r="Q189" s="513"/>
    </row>
    <row r="190" spans="1:17" s="99" customFormat="1" ht="21.75" customHeight="1">
      <c r="A190" s="509"/>
      <c r="B190" s="334">
        <v>85202</v>
      </c>
      <c r="C190" s="335" t="s">
        <v>220</v>
      </c>
      <c r="D190" s="43">
        <f t="shared" si="13"/>
        <v>9900</v>
      </c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928"/>
      <c r="P190" s="43">
        <v>9900</v>
      </c>
      <c r="Q190" s="516"/>
    </row>
    <row r="191" spans="1:17" s="102" customFormat="1" ht="35.25" customHeight="1">
      <c r="A191" s="42"/>
      <c r="B191" s="42"/>
      <c r="C191" s="100" t="s">
        <v>478</v>
      </c>
      <c r="D191" s="101">
        <f>SUM(E191:P191)</f>
        <v>3000</v>
      </c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>
        <f>P192</f>
        <v>3000</v>
      </c>
      <c r="Q191" s="517"/>
    </row>
    <row r="192" spans="1:17" s="99" customFormat="1" ht="48.75" customHeight="1" thickBot="1">
      <c r="A192" s="44"/>
      <c r="B192" s="44"/>
      <c r="C192" s="1233" t="s">
        <v>678</v>
      </c>
      <c r="D192" s="104">
        <f>SUM(E192:P192)</f>
        <v>3000</v>
      </c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>
        <f>P193</f>
        <v>3000</v>
      </c>
      <c r="Q192" s="516"/>
    </row>
    <row r="193" spans="1:17" s="22" customFormat="1" ht="21.75" customHeight="1" thickTop="1">
      <c r="A193" s="38">
        <v>852</v>
      </c>
      <c r="B193" s="39"/>
      <c r="C193" s="40" t="s">
        <v>648</v>
      </c>
      <c r="D193" s="41">
        <f>SUM(E193:P193)</f>
        <v>3000</v>
      </c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>
        <f>SUM(P194:P194)</f>
        <v>3000</v>
      </c>
      <c r="Q193" s="513"/>
    </row>
    <row r="194" spans="1:17" s="99" customFormat="1" ht="21.75" customHeight="1">
      <c r="A194" s="509"/>
      <c r="B194" s="334">
        <v>80203</v>
      </c>
      <c r="C194" s="335" t="s">
        <v>261</v>
      </c>
      <c r="D194" s="43">
        <f>SUM(E194:P194)</f>
        <v>3000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928"/>
      <c r="P194" s="43">
        <v>3000</v>
      </c>
      <c r="Q194" s="516"/>
    </row>
    <row r="195" spans="1:17" s="33" customFormat="1" ht="21.75" customHeight="1">
      <c r="A195" s="30"/>
      <c r="B195" s="30"/>
      <c r="C195" s="31" t="s">
        <v>485</v>
      </c>
      <c r="D195" s="32">
        <f t="shared" si="13"/>
        <v>-3237240</v>
      </c>
      <c r="E195" s="32"/>
      <c r="F195" s="32"/>
      <c r="G195" s="32"/>
      <c r="H195" s="32">
        <f aca="true" t="shared" si="20" ref="H195:P195">H196+H209+H216</f>
        <v>-133298</v>
      </c>
      <c r="I195" s="32">
        <f t="shared" si="20"/>
        <v>-87305</v>
      </c>
      <c r="J195" s="32">
        <f t="shared" si="20"/>
        <v>-107796</v>
      </c>
      <c r="K195" s="32">
        <f t="shared" si="20"/>
        <v>-161220</v>
      </c>
      <c r="L195" s="32">
        <f t="shared" si="20"/>
        <v>-153811</v>
      </c>
      <c r="M195" s="32">
        <f t="shared" si="20"/>
        <v>-2146434</v>
      </c>
      <c r="N195" s="32">
        <f t="shared" si="20"/>
        <v>-1268166</v>
      </c>
      <c r="O195" s="32">
        <f t="shared" si="20"/>
        <v>922230</v>
      </c>
      <c r="P195" s="32">
        <f t="shared" si="20"/>
        <v>-101440</v>
      </c>
      <c r="Q195" s="515"/>
    </row>
    <row r="196" spans="1:17" s="22" customFormat="1" ht="21.75" customHeight="1" thickBot="1">
      <c r="A196" s="35"/>
      <c r="B196" s="35"/>
      <c r="C196" s="36" t="s">
        <v>640</v>
      </c>
      <c r="D196" s="37">
        <f t="shared" si="13"/>
        <v>-105354</v>
      </c>
      <c r="E196" s="37"/>
      <c r="F196" s="37"/>
      <c r="G196" s="37"/>
      <c r="H196" s="37"/>
      <c r="I196" s="37">
        <f aca="true" t="shared" si="21" ref="I196:O196">I197+I200</f>
        <v>-1108</v>
      </c>
      <c r="J196" s="37"/>
      <c r="K196" s="37">
        <f t="shared" si="21"/>
        <v>-33805</v>
      </c>
      <c r="L196" s="37">
        <f t="shared" si="21"/>
        <v>-12595</v>
      </c>
      <c r="M196" s="37">
        <f t="shared" si="21"/>
        <v>-24395</v>
      </c>
      <c r="N196" s="37">
        <f t="shared" si="21"/>
        <v>-642627</v>
      </c>
      <c r="O196" s="37">
        <f t="shared" si="21"/>
        <v>889742</v>
      </c>
      <c r="P196" s="37">
        <f>P197+P200</f>
        <v>-280566</v>
      </c>
      <c r="Q196" s="513"/>
    </row>
    <row r="197" spans="1:17" s="22" customFormat="1" ht="21.75" customHeight="1" thickTop="1">
      <c r="A197" s="38">
        <v>851</v>
      </c>
      <c r="B197" s="39"/>
      <c r="C197" s="40" t="s">
        <v>650</v>
      </c>
      <c r="D197" s="41">
        <f t="shared" si="13"/>
        <v>7000</v>
      </c>
      <c r="E197" s="41"/>
      <c r="F197" s="41"/>
      <c r="G197" s="41"/>
      <c r="H197" s="41"/>
      <c r="I197" s="41"/>
      <c r="J197" s="41"/>
      <c r="K197" s="41">
        <f>K199</f>
        <v>-720</v>
      </c>
      <c r="L197" s="41">
        <f>L199</f>
        <v>-576</v>
      </c>
      <c r="M197" s="41"/>
      <c r="N197" s="41"/>
      <c r="O197" s="41">
        <f>SUM(O198:O199)</f>
        <v>4296</v>
      </c>
      <c r="P197" s="41">
        <f>SUM(P198:P199)</f>
        <v>4000</v>
      </c>
      <c r="Q197" s="513"/>
    </row>
    <row r="198" spans="1:17" s="99" customFormat="1" ht="21.75" customHeight="1">
      <c r="A198" s="42"/>
      <c r="B198" s="941">
        <v>85153</v>
      </c>
      <c r="C198" s="335" t="s">
        <v>832</v>
      </c>
      <c r="D198" s="43">
        <f>SUM(E198:P198)</f>
        <v>7000</v>
      </c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>
        <v>3000</v>
      </c>
      <c r="P198" s="319">
        <v>4000</v>
      </c>
      <c r="Q198" s="516"/>
    </row>
    <row r="199" spans="1:17" s="99" customFormat="1" ht="21.75" customHeight="1">
      <c r="A199" s="42"/>
      <c r="B199" s="157">
        <v>85154</v>
      </c>
      <c r="C199" s="98" t="s">
        <v>673</v>
      </c>
      <c r="D199" s="43">
        <f>SUM(E199:P199)</f>
        <v>0</v>
      </c>
      <c r="E199" s="43"/>
      <c r="F199" s="43"/>
      <c r="G199" s="43"/>
      <c r="H199" s="43"/>
      <c r="I199" s="43"/>
      <c r="J199" s="43"/>
      <c r="K199" s="43">
        <v>-720</v>
      </c>
      <c r="L199" s="43">
        <v>-576</v>
      </c>
      <c r="M199" s="43"/>
      <c r="N199" s="43"/>
      <c r="O199" s="43">
        <f>720+576</f>
        <v>1296</v>
      </c>
      <c r="P199" s="43"/>
      <c r="Q199" s="516"/>
    </row>
    <row r="200" spans="1:17" s="22" customFormat="1" ht="21.75" customHeight="1">
      <c r="A200" s="38">
        <v>852</v>
      </c>
      <c r="B200" s="39"/>
      <c r="C200" s="40" t="s">
        <v>648</v>
      </c>
      <c r="D200" s="41">
        <f aca="true" t="shared" si="22" ref="D200:D272">SUM(E200:P200)</f>
        <v>-112354</v>
      </c>
      <c r="E200" s="41"/>
      <c r="F200" s="41"/>
      <c r="G200" s="41"/>
      <c r="H200" s="41"/>
      <c r="I200" s="41">
        <f aca="true" t="shared" si="23" ref="I200:O200">SUM(I201:I208)</f>
        <v>-1108</v>
      </c>
      <c r="J200" s="41"/>
      <c r="K200" s="41">
        <f t="shared" si="23"/>
        <v>-33085</v>
      </c>
      <c r="L200" s="41">
        <f t="shared" si="23"/>
        <v>-12019</v>
      </c>
      <c r="M200" s="41">
        <f t="shared" si="23"/>
        <v>-24395</v>
      </c>
      <c r="N200" s="41">
        <f t="shared" si="23"/>
        <v>-642627</v>
      </c>
      <c r="O200" s="41">
        <f t="shared" si="23"/>
        <v>885446</v>
      </c>
      <c r="P200" s="41">
        <f>SUM(P201:P208)</f>
        <v>-284566</v>
      </c>
      <c r="Q200" s="513"/>
    </row>
    <row r="201" spans="1:17" s="99" customFormat="1" ht="21.75" customHeight="1">
      <c r="A201" s="509"/>
      <c r="B201" s="334">
        <v>85201</v>
      </c>
      <c r="C201" s="335" t="s">
        <v>298</v>
      </c>
      <c r="D201" s="43">
        <f t="shared" si="22"/>
        <v>-6000</v>
      </c>
      <c r="E201" s="43"/>
      <c r="F201" s="43"/>
      <c r="G201" s="43"/>
      <c r="H201" s="43"/>
      <c r="I201" s="43"/>
      <c r="J201" s="43"/>
      <c r="K201" s="43">
        <v>-7712</v>
      </c>
      <c r="L201" s="43">
        <v>-12019</v>
      </c>
      <c r="M201" s="43">
        <v>-13455</v>
      </c>
      <c r="N201" s="43">
        <v>-3437</v>
      </c>
      <c r="O201" s="43">
        <f>36623-6000</f>
        <v>30623</v>
      </c>
      <c r="P201" s="43"/>
      <c r="Q201" s="516"/>
    </row>
    <row r="202" spans="1:17" s="99" customFormat="1" ht="21.75" customHeight="1">
      <c r="A202" s="30"/>
      <c r="B202" s="509">
        <v>85202</v>
      </c>
      <c r="C202" s="435" t="s">
        <v>220</v>
      </c>
      <c r="D202" s="43">
        <f t="shared" si="22"/>
        <v>0</v>
      </c>
      <c r="E202" s="321"/>
      <c r="F202" s="321"/>
      <c r="G202" s="321"/>
      <c r="H202" s="321"/>
      <c r="I202" s="321"/>
      <c r="J202" s="321"/>
      <c r="K202" s="321"/>
      <c r="L202" s="321"/>
      <c r="M202" s="321"/>
      <c r="N202" s="321">
        <v>-62428</v>
      </c>
      <c r="O202" s="321">
        <v>62428</v>
      </c>
      <c r="P202" s="321"/>
      <c r="Q202" s="516"/>
    </row>
    <row r="203" spans="1:17" s="99" customFormat="1" ht="21.75" customHeight="1">
      <c r="A203" s="30"/>
      <c r="B203" s="334">
        <v>85204</v>
      </c>
      <c r="C203" s="335" t="s">
        <v>76</v>
      </c>
      <c r="D203" s="43">
        <f t="shared" si="22"/>
        <v>0</v>
      </c>
      <c r="E203" s="43"/>
      <c r="F203" s="43"/>
      <c r="G203" s="43"/>
      <c r="H203" s="43"/>
      <c r="I203" s="43">
        <v>-1108</v>
      </c>
      <c r="J203" s="43"/>
      <c r="K203" s="43">
        <v>-25373</v>
      </c>
      <c r="L203" s="43"/>
      <c r="M203" s="43">
        <v>-10940</v>
      </c>
      <c r="N203" s="43">
        <v>-23618</v>
      </c>
      <c r="O203" s="43">
        <v>31000</v>
      </c>
      <c r="P203" s="43">
        <v>30039</v>
      </c>
      <c r="Q203" s="516"/>
    </row>
    <row r="204" spans="1:17" s="99" customFormat="1" ht="29.25" customHeight="1">
      <c r="A204" s="42"/>
      <c r="B204" s="219">
        <v>85214</v>
      </c>
      <c r="C204" s="436" t="s">
        <v>66</v>
      </c>
      <c r="D204" s="319">
        <f t="shared" si="22"/>
        <v>-114344</v>
      </c>
      <c r="E204" s="1039"/>
      <c r="F204" s="1039"/>
      <c r="G204" s="1039"/>
      <c r="H204" s="1039"/>
      <c r="I204" s="1039"/>
      <c r="J204" s="1039"/>
      <c r="K204" s="1039"/>
      <c r="L204" s="1039"/>
      <c r="M204" s="1039"/>
      <c r="N204" s="1039">
        <v>-425408</v>
      </c>
      <c r="O204" s="1039">
        <f>409564</f>
        <v>409564</v>
      </c>
      <c r="P204" s="1039">
        <v>-98500</v>
      </c>
      <c r="Q204" s="516"/>
    </row>
    <row r="205" spans="1:17" s="99" customFormat="1" ht="21.75" customHeight="1">
      <c r="A205" s="30"/>
      <c r="B205" s="334">
        <v>85219</v>
      </c>
      <c r="C205" s="335" t="s">
        <v>813</v>
      </c>
      <c r="D205" s="43">
        <f t="shared" si="22"/>
        <v>13519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>
        <v>300000</v>
      </c>
      <c r="P205" s="43">
        <f>5350+10000-1831-300000</f>
        <v>-286481</v>
      </c>
      <c r="Q205" s="516"/>
    </row>
    <row r="206" spans="1:17" s="99" customFormat="1" ht="48" customHeight="1">
      <c r="A206" s="320"/>
      <c r="B206" s="941">
        <v>85220</v>
      </c>
      <c r="C206" s="335" t="s">
        <v>586</v>
      </c>
      <c r="D206" s="43">
        <f t="shared" si="22"/>
        <v>1750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>
        <v>1750</v>
      </c>
      <c r="Q206" s="516"/>
    </row>
    <row r="207" spans="1:17" s="99" customFormat="1" ht="28.5" customHeight="1">
      <c r="A207" s="30"/>
      <c r="B207" s="334">
        <v>85228</v>
      </c>
      <c r="C207" s="335" t="s">
        <v>432</v>
      </c>
      <c r="D207" s="43">
        <f>SUM(E207:P207)</f>
        <v>-9110</v>
      </c>
      <c r="E207" s="43"/>
      <c r="F207" s="43"/>
      <c r="G207" s="43"/>
      <c r="H207" s="43"/>
      <c r="I207" s="43"/>
      <c r="J207" s="43"/>
      <c r="K207" s="43"/>
      <c r="L207" s="43"/>
      <c r="M207" s="43"/>
      <c r="N207" s="43">
        <v>-9110</v>
      </c>
      <c r="O207" s="43"/>
      <c r="P207" s="43"/>
      <c r="Q207" s="516"/>
    </row>
    <row r="208" spans="1:17" s="99" customFormat="1" ht="21.75" customHeight="1">
      <c r="A208" s="30"/>
      <c r="B208" s="334">
        <v>85295</v>
      </c>
      <c r="C208" s="335" t="s">
        <v>646</v>
      </c>
      <c r="D208" s="43">
        <f t="shared" si="22"/>
        <v>1831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>
        <v>-118626</v>
      </c>
      <c r="O208" s="43">
        <f>1831+50000</f>
        <v>51831</v>
      </c>
      <c r="P208" s="43">
        <v>68626</v>
      </c>
      <c r="Q208" s="516"/>
    </row>
    <row r="209" spans="1:17" s="99" customFormat="1" ht="31.5" thickBot="1">
      <c r="A209" s="44"/>
      <c r="B209" s="44"/>
      <c r="C209" s="103" t="s">
        <v>677</v>
      </c>
      <c r="D209" s="104">
        <f>SUM(E209:P209)</f>
        <v>-3159435</v>
      </c>
      <c r="E209" s="104"/>
      <c r="F209" s="104"/>
      <c r="G209" s="104"/>
      <c r="H209" s="104">
        <f aca="true" t="shared" si="24" ref="H209:O209">H212</f>
        <v>-133298</v>
      </c>
      <c r="I209" s="104">
        <f t="shared" si="24"/>
        <v>-86197</v>
      </c>
      <c r="J209" s="104">
        <f t="shared" si="24"/>
        <v>-107796</v>
      </c>
      <c r="K209" s="104">
        <f t="shared" si="24"/>
        <v>-127415</v>
      </c>
      <c r="L209" s="104">
        <f t="shared" si="24"/>
        <v>-141216</v>
      </c>
      <c r="M209" s="104">
        <f t="shared" si="24"/>
        <v>-2122039</v>
      </c>
      <c r="N209" s="104">
        <f t="shared" si="24"/>
        <v>-625539</v>
      </c>
      <c r="O209" s="104">
        <f t="shared" si="24"/>
        <v>32488</v>
      </c>
      <c r="P209" s="104">
        <f>P212+P210</f>
        <v>151577</v>
      </c>
      <c r="Q209" s="516"/>
    </row>
    <row r="210" spans="1:17" s="22" customFormat="1" ht="21.75" customHeight="1" thickTop="1">
      <c r="A210" s="38">
        <v>851</v>
      </c>
      <c r="B210" s="39"/>
      <c r="C210" s="40" t="s">
        <v>650</v>
      </c>
      <c r="D210" s="41">
        <f aca="true" t="shared" si="25" ref="D210:D216">SUM(E210:P210)</f>
        <v>3297</v>
      </c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>
        <f>P211</f>
        <v>3297</v>
      </c>
      <c r="Q210" s="513"/>
    </row>
    <row r="211" spans="1:17" s="99" customFormat="1" ht="21.75" customHeight="1">
      <c r="A211" s="42"/>
      <c r="B211" s="941">
        <v>85195</v>
      </c>
      <c r="C211" s="335" t="s">
        <v>646</v>
      </c>
      <c r="D211" s="43">
        <f t="shared" si="25"/>
        <v>3297</v>
      </c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>
        <v>3297</v>
      </c>
      <c r="Q211" s="516"/>
    </row>
    <row r="212" spans="1:17" s="22" customFormat="1" ht="24" customHeight="1">
      <c r="A212" s="38">
        <v>852</v>
      </c>
      <c r="B212" s="39"/>
      <c r="C212" s="40" t="s">
        <v>648</v>
      </c>
      <c r="D212" s="41">
        <f t="shared" si="25"/>
        <v>-3162732</v>
      </c>
      <c r="E212" s="41"/>
      <c r="F212" s="41"/>
      <c r="G212" s="41"/>
      <c r="H212" s="41">
        <f aca="true" t="shared" si="26" ref="H212:N212">SUM(H213:H215)</f>
        <v>-133298</v>
      </c>
      <c r="I212" s="41">
        <f t="shared" si="26"/>
        <v>-86197</v>
      </c>
      <c r="J212" s="41">
        <f t="shared" si="26"/>
        <v>-107796</v>
      </c>
      <c r="K212" s="41">
        <f t="shared" si="26"/>
        <v>-127415</v>
      </c>
      <c r="L212" s="41">
        <f t="shared" si="26"/>
        <v>-141216</v>
      </c>
      <c r="M212" s="41">
        <f t="shared" si="26"/>
        <v>-2122039</v>
      </c>
      <c r="N212" s="41">
        <f t="shared" si="26"/>
        <v>-625539</v>
      </c>
      <c r="O212" s="41">
        <f>SUM(O213:O215)</f>
        <v>32488</v>
      </c>
      <c r="P212" s="41">
        <f>SUM(P213:P215)</f>
        <v>148280</v>
      </c>
      <c r="Q212" s="513"/>
    </row>
    <row r="213" spans="1:17" s="99" customFormat="1" ht="46.5" customHeight="1">
      <c r="A213" s="30"/>
      <c r="B213" s="334">
        <v>85212</v>
      </c>
      <c r="C213" s="335" t="s">
        <v>415</v>
      </c>
      <c r="D213" s="43">
        <f t="shared" si="25"/>
        <v>-2643500</v>
      </c>
      <c r="E213" s="43"/>
      <c r="F213" s="43"/>
      <c r="G213" s="43"/>
      <c r="H213" s="43"/>
      <c r="I213" s="43"/>
      <c r="J213" s="43"/>
      <c r="K213" s="43"/>
      <c r="L213" s="43"/>
      <c r="M213" s="43">
        <v>-2017961</v>
      </c>
      <c r="N213" s="43">
        <v>-625539</v>
      </c>
      <c r="O213" s="43"/>
      <c r="P213" s="43"/>
      <c r="Q213" s="516"/>
    </row>
    <row r="214" spans="1:17" s="99" customFormat="1" ht="33.75" customHeight="1">
      <c r="A214" s="30"/>
      <c r="B214" s="334">
        <v>85214</v>
      </c>
      <c r="C214" s="335" t="s">
        <v>66</v>
      </c>
      <c r="D214" s="43">
        <f t="shared" si="25"/>
        <v>-700000</v>
      </c>
      <c r="E214" s="43"/>
      <c r="F214" s="43"/>
      <c r="G214" s="43"/>
      <c r="H214" s="43">
        <v>-133298</v>
      </c>
      <c r="I214" s="43">
        <v>-86197</v>
      </c>
      <c r="J214" s="43">
        <v>-107796</v>
      </c>
      <c r="K214" s="43">
        <v>-127415</v>
      </c>
      <c r="L214" s="43">
        <v>-141216</v>
      </c>
      <c r="M214" s="43">
        <v>-104078</v>
      </c>
      <c r="N214" s="43"/>
      <c r="O214" s="43"/>
      <c r="P214" s="43"/>
      <c r="Q214" s="516"/>
    </row>
    <row r="215" spans="1:17" s="99" customFormat="1" ht="21.75" customHeight="1">
      <c r="A215" s="30"/>
      <c r="B215" s="334">
        <v>85278</v>
      </c>
      <c r="C215" s="335" t="s">
        <v>74</v>
      </c>
      <c r="D215" s="43">
        <f t="shared" si="25"/>
        <v>180768</v>
      </c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>
        <v>32488</v>
      </c>
      <c r="P215" s="43">
        <v>148280</v>
      </c>
      <c r="Q215" s="516"/>
    </row>
    <row r="216" spans="1:17" s="1235" customFormat="1" ht="33.75" customHeight="1" thickBot="1">
      <c r="A216" s="1232"/>
      <c r="B216" s="1591"/>
      <c r="C216" s="103" t="s">
        <v>678</v>
      </c>
      <c r="D216" s="104">
        <f t="shared" si="25"/>
        <v>27549</v>
      </c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>
        <f>SUM(P218:P218)</f>
        <v>27549</v>
      </c>
      <c r="Q216" s="1234"/>
    </row>
    <row r="217" spans="1:17" s="1240" customFormat="1" ht="33" customHeight="1" thickTop="1">
      <c r="A217" s="38">
        <v>853</v>
      </c>
      <c r="B217" s="1236"/>
      <c r="C217" s="1237" t="s">
        <v>691</v>
      </c>
      <c r="D217" s="1238">
        <f>SUM(E217:P217)</f>
        <v>27549</v>
      </c>
      <c r="E217" s="1238"/>
      <c r="F217" s="1238"/>
      <c r="G217" s="1238"/>
      <c r="H217" s="1238"/>
      <c r="I217" s="1238"/>
      <c r="J217" s="1238"/>
      <c r="K217" s="1238"/>
      <c r="L217" s="1238"/>
      <c r="M217" s="1238"/>
      <c r="N217" s="1238"/>
      <c r="O217" s="1238"/>
      <c r="P217" s="1238">
        <f>SUM(P218:P218)</f>
        <v>27549</v>
      </c>
      <c r="Q217" s="1239"/>
    </row>
    <row r="218" spans="1:17" s="99" customFormat="1" ht="22.5" customHeight="1">
      <c r="A218" s="1241"/>
      <c r="B218" s="157">
        <v>85334</v>
      </c>
      <c r="C218" s="1242" t="s">
        <v>908</v>
      </c>
      <c r="D218" s="43">
        <f>SUM(E218:P218)</f>
        <v>27549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>
        <f>5741+10817+5043+5948</f>
        <v>27549</v>
      </c>
      <c r="Q218" s="516"/>
    </row>
    <row r="219" spans="1:17" s="33" customFormat="1" ht="21.75" customHeight="1">
      <c r="A219" s="30"/>
      <c r="B219" s="30"/>
      <c r="C219" s="31" t="s">
        <v>486</v>
      </c>
      <c r="D219" s="32">
        <f t="shared" si="22"/>
        <v>0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>
        <f>N220+N223</f>
        <v>-36046</v>
      </c>
      <c r="O219" s="32">
        <f>O220+O223</f>
        <v>-10065</v>
      </c>
      <c r="P219" s="32">
        <f>P220+P223</f>
        <v>46111</v>
      </c>
      <c r="Q219" s="515"/>
    </row>
    <row r="220" spans="1:17" s="99" customFormat="1" ht="21.75" customHeight="1" thickBot="1">
      <c r="A220" s="44"/>
      <c r="B220" s="44"/>
      <c r="C220" s="103" t="s">
        <v>640</v>
      </c>
      <c r="D220" s="104">
        <f t="shared" si="22"/>
        <v>0</v>
      </c>
      <c r="E220" s="104"/>
      <c r="F220" s="104"/>
      <c r="G220" s="104"/>
      <c r="H220" s="104"/>
      <c r="I220" s="104"/>
      <c r="J220" s="104"/>
      <c r="K220" s="104"/>
      <c r="L220" s="104"/>
      <c r="M220" s="104"/>
      <c r="N220" s="104">
        <f aca="true" t="shared" si="27" ref="N220:P221">N221</f>
        <v>-36046</v>
      </c>
      <c r="O220" s="104">
        <f t="shared" si="27"/>
        <v>10000</v>
      </c>
      <c r="P220" s="104">
        <f t="shared" si="27"/>
        <v>26046</v>
      </c>
      <c r="Q220" s="516"/>
    </row>
    <row r="221" spans="1:17" s="22" customFormat="1" ht="33.75" customHeight="1" thickTop="1">
      <c r="A221" s="38">
        <v>853</v>
      </c>
      <c r="B221" s="39"/>
      <c r="C221" s="40" t="s">
        <v>691</v>
      </c>
      <c r="D221" s="41">
        <f t="shared" si="22"/>
        <v>0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>
        <f t="shared" si="27"/>
        <v>-36046</v>
      </c>
      <c r="O221" s="41">
        <f t="shared" si="27"/>
        <v>10000</v>
      </c>
      <c r="P221" s="41">
        <f t="shared" si="27"/>
        <v>26046</v>
      </c>
      <c r="Q221" s="513"/>
    </row>
    <row r="222" spans="1:17" s="99" customFormat="1" ht="21.75" customHeight="1">
      <c r="A222" s="156"/>
      <c r="B222" s="157">
        <v>85333</v>
      </c>
      <c r="C222" s="98" t="s">
        <v>599</v>
      </c>
      <c r="D222" s="43">
        <f t="shared" si="22"/>
        <v>0</v>
      </c>
      <c r="E222" s="43"/>
      <c r="F222" s="43"/>
      <c r="G222" s="43"/>
      <c r="H222" s="43"/>
      <c r="I222" s="43"/>
      <c r="J222" s="43"/>
      <c r="K222" s="43"/>
      <c r="L222" s="43"/>
      <c r="M222" s="43"/>
      <c r="N222" s="43">
        <v>-36046</v>
      </c>
      <c r="O222" s="43">
        <v>10000</v>
      </c>
      <c r="P222" s="43">
        <v>26046</v>
      </c>
      <c r="Q222" s="516"/>
    </row>
    <row r="223" spans="1:17" s="1235" customFormat="1" ht="33.75" customHeight="1" thickBot="1">
      <c r="A223" s="1232"/>
      <c r="B223" s="1592"/>
      <c r="C223" s="103" t="s">
        <v>678</v>
      </c>
      <c r="D223" s="104">
        <f t="shared" si="22"/>
        <v>0</v>
      </c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>
        <f>O224</f>
        <v>-20065</v>
      </c>
      <c r="P223" s="104">
        <f>P224</f>
        <v>20065</v>
      </c>
      <c r="Q223" s="1234"/>
    </row>
    <row r="224" spans="1:17" s="22" customFormat="1" ht="22.5" customHeight="1" thickTop="1">
      <c r="A224" s="38">
        <v>851</v>
      </c>
      <c r="B224" s="39"/>
      <c r="C224" s="40" t="s">
        <v>650</v>
      </c>
      <c r="D224" s="41">
        <f t="shared" si="22"/>
        <v>0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>
        <f>O225</f>
        <v>-20065</v>
      </c>
      <c r="P224" s="41">
        <f>P225</f>
        <v>20065</v>
      </c>
      <c r="Q224" s="513"/>
    </row>
    <row r="225" spans="1:17" s="99" customFormat="1" ht="45.75" customHeight="1">
      <c r="A225" s="156"/>
      <c r="B225" s="157">
        <v>85156</v>
      </c>
      <c r="C225" s="98" t="s">
        <v>296</v>
      </c>
      <c r="D225" s="43">
        <f t="shared" si="22"/>
        <v>0</v>
      </c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>
        <v>-20065</v>
      </c>
      <c r="P225" s="43">
        <v>20065</v>
      </c>
      <c r="Q225" s="516"/>
    </row>
    <row r="226" spans="1:17" s="127" customFormat="1" ht="37.5" customHeight="1">
      <c r="A226" s="136"/>
      <c r="B226" s="137"/>
      <c r="C226" s="138" t="s">
        <v>487</v>
      </c>
      <c r="D226" s="139">
        <f t="shared" si="22"/>
        <v>141200</v>
      </c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>
        <f>O227</f>
        <v>21200</v>
      </c>
      <c r="P226" s="139">
        <f>P227</f>
        <v>120000</v>
      </c>
      <c r="Q226" s="513"/>
    </row>
    <row r="227" spans="1:17" s="99" customFormat="1" ht="34.5" customHeight="1" thickBot="1">
      <c r="A227" s="44"/>
      <c r="B227" s="44"/>
      <c r="C227" s="103" t="s">
        <v>678</v>
      </c>
      <c r="D227" s="104">
        <f t="shared" si="22"/>
        <v>141200</v>
      </c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>
        <f>O228+O230</f>
        <v>21200</v>
      </c>
      <c r="P227" s="104">
        <f>P228+P230</f>
        <v>120000</v>
      </c>
      <c r="Q227" s="516"/>
    </row>
    <row r="228" spans="1:17" s="22" customFormat="1" ht="33.75" customHeight="1" thickTop="1">
      <c r="A228" s="38">
        <v>754</v>
      </c>
      <c r="B228" s="39"/>
      <c r="C228" s="40" t="s">
        <v>641</v>
      </c>
      <c r="D228" s="41">
        <f t="shared" si="22"/>
        <v>21200</v>
      </c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>
        <f>O229</f>
        <v>21200</v>
      </c>
      <c r="P228" s="41"/>
      <c r="Q228" s="513"/>
    </row>
    <row r="229" spans="1:17" s="99" customFormat="1" ht="38.25" customHeight="1">
      <c r="A229" s="157"/>
      <c r="B229" s="157">
        <v>75411</v>
      </c>
      <c r="C229" s="98" t="s">
        <v>806</v>
      </c>
      <c r="D229" s="43">
        <f t="shared" si="22"/>
        <v>21200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>
        <v>21200</v>
      </c>
      <c r="P229" s="43"/>
      <c r="Q229"/>
    </row>
    <row r="230" spans="1:17" s="22" customFormat="1" ht="18">
      <c r="A230" s="41">
        <v>851</v>
      </c>
      <c r="B230" s="38"/>
      <c r="C230" s="40" t="s">
        <v>650</v>
      </c>
      <c r="D230" s="41">
        <f aca="true" t="shared" si="28" ref="D230:D236">SUM(E230:P230)</f>
        <v>120000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>
        <f>P231</f>
        <v>120000</v>
      </c>
      <c r="Q230" s="513"/>
    </row>
    <row r="231" spans="1:17" s="326" customFormat="1" ht="21.75" customHeight="1">
      <c r="A231" s="327"/>
      <c r="B231" s="323">
        <v>85141</v>
      </c>
      <c r="C231" s="324" t="s">
        <v>891</v>
      </c>
      <c r="D231" s="43">
        <f t="shared" si="28"/>
        <v>120000</v>
      </c>
      <c r="E231" s="325"/>
      <c r="F231" s="325"/>
      <c r="G231" s="325"/>
      <c r="H231" s="325"/>
      <c r="I231" s="325"/>
      <c r="J231" s="325"/>
      <c r="K231" s="325"/>
      <c r="L231" s="325"/>
      <c r="M231" s="325"/>
      <c r="N231" s="325"/>
      <c r="O231" s="325"/>
      <c r="P231" s="325">
        <v>120000</v>
      </c>
      <c r="Q231" s="516"/>
    </row>
    <row r="232" spans="1:17" s="22" customFormat="1" ht="33" customHeight="1">
      <c r="A232" s="30"/>
      <c r="B232" s="30"/>
      <c r="C232" s="31" t="s">
        <v>488</v>
      </c>
      <c r="D232" s="32">
        <f t="shared" si="28"/>
        <v>3000</v>
      </c>
      <c r="E232" s="32"/>
      <c r="F232" s="32"/>
      <c r="G232" s="32"/>
      <c r="H232" s="32"/>
      <c r="I232" s="32"/>
      <c r="J232" s="32">
        <f>J233</f>
        <v>-11337</v>
      </c>
      <c r="K232" s="32"/>
      <c r="L232" s="32"/>
      <c r="M232" s="32"/>
      <c r="N232" s="32"/>
      <c r="O232" s="32">
        <f>O233</f>
        <v>14337</v>
      </c>
      <c r="P232" s="32"/>
      <c r="Q232"/>
    </row>
    <row r="233" spans="1:17" s="99" customFormat="1" ht="34.5" customHeight="1" thickBot="1">
      <c r="A233" s="44"/>
      <c r="B233" s="44"/>
      <c r="C233" s="103" t="s">
        <v>678</v>
      </c>
      <c r="D233" s="104">
        <f t="shared" si="28"/>
        <v>3000</v>
      </c>
      <c r="E233" s="104"/>
      <c r="F233" s="104"/>
      <c r="G233" s="104"/>
      <c r="H233" s="104"/>
      <c r="I233" s="104"/>
      <c r="J233" s="104">
        <f>J234</f>
        <v>-11337</v>
      </c>
      <c r="K233" s="104"/>
      <c r="L233" s="104"/>
      <c r="M233" s="104"/>
      <c r="N233" s="104"/>
      <c r="O233" s="104">
        <f>O234</f>
        <v>14337</v>
      </c>
      <c r="P233" s="104"/>
      <c r="Q233" s="516"/>
    </row>
    <row r="234" spans="1:17" s="22" customFormat="1" ht="24.75" customHeight="1" thickTop="1">
      <c r="A234" s="39">
        <v>710</v>
      </c>
      <c r="B234" s="39"/>
      <c r="C234" s="40" t="s">
        <v>258</v>
      </c>
      <c r="D234" s="41">
        <f t="shared" si="28"/>
        <v>3000</v>
      </c>
      <c r="E234" s="41"/>
      <c r="F234" s="41"/>
      <c r="G234" s="41"/>
      <c r="H234" s="41"/>
      <c r="I234" s="41"/>
      <c r="J234" s="41">
        <f>J235+J236</f>
        <v>-11337</v>
      </c>
      <c r="K234" s="41"/>
      <c r="L234" s="41"/>
      <c r="M234" s="41"/>
      <c r="N234" s="41"/>
      <c r="O234" s="41">
        <f>O235+O236</f>
        <v>14337</v>
      </c>
      <c r="P234" s="41"/>
      <c r="Q234"/>
    </row>
    <row r="235" spans="1:17" s="22" customFormat="1" ht="23.25" customHeight="1">
      <c r="A235" s="509"/>
      <c r="B235" s="509">
        <v>71015</v>
      </c>
      <c r="C235" s="435" t="s">
        <v>79</v>
      </c>
      <c r="D235" s="1229">
        <f t="shared" si="28"/>
        <v>14337</v>
      </c>
      <c r="E235" s="1229"/>
      <c r="F235" s="1229"/>
      <c r="G235" s="1229"/>
      <c r="H235" s="1229"/>
      <c r="I235" s="1229"/>
      <c r="J235" s="1229"/>
      <c r="K235" s="1229"/>
      <c r="L235" s="1229"/>
      <c r="M235" s="1229"/>
      <c r="N235" s="1229"/>
      <c r="O235" s="1229">
        <v>14337</v>
      </c>
      <c r="P235" s="1229"/>
      <c r="Q235"/>
    </row>
    <row r="236" spans="1:17" s="22" customFormat="1" ht="21.75" customHeight="1">
      <c r="A236" s="30"/>
      <c r="B236" s="941">
        <v>71095</v>
      </c>
      <c r="C236" s="1208" t="s">
        <v>646</v>
      </c>
      <c r="D236" s="1230">
        <f t="shared" si="28"/>
        <v>-11337</v>
      </c>
      <c r="E236" s="1230"/>
      <c r="F236" s="1230"/>
      <c r="G236" s="1230"/>
      <c r="H236" s="1230"/>
      <c r="I236" s="1230"/>
      <c r="J236" s="1230">
        <v>-11337</v>
      </c>
      <c r="K236" s="1230"/>
      <c r="L236" s="1230"/>
      <c r="M236" s="1230"/>
      <c r="N236" s="1230"/>
      <c r="O236" s="1230"/>
      <c r="P236" s="1230"/>
      <c r="Q236"/>
    </row>
    <row r="237" spans="1:17" s="127" customFormat="1" ht="25.5" customHeight="1">
      <c r="A237" s="136"/>
      <c r="B237" s="137"/>
      <c r="C237" s="138" t="s">
        <v>489</v>
      </c>
      <c r="D237" s="139">
        <f t="shared" si="22"/>
        <v>2820668</v>
      </c>
      <c r="E237" s="139"/>
      <c r="F237" s="139"/>
      <c r="G237" s="139"/>
      <c r="H237" s="139"/>
      <c r="I237" s="139"/>
      <c r="J237" s="139"/>
      <c r="K237" s="139"/>
      <c r="L237" s="139"/>
      <c r="M237" s="139"/>
      <c r="N237" s="139">
        <f>N238+N279+N284</f>
        <v>-14011749</v>
      </c>
      <c r="O237" s="139">
        <f>O238+O279+O284+O276</f>
        <v>14215169</v>
      </c>
      <c r="P237" s="139">
        <f>P238+P279+P284</f>
        <v>2617248</v>
      </c>
      <c r="Q237"/>
    </row>
    <row r="238" spans="1:17" s="45" customFormat="1" ht="21.75" customHeight="1" thickBot="1">
      <c r="A238" s="140"/>
      <c r="B238" s="141"/>
      <c r="C238" s="142" t="s">
        <v>640</v>
      </c>
      <c r="D238" s="143">
        <f t="shared" si="22"/>
        <v>2425273</v>
      </c>
      <c r="E238" s="143"/>
      <c r="F238" s="143"/>
      <c r="G238" s="143"/>
      <c r="H238" s="143"/>
      <c r="I238" s="143"/>
      <c r="J238" s="143"/>
      <c r="K238" s="143"/>
      <c r="L238" s="143"/>
      <c r="M238" s="143"/>
      <c r="N238" s="143">
        <f>N241+N259+N263+N274+N239</f>
        <v>-14006969</v>
      </c>
      <c r="O238" s="143">
        <f>O241+O259+O263+O274+O239</f>
        <v>13814994</v>
      </c>
      <c r="P238" s="143">
        <f>P241+P259+P263+P274+P239</f>
        <v>2617248</v>
      </c>
      <c r="Q238"/>
    </row>
    <row r="239" spans="1:17" s="22" customFormat="1" ht="32.25" thickTop="1">
      <c r="A239" s="41">
        <v>754</v>
      </c>
      <c r="B239" s="38"/>
      <c r="C239" s="40" t="s">
        <v>641</v>
      </c>
      <c r="D239" s="41">
        <f>SUM(E239:P239)</f>
        <v>0</v>
      </c>
      <c r="E239" s="41"/>
      <c r="F239" s="41"/>
      <c r="G239" s="41"/>
      <c r="H239" s="41"/>
      <c r="I239" s="41"/>
      <c r="J239" s="41"/>
      <c r="K239" s="41"/>
      <c r="L239" s="41"/>
      <c r="M239" s="41"/>
      <c r="N239" s="41">
        <f>N240</f>
        <v>-22350</v>
      </c>
      <c r="O239" s="41">
        <f>O240</f>
        <v>22350</v>
      </c>
      <c r="P239" s="41"/>
      <c r="Q239" s="513"/>
    </row>
    <row r="240" spans="1:17" s="890" customFormat="1" ht="21.75" customHeight="1">
      <c r="A240" s="327"/>
      <c r="B240" s="323">
        <v>75495</v>
      </c>
      <c r="C240" s="324" t="s">
        <v>646</v>
      </c>
      <c r="D240" s="43">
        <f>SUM(E240:P240)</f>
        <v>0</v>
      </c>
      <c r="E240" s="325"/>
      <c r="F240" s="325"/>
      <c r="G240" s="325"/>
      <c r="H240" s="325"/>
      <c r="I240" s="325"/>
      <c r="J240" s="325"/>
      <c r="K240" s="325"/>
      <c r="L240" s="325"/>
      <c r="M240" s="325"/>
      <c r="N240" s="325">
        <v>-22350</v>
      </c>
      <c r="O240" s="325">
        <v>22350</v>
      </c>
      <c r="P240" s="325"/>
      <c r="Q240" s="516"/>
    </row>
    <row r="241" spans="1:17" s="22" customFormat="1" ht="21.75" customHeight="1">
      <c r="A241" s="41">
        <v>801</v>
      </c>
      <c r="B241" s="38"/>
      <c r="C241" s="40" t="s">
        <v>647</v>
      </c>
      <c r="D241" s="41">
        <f t="shared" si="22"/>
        <v>1452470</v>
      </c>
      <c r="E241" s="41"/>
      <c r="F241" s="41"/>
      <c r="G241" s="41"/>
      <c r="H241" s="41"/>
      <c r="I241" s="41"/>
      <c r="J241" s="41"/>
      <c r="K241" s="41"/>
      <c r="L241" s="41"/>
      <c r="M241" s="41"/>
      <c r="N241" s="41">
        <f>SUM(N242:N258)</f>
        <v>-11153064</v>
      </c>
      <c r="O241" s="41">
        <f>SUM(O242:O258)</f>
        <v>10920489</v>
      </c>
      <c r="P241" s="41">
        <f>SUM(P242:P258)</f>
        <v>1685045</v>
      </c>
      <c r="Q241" s="514"/>
    </row>
    <row r="242" spans="1:17" s="326" customFormat="1" ht="21.75" customHeight="1">
      <c r="A242" s="322"/>
      <c r="B242" s="323">
        <v>80101</v>
      </c>
      <c r="C242" s="324" t="s">
        <v>202</v>
      </c>
      <c r="D242" s="43">
        <f t="shared" si="22"/>
        <v>102093</v>
      </c>
      <c r="E242" s="325"/>
      <c r="F242" s="325"/>
      <c r="G242" s="325"/>
      <c r="H242" s="325"/>
      <c r="I242" s="325"/>
      <c r="J242" s="325"/>
      <c r="K242" s="325"/>
      <c r="L242" s="325"/>
      <c r="M242" s="325"/>
      <c r="N242" s="325">
        <v>-2063244</v>
      </c>
      <c r="O242" s="325">
        <v>2058937</v>
      </c>
      <c r="P242" s="325">
        <v>106400</v>
      </c>
      <c r="Q242" s="516"/>
    </row>
    <row r="243" spans="1:17" s="326" customFormat="1" ht="21.75" customHeight="1">
      <c r="A243" s="322"/>
      <c r="B243" s="323">
        <v>80102</v>
      </c>
      <c r="C243" s="324" t="s">
        <v>271</v>
      </c>
      <c r="D243" s="43">
        <f t="shared" si="22"/>
        <v>92202</v>
      </c>
      <c r="E243" s="325"/>
      <c r="F243" s="325"/>
      <c r="G243" s="325"/>
      <c r="H243" s="325"/>
      <c r="I243" s="325"/>
      <c r="J243" s="325"/>
      <c r="K243" s="325"/>
      <c r="L243" s="325"/>
      <c r="M243" s="325"/>
      <c r="N243" s="325">
        <v>-379127</v>
      </c>
      <c r="O243" s="325">
        <v>471329</v>
      </c>
      <c r="P243" s="325"/>
      <c r="Q243" s="516"/>
    </row>
    <row r="244" spans="1:17" s="326" customFormat="1" ht="33.75" customHeight="1">
      <c r="A244" s="322"/>
      <c r="B244" s="437">
        <v>80103</v>
      </c>
      <c r="C244" s="324" t="s">
        <v>270</v>
      </c>
      <c r="D244" s="319">
        <f t="shared" si="22"/>
        <v>-17560</v>
      </c>
      <c r="E244" s="325"/>
      <c r="F244" s="325"/>
      <c r="G244" s="325"/>
      <c r="H244" s="325"/>
      <c r="I244" s="325"/>
      <c r="J244" s="325"/>
      <c r="K244" s="325"/>
      <c r="L244" s="325"/>
      <c r="M244" s="325"/>
      <c r="N244" s="325">
        <v>-92093</v>
      </c>
      <c r="O244" s="325">
        <v>74533</v>
      </c>
      <c r="P244" s="325"/>
      <c r="Q244" s="516"/>
    </row>
    <row r="245" spans="1:17" s="326" customFormat="1" ht="21.75" customHeight="1">
      <c r="A245" s="322"/>
      <c r="B245" s="323">
        <v>80104</v>
      </c>
      <c r="C245" s="324" t="s">
        <v>200</v>
      </c>
      <c r="D245" s="43">
        <f t="shared" si="22"/>
        <v>970000</v>
      </c>
      <c r="E245" s="325"/>
      <c r="F245" s="325"/>
      <c r="G245" s="325"/>
      <c r="H245" s="325"/>
      <c r="I245" s="325"/>
      <c r="J245" s="325"/>
      <c r="K245" s="325"/>
      <c r="L245" s="325"/>
      <c r="M245" s="325"/>
      <c r="N245" s="325">
        <v>-1446466</v>
      </c>
      <c r="O245" s="325">
        <v>1000000</v>
      </c>
      <c r="P245" s="325">
        <v>1416466</v>
      </c>
      <c r="Q245" s="516"/>
    </row>
    <row r="246" spans="1:17" s="326" customFormat="1" ht="21.75" customHeight="1">
      <c r="A246" s="322"/>
      <c r="B246" s="437">
        <v>80105</v>
      </c>
      <c r="C246" s="324" t="s">
        <v>272</v>
      </c>
      <c r="D246" s="319">
        <f t="shared" si="22"/>
        <v>51300</v>
      </c>
      <c r="E246" s="325"/>
      <c r="F246" s="325"/>
      <c r="G246" s="325"/>
      <c r="H246" s="325"/>
      <c r="I246" s="325"/>
      <c r="J246" s="325"/>
      <c r="K246" s="325"/>
      <c r="L246" s="325"/>
      <c r="M246" s="325"/>
      <c r="N246" s="325">
        <v>-83484</v>
      </c>
      <c r="O246" s="325">
        <v>104784</v>
      </c>
      <c r="P246" s="325">
        <v>30000</v>
      </c>
      <c r="Q246" s="516"/>
    </row>
    <row r="247" spans="1:17" s="326" customFormat="1" ht="21.75" customHeight="1">
      <c r="A247" s="322"/>
      <c r="B247" s="323">
        <v>80110</v>
      </c>
      <c r="C247" s="324" t="s">
        <v>203</v>
      </c>
      <c r="D247" s="43">
        <f t="shared" si="22"/>
        <v>242692</v>
      </c>
      <c r="E247" s="325"/>
      <c r="F247" s="325"/>
      <c r="G247" s="325"/>
      <c r="H247" s="325"/>
      <c r="I247" s="325"/>
      <c r="J247" s="325"/>
      <c r="K247" s="325"/>
      <c r="L247" s="325"/>
      <c r="M247" s="325"/>
      <c r="N247" s="325">
        <v>-1703627</v>
      </c>
      <c r="O247" s="325">
        <v>1875319</v>
      </c>
      <c r="P247" s="325">
        <v>71000</v>
      </c>
      <c r="Q247" s="516"/>
    </row>
    <row r="248" spans="1:17" s="326" customFormat="1" ht="21.75" customHeight="1">
      <c r="A248" s="322"/>
      <c r="B248" s="323">
        <v>80111</v>
      </c>
      <c r="C248" s="324" t="s">
        <v>283</v>
      </c>
      <c r="D248" s="43">
        <f t="shared" si="22"/>
        <v>11100</v>
      </c>
      <c r="E248" s="325"/>
      <c r="F248" s="325"/>
      <c r="G248" s="325"/>
      <c r="H248" s="325"/>
      <c r="I248" s="325"/>
      <c r="J248" s="325"/>
      <c r="K248" s="325"/>
      <c r="L248" s="325"/>
      <c r="M248" s="325"/>
      <c r="N248" s="325">
        <v>-137415</v>
      </c>
      <c r="O248" s="325">
        <v>148515</v>
      </c>
      <c r="P248" s="325"/>
      <c r="Q248" s="516"/>
    </row>
    <row r="249" spans="1:17" s="326" customFormat="1" ht="21.75" customHeight="1">
      <c r="A249" s="325"/>
      <c r="B249" s="323">
        <v>80113</v>
      </c>
      <c r="C249" s="324" t="s">
        <v>284</v>
      </c>
      <c r="D249" s="43">
        <f t="shared" si="22"/>
        <v>-35237</v>
      </c>
      <c r="E249" s="325"/>
      <c r="F249" s="325"/>
      <c r="G249" s="325"/>
      <c r="H249" s="325"/>
      <c r="I249" s="325"/>
      <c r="J249" s="325"/>
      <c r="K249" s="325"/>
      <c r="L249" s="325"/>
      <c r="M249" s="325"/>
      <c r="N249" s="325">
        <v>-57336</v>
      </c>
      <c r="O249" s="325">
        <v>22099</v>
      </c>
      <c r="P249" s="325"/>
      <c r="Q249" s="516"/>
    </row>
    <row r="250" spans="1:17" s="326" customFormat="1" ht="21.75" customHeight="1">
      <c r="A250" s="322"/>
      <c r="B250" s="437">
        <v>80120</v>
      </c>
      <c r="C250" s="324" t="s">
        <v>204</v>
      </c>
      <c r="D250" s="319">
        <f t="shared" si="22"/>
        <v>-8134</v>
      </c>
      <c r="E250" s="325"/>
      <c r="F250" s="325"/>
      <c r="G250" s="325"/>
      <c r="H250" s="325"/>
      <c r="I250" s="325"/>
      <c r="J250" s="325"/>
      <c r="K250" s="325"/>
      <c r="L250" s="325"/>
      <c r="M250" s="325"/>
      <c r="N250" s="325">
        <v>-1656335</v>
      </c>
      <c r="O250" s="325">
        <v>1618161</v>
      </c>
      <c r="P250" s="325">
        <f>26740+3300</f>
        <v>30040</v>
      </c>
      <c r="Q250" s="516"/>
    </row>
    <row r="251" spans="1:17" s="326" customFormat="1" ht="21.75" customHeight="1">
      <c r="A251" s="322"/>
      <c r="B251" s="323">
        <v>80121</v>
      </c>
      <c r="C251" s="324" t="s">
        <v>285</v>
      </c>
      <c r="D251" s="43">
        <f t="shared" si="22"/>
        <v>13300</v>
      </c>
      <c r="E251" s="325"/>
      <c r="F251" s="325"/>
      <c r="G251" s="325"/>
      <c r="H251" s="325"/>
      <c r="I251" s="325"/>
      <c r="J251" s="325"/>
      <c r="K251" s="325"/>
      <c r="L251" s="325"/>
      <c r="M251" s="325"/>
      <c r="N251" s="325">
        <v>-43532</v>
      </c>
      <c r="O251" s="325">
        <v>56832</v>
      </c>
      <c r="P251" s="325"/>
      <c r="Q251" s="516"/>
    </row>
    <row r="252" spans="1:17" s="326" customFormat="1" ht="21.75" customHeight="1">
      <c r="A252" s="322"/>
      <c r="B252" s="437">
        <v>80123</v>
      </c>
      <c r="C252" s="324" t="s">
        <v>286</v>
      </c>
      <c r="D252" s="319">
        <f t="shared" si="22"/>
        <v>-4364</v>
      </c>
      <c r="E252" s="325"/>
      <c r="F252" s="325"/>
      <c r="G252" s="325"/>
      <c r="H252" s="325"/>
      <c r="I252" s="325"/>
      <c r="J252" s="325"/>
      <c r="K252" s="325"/>
      <c r="L252" s="325"/>
      <c r="M252" s="325"/>
      <c r="N252" s="325">
        <v>-436702</v>
      </c>
      <c r="O252" s="325">
        <v>432338</v>
      </c>
      <c r="P252" s="325"/>
      <c r="Q252" s="516"/>
    </row>
    <row r="253" spans="1:17" s="326" customFormat="1" ht="21.75" customHeight="1">
      <c r="A253" s="322"/>
      <c r="B253" s="323">
        <v>80124</v>
      </c>
      <c r="C253" s="324" t="s">
        <v>287</v>
      </c>
      <c r="D253" s="43">
        <f t="shared" si="22"/>
        <v>-2500</v>
      </c>
      <c r="E253" s="325"/>
      <c r="F253" s="325"/>
      <c r="G253" s="325"/>
      <c r="H253" s="325"/>
      <c r="I253" s="325"/>
      <c r="J253" s="325"/>
      <c r="K253" s="325"/>
      <c r="L253" s="325"/>
      <c r="M253" s="325"/>
      <c r="N253" s="325">
        <v>-9354</v>
      </c>
      <c r="O253" s="325">
        <v>6854</v>
      </c>
      <c r="P253" s="325"/>
      <c r="Q253" s="516"/>
    </row>
    <row r="254" spans="1:17" s="99" customFormat="1" ht="21.75" customHeight="1">
      <c r="A254" s="42"/>
      <c r="B254" s="157">
        <v>80130</v>
      </c>
      <c r="C254" s="98" t="s">
        <v>693</v>
      </c>
      <c r="D254" s="43">
        <f t="shared" si="22"/>
        <v>-94922</v>
      </c>
      <c r="E254" s="43"/>
      <c r="F254" s="43"/>
      <c r="G254" s="43"/>
      <c r="H254" s="43"/>
      <c r="I254" s="43"/>
      <c r="J254" s="43"/>
      <c r="K254" s="43"/>
      <c r="L254" s="43"/>
      <c r="M254" s="43"/>
      <c r="N254" s="43">
        <v>-2045695</v>
      </c>
      <c r="O254" s="43">
        <v>1919634</v>
      </c>
      <c r="P254" s="43">
        <f>34439-3300</f>
        <v>31139</v>
      </c>
      <c r="Q254" s="516"/>
    </row>
    <row r="255" spans="1:17" s="99" customFormat="1" ht="21.75" customHeight="1">
      <c r="A255" s="42"/>
      <c r="B255" s="44">
        <v>80132</v>
      </c>
      <c r="C255" s="318" t="s">
        <v>288</v>
      </c>
      <c r="D255" s="43">
        <f t="shared" si="22"/>
        <v>66000</v>
      </c>
      <c r="E255" s="319"/>
      <c r="F255" s="319"/>
      <c r="G255" s="319"/>
      <c r="H255" s="319"/>
      <c r="I255" s="319"/>
      <c r="J255" s="319"/>
      <c r="K255" s="319"/>
      <c r="L255" s="319"/>
      <c r="M255" s="319"/>
      <c r="N255" s="319">
        <v>-50282</v>
      </c>
      <c r="O255" s="319">
        <v>116282</v>
      </c>
      <c r="P255" s="319"/>
      <c r="Q255" s="516"/>
    </row>
    <row r="256" spans="1:17" s="99" customFormat="1" ht="21.75" customHeight="1">
      <c r="A256" s="42"/>
      <c r="B256" s="44">
        <v>80134</v>
      </c>
      <c r="C256" s="318" t="s">
        <v>289</v>
      </c>
      <c r="D256" s="43">
        <f t="shared" si="22"/>
        <v>35000</v>
      </c>
      <c r="E256" s="319"/>
      <c r="F256" s="319"/>
      <c r="G256" s="319"/>
      <c r="H256" s="319"/>
      <c r="I256" s="319"/>
      <c r="J256" s="319"/>
      <c r="K256" s="319"/>
      <c r="L256" s="319"/>
      <c r="M256" s="319"/>
      <c r="N256" s="319">
        <v>-89545</v>
      </c>
      <c r="O256" s="319">
        <v>124545</v>
      </c>
      <c r="P256" s="319"/>
      <c r="Q256" s="516"/>
    </row>
    <row r="257" spans="1:17" s="99" customFormat="1" ht="47.25" customHeight="1">
      <c r="A257" s="42"/>
      <c r="B257" s="44">
        <v>80140</v>
      </c>
      <c r="C257" s="318" t="s">
        <v>231</v>
      </c>
      <c r="D257" s="43">
        <f t="shared" si="22"/>
        <v>31500</v>
      </c>
      <c r="E257" s="319"/>
      <c r="F257" s="319"/>
      <c r="G257" s="319"/>
      <c r="H257" s="319"/>
      <c r="I257" s="319"/>
      <c r="J257" s="319"/>
      <c r="K257" s="319"/>
      <c r="L257" s="319"/>
      <c r="M257" s="319"/>
      <c r="N257" s="319">
        <v>-449665</v>
      </c>
      <c r="O257" s="319">
        <v>481165</v>
      </c>
      <c r="P257" s="319"/>
      <c r="Q257" s="516"/>
    </row>
    <row r="258" spans="1:17" s="99" customFormat="1" ht="21.75" customHeight="1">
      <c r="A258" s="42"/>
      <c r="B258" s="44">
        <v>80146</v>
      </c>
      <c r="C258" s="318" t="s">
        <v>206</v>
      </c>
      <c r="D258" s="43">
        <f t="shared" si="22"/>
        <v>0</v>
      </c>
      <c r="E258" s="319"/>
      <c r="F258" s="319"/>
      <c r="G258" s="319"/>
      <c r="H258" s="319"/>
      <c r="I258" s="319"/>
      <c r="J258" s="319"/>
      <c r="K258" s="319"/>
      <c r="L258" s="319"/>
      <c r="M258" s="319"/>
      <c r="N258" s="319">
        <v>-409162</v>
      </c>
      <c r="O258" s="319">
        <v>409162</v>
      </c>
      <c r="P258" s="319"/>
      <c r="Q258" s="516"/>
    </row>
    <row r="259" spans="1:17" s="22" customFormat="1" ht="21.75" customHeight="1">
      <c r="A259" s="38">
        <v>851</v>
      </c>
      <c r="B259" s="39"/>
      <c r="C259" s="40" t="s">
        <v>650</v>
      </c>
      <c r="D259" s="41">
        <f t="shared" si="22"/>
        <v>0</v>
      </c>
      <c r="E259" s="41"/>
      <c r="F259" s="41"/>
      <c r="G259" s="41"/>
      <c r="H259" s="41"/>
      <c r="I259" s="41"/>
      <c r="J259" s="41"/>
      <c r="K259" s="41"/>
      <c r="L259" s="41"/>
      <c r="M259" s="41"/>
      <c r="N259" s="41">
        <f>SUM(N260:N262)</f>
        <v>-122783</v>
      </c>
      <c r="O259" s="41">
        <f>SUM(O260:O262)</f>
        <v>122783</v>
      </c>
      <c r="P259" s="41"/>
      <c r="Q259" s="513"/>
    </row>
    <row r="260" spans="1:17" s="326" customFormat="1" ht="21.75" customHeight="1">
      <c r="A260" s="322"/>
      <c r="B260" s="323">
        <v>85149</v>
      </c>
      <c r="C260" s="324" t="s">
        <v>734</v>
      </c>
      <c r="D260" s="43">
        <f t="shared" si="22"/>
        <v>0</v>
      </c>
      <c r="E260" s="325"/>
      <c r="F260" s="325"/>
      <c r="G260" s="325"/>
      <c r="H260" s="325"/>
      <c r="I260" s="325"/>
      <c r="J260" s="325"/>
      <c r="K260" s="325"/>
      <c r="L260" s="325"/>
      <c r="M260" s="325"/>
      <c r="N260" s="325">
        <v>-10525</v>
      </c>
      <c r="O260" s="325">
        <v>10525</v>
      </c>
      <c r="P260" s="325"/>
      <c r="Q260" s="516"/>
    </row>
    <row r="261" spans="1:17" s="99" customFormat="1" ht="21.75" customHeight="1">
      <c r="A261" s="42"/>
      <c r="B261" s="157">
        <v>85154</v>
      </c>
      <c r="C261" s="98" t="s">
        <v>673</v>
      </c>
      <c r="D261" s="43">
        <f t="shared" si="22"/>
        <v>0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>
        <v>-91591</v>
      </c>
      <c r="O261" s="43">
        <v>91591</v>
      </c>
      <c r="P261" s="43"/>
      <c r="Q261" s="516"/>
    </row>
    <row r="262" spans="1:17" s="99" customFormat="1" ht="21.75" customHeight="1">
      <c r="A262" s="42"/>
      <c r="B262" s="44">
        <v>85195</v>
      </c>
      <c r="C262" s="318" t="s">
        <v>646</v>
      </c>
      <c r="D262" s="43">
        <f t="shared" si="22"/>
        <v>0</v>
      </c>
      <c r="E262" s="319"/>
      <c r="F262" s="319"/>
      <c r="G262" s="319"/>
      <c r="H262" s="319"/>
      <c r="I262" s="319"/>
      <c r="J262" s="319"/>
      <c r="K262" s="319"/>
      <c r="L262" s="319"/>
      <c r="M262" s="319"/>
      <c r="N262" s="319">
        <v>-20667</v>
      </c>
      <c r="O262" s="319">
        <v>20667</v>
      </c>
      <c r="P262" s="319"/>
      <c r="Q262" s="516"/>
    </row>
    <row r="263" spans="1:17" s="22" customFormat="1" ht="21.75" customHeight="1">
      <c r="A263" s="38">
        <v>854</v>
      </c>
      <c r="B263" s="39"/>
      <c r="C263" s="40" t="s">
        <v>649</v>
      </c>
      <c r="D263" s="41">
        <f t="shared" si="22"/>
        <v>972803</v>
      </c>
      <c r="E263" s="41"/>
      <c r="F263" s="41"/>
      <c r="G263" s="41"/>
      <c r="H263" s="41"/>
      <c r="I263" s="41"/>
      <c r="J263" s="41"/>
      <c r="K263" s="41"/>
      <c r="L263" s="41"/>
      <c r="M263" s="41"/>
      <c r="N263" s="41">
        <f>SUM(N264:N273)</f>
        <v>-2701449</v>
      </c>
      <c r="O263" s="41">
        <f>SUM(O264:O273)</f>
        <v>2742049</v>
      </c>
      <c r="P263" s="41">
        <f>SUM(P264:P273)</f>
        <v>932203</v>
      </c>
      <c r="Q263" s="513"/>
    </row>
    <row r="264" spans="1:17" s="99" customFormat="1" ht="21.75" customHeight="1">
      <c r="A264" s="156"/>
      <c r="B264" s="157">
        <v>85401</v>
      </c>
      <c r="C264" s="98" t="s">
        <v>291</v>
      </c>
      <c r="D264" s="43">
        <f t="shared" si="22"/>
        <v>-10339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>
        <v>-265983</v>
      </c>
      <c r="O264" s="43">
        <v>255644</v>
      </c>
      <c r="P264" s="43"/>
      <c r="Q264" s="516"/>
    </row>
    <row r="265" spans="1:17" s="99" customFormat="1" ht="21.75" customHeight="1">
      <c r="A265" s="42"/>
      <c r="B265" s="157">
        <v>85403</v>
      </c>
      <c r="C265" s="98" t="s">
        <v>292</v>
      </c>
      <c r="D265" s="43">
        <f t="shared" si="22"/>
        <v>38860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>
        <v>-1166161</v>
      </c>
      <c r="O265" s="43">
        <v>1205021</v>
      </c>
      <c r="P265" s="43"/>
      <c r="Q265" s="516"/>
    </row>
    <row r="266" spans="1:17" s="99" customFormat="1" ht="34.5" customHeight="1">
      <c r="A266" s="42"/>
      <c r="B266" s="157">
        <v>85406</v>
      </c>
      <c r="C266" s="98" t="s">
        <v>293</v>
      </c>
      <c r="D266" s="43">
        <f t="shared" si="22"/>
        <v>-21000</v>
      </c>
      <c r="E266" s="43"/>
      <c r="F266" s="43"/>
      <c r="G266" s="43"/>
      <c r="H266" s="43"/>
      <c r="I266" s="43"/>
      <c r="J266" s="43"/>
      <c r="K266" s="43"/>
      <c r="L266" s="43"/>
      <c r="M266" s="43"/>
      <c r="N266" s="43">
        <v>-282041</v>
      </c>
      <c r="O266" s="43">
        <v>261041</v>
      </c>
      <c r="P266" s="43"/>
      <c r="Q266" s="516"/>
    </row>
    <row r="267" spans="1:17" s="99" customFormat="1" ht="21.75" customHeight="1">
      <c r="A267" s="42"/>
      <c r="B267" s="157">
        <v>85407</v>
      </c>
      <c r="C267" s="98" t="s">
        <v>205</v>
      </c>
      <c r="D267" s="43">
        <f t="shared" si="22"/>
        <v>-2730</v>
      </c>
      <c r="E267" s="43"/>
      <c r="F267" s="43"/>
      <c r="G267" s="43"/>
      <c r="H267" s="43"/>
      <c r="I267" s="43"/>
      <c r="J267" s="43"/>
      <c r="K267" s="43"/>
      <c r="L267" s="43"/>
      <c r="M267" s="43"/>
      <c r="N267" s="43">
        <v>-78128</v>
      </c>
      <c r="O267" s="43">
        <v>75398</v>
      </c>
      <c r="P267" s="43"/>
      <c r="Q267" s="516"/>
    </row>
    <row r="268" spans="1:17" s="99" customFormat="1" ht="21.75" customHeight="1">
      <c r="A268" s="42"/>
      <c r="B268" s="157">
        <v>85410</v>
      </c>
      <c r="C268" s="98" t="s">
        <v>230</v>
      </c>
      <c r="D268" s="43">
        <f t="shared" si="22"/>
        <v>10918</v>
      </c>
      <c r="E268" s="43"/>
      <c r="F268" s="43"/>
      <c r="G268" s="43"/>
      <c r="H268" s="43"/>
      <c r="I268" s="43"/>
      <c r="J268" s="43"/>
      <c r="K268" s="43"/>
      <c r="L268" s="43"/>
      <c r="M268" s="43"/>
      <c r="N268" s="43">
        <v>-326871</v>
      </c>
      <c r="O268" s="43">
        <v>337789</v>
      </c>
      <c r="P268" s="43"/>
      <c r="Q268" s="516"/>
    </row>
    <row r="269" spans="1:17" s="99" customFormat="1" ht="21.75" customHeight="1">
      <c r="A269" s="42"/>
      <c r="B269" s="44">
        <v>85415</v>
      </c>
      <c r="C269" s="318" t="s">
        <v>201</v>
      </c>
      <c r="D269" s="319">
        <f t="shared" si="22"/>
        <v>962803</v>
      </c>
      <c r="E269" s="319"/>
      <c r="F269" s="319"/>
      <c r="G269" s="319"/>
      <c r="H269" s="319"/>
      <c r="I269" s="319"/>
      <c r="J269" s="319"/>
      <c r="K269" s="319"/>
      <c r="L269" s="319"/>
      <c r="M269" s="319"/>
      <c r="N269" s="319">
        <v>-141949</v>
      </c>
      <c r="O269" s="319">
        <v>182549</v>
      </c>
      <c r="P269" s="319">
        <v>922203</v>
      </c>
      <c r="Q269" s="516"/>
    </row>
    <row r="270" spans="1:17" s="99" customFormat="1" ht="21.75" customHeight="1">
      <c r="A270" s="42"/>
      <c r="B270" s="157">
        <v>85417</v>
      </c>
      <c r="C270" s="98" t="s">
        <v>294</v>
      </c>
      <c r="D270" s="43">
        <f t="shared" si="22"/>
        <v>10000</v>
      </c>
      <c r="E270" s="43"/>
      <c r="F270" s="43"/>
      <c r="G270" s="43"/>
      <c r="H270" s="43"/>
      <c r="I270" s="43"/>
      <c r="J270" s="43"/>
      <c r="K270" s="43"/>
      <c r="L270" s="43"/>
      <c r="M270" s="43"/>
      <c r="N270" s="43">
        <v>-19163</v>
      </c>
      <c r="O270" s="43">
        <v>19163</v>
      </c>
      <c r="P270" s="43">
        <v>10000</v>
      </c>
      <c r="Q270" s="516"/>
    </row>
    <row r="271" spans="1:17" s="99" customFormat="1" ht="21.75" customHeight="1">
      <c r="A271" s="42"/>
      <c r="B271" s="44">
        <v>85421</v>
      </c>
      <c r="C271" s="318" t="s">
        <v>295</v>
      </c>
      <c r="D271" s="319">
        <f t="shared" si="22"/>
        <v>-4800</v>
      </c>
      <c r="E271" s="319"/>
      <c r="F271" s="319"/>
      <c r="G271" s="319"/>
      <c r="H271" s="319"/>
      <c r="I271" s="319"/>
      <c r="J271" s="319"/>
      <c r="K271" s="319"/>
      <c r="L271" s="319"/>
      <c r="M271" s="319"/>
      <c r="N271" s="319">
        <v>-24575</v>
      </c>
      <c r="O271" s="319">
        <v>19775</v>
      </c>
      <c r="P271" s="319"/>
      <c r="Q271" s="516"/>
    </row>
    <row r="272" spans="1:17" s="99" customFormat="1" ht="21.75" customHeight="1">
      <c r="A272" s="42"/>
      <c r="B272" s="157">
        <v>85446</v>
      </c>
      <c r="C272" s="98" t="s">
        <v>206</v>
      </c>
      <c r="D272" s="43">
        <f t="shared" si="22"/>
        <v>0</v>
      </c>
      <c r="E272" s="43"/>
      <c r="F272" s="43"/>
      <c r="G272" s="43"/>
      <c r="H272" s="43"/>
      <c r="I272" s="43"/>
      <c r="J272" s="43"/>
      <c r="K272" s="43"/>
      <c r="L272" s="43"/>
      <c r="M272" s="43"/>
      <c r="N272" s="43">
        <v>-46739</v>
      </c>
      <c r="O272" s="43">
        <v>46739</v>
      </c>
      <c r="P272" s="43"/>
      <c r="Q272" s="516"/>
    </row>
    <row r="273" spans="1:17" s="99" customFormat="1" ht="21.75" customHeight="1">
      <c r="A273" s="44"/>
      <c r="B273" s="44">
        <v>85495</v>
      </c>
      <c r="C273" s="318" t="s">
        <v>646</v>
      </c>
      <c r="D273" s="43">
        <f aca="true" t="shared" si="29" ref="D273:D281">SUM(E273:P273)</f>
        <v>-10909</v>
      </c>
      <c r="E273" s="319"/>
      <c r="F273" s="319"/>
      <c r="G273" s="319"/>
      <c r="H273" s="319"/>
      <c r="I273" s="319"/>
      <c r="J273" s="319"/>
      <c r="K273" s="319"/>
      <c r="L273" s="319"/>
      <c r="M273" s="319"/>
      <c r="N273" s="319">
        <v>-349839</v>
      </c>
      <c r="O273" s="319">
        <v>338930</v>
      </c>
      <c r="P273" s="319"/>
      <c r="Q273" s="516"/>
    </row>
    <row r="274" spans="1:17" s="22" customFormat="1" ht="21.75" customHeight="1">
      <c r="A274" s="38">
        <v>926</v>
      </c>
      <c r="B274" s="39"/>
      <c r="C274" s="40" t="s">
        <v>266</v>
      </c>
      <c r="D274" s="41">
        <f t="shared" si="29"/>
        <v>0</v>
      </c>
      <c r="E274" s="41"/>
      <c r="F274" s="41"/>
      <c r="G274" s="41"/>
      <c r="H274" s="41"/>
      <c r="I274" s="41"/>
      <c r="J274" s="41"/>
      <c r="K274" s="41"/>
      <c r="L274" s="41"/>
      <c r="M274" s="41"/>
      <c r="N274" s="41">
        <f>N275</f>
        <v>-7323</v>
      </c>
      <c r="O274" s="41">
        <f>O275</f>
        <v>7323</v>
      </c>
      <c r="P274" s="41"/>
      <c r="Q274" s="513"/>
    </row>
    <row r="275" spans="1:17" s="99" customFormat="1" ht="21.75" customHeight="1">
      <c r="A275" s="156"/>
      <c r="B275" s="157">
        <v>92605</v>
      </c>
      <c r="C275" s="98" t="s">
        <v>290</v>
      </c>
      <c r="D275" s="43">
        <f t="shared" si="29"/>
        <v>0</v>
      </c>
      <c r="E275" s="43"/>
      <c r="F275" s="43"/>
      <c r="G275" s="43"/>
      <c r="H275" s="43"/>
      <c r="I275" s="43"/>
      <c r="J275" s="43"/>
      <c r="K275" s="43"/>
      <c r="L275" s="43"/>
      <c r="M275" s="43"/>
      <c r="N275" s="43">
        <v>-7323</v>
      </c>
      <c r="O275" s="43">
        <v>7323</v>
      </c>
      <c r="P275" s="43"/>
      <c r="Q275" s="516"/>
    </row>
    <row r="276" spans="1:17" s="45" customFormat="1" ht="38.25" customHeight="1" thickBot="1">
      <c r="A276" s="140"/>
      <c r="B276" s="141"/>
      <c r="C276" s="617" t="s">
        <v>321</v>
      </c>
      <c r="D276" s="143">
        <f t="shared" si="29"/>
        <v>395395</v>
      </c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>
        <f>O277</f>
        <v>395395</v>
      </c>
      <c r="P276" s="143"/>
      <c r="Q276" s="519"/>
    </row>
    <row r="277" spans="1:17" s="22" customFormat="1" ht="21.75" customHeight="1" thickTop="1">
      <c r="A277" s="41">
        <v>854</v>
      </c>
      <c r="B277" s="38"/>
      <c r="C277" s="607" t="s">
        <v>649</v>
      </c>
      <c r="D277" s="41">
        <f t="shared" si="29"/>
        <v>395395</v>
      </c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>
        <f>O278</f>
        <v>395395</v>
      </c>
      <c r="P277" s="41"/>
      <c r="Q277" s="513"/>
    </row>
    <row r="278" spans="1:17" s="326" customFormat="1" ht="21.75" customHeight="1">
      <c r="A278" s="322"/>
      <c r="B278" s="44">
        <v>85415</v>
      </c>
      <c r="C278" s="318" t="s">
        <v>201</v>
      </c>
      <c r="D278" s="43">
        <f t="shared" si="29"/>
        <v>395395</v>
      </c>
      <c r="E278" s="325"/>
      <c r="F278" s="325"/>
      <c r="G278" s="325"/>
      <c r="H278" s="325"/>
      <c r="I278" s="325"/>
      <c r="J278" s="319"/>
      <c r="K278" s="325"/>
      <c r="L278" s="325"/>
      <c r="M278" s="325"/>
      <c r="N278" s="325"/>
      <c r="O278" s="325">
        <v>395395</v>
      </c>
      <c r="P278" s="325"/>
      <c r="Q278" s="516"/>
    </row>
    <row r="279" spans="1:17" s="45" customFormat="1" ht="38.25" customHeight="1" thickBot="1">
      <c r="A279" s="140"/>
      <c r="B279" s="141"/>
      <c r="C279" s="617" t="s">
        <v>677</v>
      </c>
      <c r="D279" s="143">
        <f t="shared" si="29"/>
        <v>0</v>
      </c>
      <c r="E279" s="143"/>
      <c r="F279" s="143"/>
      <c r="G279" s="143"/>
      <c r="H279" s="143"/>
      <c r="I279" s="143"/>
      <c r="J279" s="143"/>
      <c r="K279" s="143"/>
      <c r="L279" s="143"/>
      <c r="M279" s="143"/>
      <c r="N279" s="143">
        <f>N280</f>
        <v>-4500</v>
      </c>
      <c r="O279" s="143">
        <f>O280</f>
        <v>4500</v>
      </c>
      <c r="P279" s="143"/>
      <c r="Q279" s="519"/>
    </row>
    <row r="280" spans="1:17" s="22" customFormat="1" ht="21.75" customHeight="1" thickTop="1">
      <c r="A280" s="41">
        <v>854</v>
      </c>
      <c r="B280" s="38"/>
      <c r="C280" s="607" t="s">
        <v>649</v>
      </c>
      <c r="D280" s="41">
        <f t="shared" si="29"/>
        <v>0</v>
      </c>
      <c r="E280" s="41"/>
      <c r="F280" s="41"/>
      <c r="G280" s="41"/>
      <c r="H280" s="41"/>
      <c r="I280" s="41"/>
      <c r="J280" s="41"/>
      <c r="K280" s="41"/>
      <c r="L280" s="41"/>
      <c r="M280" s="41"/>
      <c r="N280" s="41">
        <f>N281</f>
        <v>-4500</v>
      </c>
      <c r="O280" s="41">
        <f>O281</f>
        <v>4500</v>
      </c>
      <c r="P280" s="41"/>
      <c r="Q280" s="513"/>
    </row>
    <row r="281" spans="1:17" s="326" customFormat="1" ht="21.75" customHeight="1">
      <c r="A281" s="322"/>
      <c r="B281" s="1593">
        <v>85401</v>
      </c>
      <c r="C281" s="435" t="s">
        <v>291</v>
      </c>
      <c r="D281" s="321">
        <f t="shared" si="29"/>
        <v>0</v>
      </c>
      <c r="E281" s="322"/>
      <c r="F281" s="322"/>
      <c r="G281" s="322"/>
      <c r="H281" s="322"/>
      <c r="I281" s="322"/>
      <c r="J281" s="1039"/>
      <c r="K281" s="322"/>
      <c r="L281" s="322"/>
      <c r="M281" s="322"/>
      <c r="N281" s="322">
        <v>-4500</v>
      </c>
      <c r="O281" s="322">
        <v>4500</v>
      </c>
      <c r="P281" s="322"/>
      <c r="Q281" s="516"/>
    </row>
    <row r="282" spans="1:17" s="326" customFormat="1" ht="21.75" customHeight="1">
      <c r="A282" s="1594"/>
      <c r="B282" s="1595"/>
      <c r="C282" s="1588"/>
      <c r="D282" s="1582"/>
      <c r="E282" s="1594"/>
      <c r="F282" s="1594"/>
      <c r="G282" s="1594"/>
      <c r="H282" s="1594"/>
      <c r="I282" s="1594"/>
      <c r="J282" s="1582"/>
      <c r="K282" s="1594"/>
      <c r="L282" s="1594"/>
      <c r="M282" s="1594"/>
      <c r="N282" s="1594"/>
      <c r="O282" s="1594"/>
      <c r="P282" s="1594"/>
      <c r="Q282" s="516"/>
    </row>
    <row r="283" spans="1:17" s="326" customFormat="1" ht="21.75" customHeight="1">
      <c r="A283" s="1596"/>
      <c r="B283" s="1597"/>
      <c r="C283" s="1590"/>
      <c r="D283" s="1586"/>
      <c r="E283" s="1596"/>
      <c r="F283" s="1596"/>
      <c r="G283" s="1596"/>
      <c r="H283" s="1596"/>
      <c r="I283" s="1596"/>
      <c r="J283" s="1586"/>
      <c r="K283" s="1596"/>
      <c r="L283" s="1596"/>
      <c r="M283" s="1596"/>
      <c r="N283" s="1596"/>
      <c r="O283" s="1596"/>
      <c r="P283" s="1596"/>
      <c r="Q283" s="516"/>
    </row>
    <row r="284" spans="1:17" s="45" customFormat="1" ht="49.5" customHeight="1" thickBot="1">
      <c r="A284" s="140"/>
      <c r="B284" s="141"/>
      <c r="C284" s="444" t="s">
        <v>678</v>
      </c>
      <c r="D284" s="143">
        <f>SUM(E284:P284)</f>
        <v>0</v>
      </c>
      <c r="E284" s="143"/>
      <c r="F284" s="143"/>
      <c r="G284" s="143"/>
      <c r="H284" s="143"/>
      <c r="I284" s="143"/>
      <c r="J284" s="143"/>
      <c r="K284" s="143"/>
      <c r="L284" s="143"/>
      <c r="M284" s="143"/>
      <c r="N284" s="143">
        <f>N285</f>
        <v>-280</v>
      </c>
      <c r="O284" s="143">
        <f>O285</f>
        <v>280</v>
      </c>
      <c r="P284" s="143"/>
      <c r="Q284" s="519"/>
    </row>
    <row r="285" spans="1:17" s="22" customFormat="1" ht="21.75" customHeight="1" thickTop="1">
      <c r="A285" s="41">
        <v>851</v>
      </c>
      <c r="B285" s="38"/>
      <c r="C285" s="313" t="s">
        <v>650</v>
      </c>
      <c r="D285" s="41">
        <f>SUM(E285:P285)</f>
        <v>0</v>
      </c>
      <c r="E285" s="41"/>
      <c r="F285" s="41"/>
      <c r="G285" s="41"/>
      <c r="H285" s="41"/>
      <c r="I285" s="41"/>
      <c r="J285" s="41"/>
      <c r="K285" s="41"/>
      <c r="L285" s="41"/>
      <c r="M285" s="41"/>
      <c r="N285" s="41">
        <f>N286</f>
        <v>-280</v>
      </c>
      <c r="O285" s="41">
        <f>O286</f>
        <v>280</v>
      </c>
      <c r="P285" s="41"/>
      <c r="Q285" s="513"/>
    </row>
    <row r="286" spans="1:17" s="326" customFormat="1" ht="47.25" customHeight="1">
      <c r="A286" s="327"/>
      <c r="B286" s="323">
        <v>85156</v>
      </c>
      <c r="C286" s="98" t="s">
        <v>296</v>
      </c>
      <c r="D286" s="43">
        <f>SUM(E286:P286)</f>
        <v>0</v>
      </c>
      <c r="E286" s="327"/>
      <c r="F286" s="327"/>
      <c r="G286" s="325"/>
      <c r="H286" s="325"/>
      <c r="I286" s="325"/>
      <c r="J286" s="325"/>
      <c r="K286" s="325"/>
      <c r="L286" s="325"/>
      <c r="M286" s="325"/>
      <c r="N286" s="325">
        <v>-280</v>
      </c>
      <c r="O286" s="325">
        <v>280</v>
      </c>
      <c r="P286" s="325"/>
      <c r="Q286" s="516"/>
    </row>
    <row r="287" spans="3:16" ht="33.75" customHeight="1">
      <c r="C287" s="46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3:16" ht="44.25" customHeight="1">
      <c r="C288" s="46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3:16" ht="39.75" customHeight="1">
      <c r="C289" s="572" t="s">
        <v>446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572" t="s">
        <v>447</v>
      </c>
      <c r="N289" s="572"/>
      <c r="O289" s="1698"/>
      <c r="P289" s="47"/>
    </row>
    <row r="290" spans="3:16" ht="19.5" customHeight="1">
      <c r="C290" s="1645" t="s">
        <v>449</v>
      </c>
      <c r="D290" s="47"/>
      <c r="E290" s="47"/>
      <c r="F290" s="47"/>
      <c r="G290" s="47"/>
      <c r="H290" s="47"/>
      <c r="I290" s="47"/>
      <c r="J290" s="47"/>
      <c r="K290" s="47"/>
      <c r="L290" s="47"/>
      <c r="M290" s="530" t="s">
        <v>229</v>
      </c>
      <c r="N290" s="523"/>
      <c r="O290" s="1647"/>
      <c r="P290" s="47"/>
    </row>
    <row r="291" spans="3:16" ht="35.25" customHeight="1">
      <c r="C291" s="46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3:16" ht="35.25" customHeight="1">
      <c r="C292" s="46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3:16" ht="30" customHeight="1">
      <c r="C293" s="46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3:16" ht="30" customHeight="1">
      <c r="C294" s="46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3:16" ht="30" customHeight="1">
      <c r="C295" s="46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3:16" ht="30" customHeight="1">
      <c r="C296" s="46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3:16" ht="30" customHeight="1">
      <c r="C297" s="46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3:16" ht="30" customHeight="1">
      <c r="C298" s="46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3:16" ht="30" customHeight="1">
      <c r="C299" s="46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3:16" ht="30" customHeight="1">
      <c r="C300" s="46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3:16" ht="30" customHeight="1">
      <c r="C301" s="46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3:16" ht="30" customHeight="1">
      <c r="C302" s="46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  <row r="303" spans="3:16" ht="30" customHeight="1">
      <c r="C303" s="46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</row>
    <row r="304" spans="3:16" ht="30" customHeight="1">
      <c r="C304" s="46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</row>
    <row r="305" spans="3:16" ht="30" customHeight="1">
      <c r="C305" s="46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</row>
    <row r="306" spans="3:16" ht="30" customHeight="1">
      <c r="C306" s="46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</row>
    <row r="307" spans="3:16" ht="30" customHeight="1">
      <c r="C307" s="46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</row>
    <row r="308" spans="3:16" ht="30" customHeight="1">
      <c r="C308" s="46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3:16" ht="48.75" customHeight="1">
      <c r="C309" s="46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</row>
    <row r="310" spans="3:16" ht="48.75" customHeight="1">
      <c r="C310" s="46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</row>
    <row r="311" spans="3:16" ht="48.75" customHeight="1">
      <c r="C311" s="46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</row>
    <row r="312" spans="3:16" ht="30" customHeight="1">
      <c r="C312" s="46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</row>
    <row r="313" spans="3:16" ht="30" customHeight="1">
      <c r="C313" s="46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</row>
    <row r="314" spans="3:16" ht="30" customHeight="1">
      <c r="C314" s="46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</row>
    <row r="315" spans="3:16" ht="30" customHeight="1">
      <c r="C315" s="46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</row>
    <row r="316" spans="3:16" ht="30" customHeight="1">
      <c r="C316" s="46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</row>
    <row r="317" spans="3:16" ht="30" customHeight="1">
      <c r="C317" s="46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</row>
    <row r="318" ht="30" customHeight="1">
      <c r="C318" s="46"/>
    </row>
    <row r="319" ht="30" customHeight="1">
      <c r="C319" s="46"/>
    </row>
    <row r="320" ht="30" customHeight="1">
      <c r="C320" s="46"/>
    </row>
    <row r="321" ht="30" customHeight="1">
      <c r="C321" s="46"/>
    </row>
    <row r="322" ht="30" customHeight="1">
      <c r="C322" s="46"/>
    </row>
    <row r="323" ht="30" customHeight="1">
      <c r="C323" s="46"/>
    </row>
    <row r="324" ht="30" customHeight="1">
      <c r="C324" s="46"/>
    </row>
    <row r="325" ht="30" customHeight="1">
      <c r="C325" s="46"/>
    </row>
    <row r="326" ht="30" customHeight="1">
      <c r="C326" s="46"/>
    </row>
    <row r="327" ht="30" customHeight="1">
      <c r="C327" s="46"/>
    </row>
    <row r="328" ht="106.5" customHeight="1">
      <c r="C328" s="46"/>
    </row>
    <row r="329" ht="77.25" customHeight="1">
      <c r="C329" s="46"/>
    </row>
    <row r="330" ht="30" customHeight="1">
      <c r="C330" s="46"/>
    </row>
    <row r="331" ht="28.5" customHeight="1">
      <c r="C331" s="46"/>
    </row>
    <row r="332" ht="30" customHeight="1">
      <c r="C332" s="46"/>
    </row>
    <row r="333" ht="21.75" customHeight="1">
      <c r="C333" s="46"/>
    </row>
    <row r="334" ht="30" customHeight="1">
      <c r="C334" s="46"/>
    </row>
    <row r="335" ht="30" customHeight="1">
      <c r="C335" s="46"/>
    </row>
    <row r="336" ht="27.75" customHeight="1">
      <c r="C336" s="46"/>
    </row>
    <row r="337" ht="33" customHeight="1">
      <c r="C337" s="46"/>
    </row>
    <row r="338" ht="32.25" customHeight="1">
      <c r="C338" s="46"/>
    </row>
    <row r="339" ht="21" customHeight="1">
      <c r="C339" s="46"/>
    </row>
    <row r="340" ht="30" customHeight="1">
      <c r="C340" s="46"/>
    </row>
    <row r="341" ht="24" customHeight="1">
      <c r="C341" s="46"/>
    </row>
    <row r="342" ht="24.75" customHeight="1">
      <c r="C342" s="46"/>
    </row>
    <row r="343" ht="24.75" customHeight="1">
      <c r="C343" s="46"/>
    </row>
    <row r="344" ht="26.25" customHeight="1">
      <c r="C344" s="46"/>
    </row>
    <row r="345" ht="24" customHeight="1">
      <c r="C345" s="46"/>
    </row>
    <row r="346" ht="24" customHeight="1">
      <c r="C346" s="46"/>
    </row>
    <row r="347" ht="24.75" customHeight="1">
      <c r="C347" s="46"/>
    </row>
    <row r="348" ht="33.75" customHeight="1">
      <c r="C348" s="46"/>
    </row>
    <row r="349" ht="33.75" customHeight="1">
      <c r="C349" s="46"/>
    </row>
    <row r="350" ht="39.75" customHeight="1">
      <c r="C350" s="46"/>
    </row>
    <row r="351" spans="1:17" s="48" customFormat="1" ht="21.75" customHeight="1">
      <c r="A351" s="1"/>
      <c r="B351" s="1"/>
      <c r="C351" s="4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519"/>
    </row>
    <row r="352" ht="24.75" customHeight="1">
      <c r="C352" s="46"/>
    </row>
    <row r="353" ht="49.5" customHeight="1">
      <c r="C353" s="46"/>
    </row>
    <row r="354" ht="30.75" customHeight="1">
      <c r="C354" s="46"/>
    </row>
    <row r="355" ht="27.75" customHeight="1">
      <c r="C355" s="46"/>
    </row>
    <row r="356" ht="18">
      <c r="C356" s="46"/>
    </row>
    <row r="357" ht="18">
      <c r="C357" s="46"/>
    </row>
    <row r="358" ht="18">
      <c r="C358" s="46"/>
    </row>
    <row r="359" ht="18">
      <c r="C359" s="46"/>
    </row>
    <row r="360" ht="18">
      <c r="C360" s="46"/>
    </row>
    <row r="361" ht="18">
      <c r="C361" s="46"/>
    </row>
    <row r="362" ht="18">
      <c r="C362" s="46"/>
    </row>
    <row r="363" ht="18">
      <c r="C363" s="46"/>
    </row>
    <row r="364" ht="18">
      <c r="C364" s="46"/>
    </row>
    <row r="365" ht="18">
      <c r="C365" s="46"/>
    </row>
    <row r="366" ht="18">
      <c r="C366" s="46"/>
    </row>
    <row r="367" ht="18">
      <c r="C367" s="46"/>
    </row>
    <row r="368" ht="18">
      <c r="C368" s="46"/>
    </row>
    <row r="369" ht="18">
      <c r="C369" s="46"/>
    </row>
    <row r="370" ht="18">
      <c r="C370" s="46"/>
    </row>
    <row r="371" ht="18">
      <c r="C371" s="46"/>
    </row>
    <row r="372" ht="18">
      <c r="C372" s="46"/>
    </row>
    <row r="373" ht="18">
      <c r="C373" s="46"/>
    </row>
    <row r="374" ht="18">
      <c r="C374" s="46"/>
    </row>
    <row r="375" ht="18">
      <c r="C375" s="46"/>
    </row>
    <row r="376" ht="18">
      <c r="C376" s="46"/>
    </row>
    <row r="377" ht="18">
      <c r="C377" s="46"/>
    </row>
    <row r="378" ht="18">
      <c r="C378" s="46"/>
    </row>
    <row r="379" ht="18">
      <c r="C379" s="46"/>
    </row>
    <row r="380" ht="18">
      <c r="C380" s="46"/>
    </row>
    <row r="381" ht="18">
      <c r="C381" s="46"/>
    </row>
    <row r="382" ht="18">
      <c r="C382" s="46"/>
    </row>
    <row r="383" ht="18">
      <c r="C383" s="46"/>
    </row>
    <row r="384" ht="18">
      <c r="C384" s="46"/>
    </row>
    <row r="385" ht="18">
      <c r="C385" s="46"/>
    </row>
    <row r="386" ht="18">
      <c r="C386" s="46"/>
    </row>
    <row r="387" ht="18">
      <c r="C387" s="46"/>
    </row>
    <row r="388" ht="18">
      <c r="C388" s="46"/>
    </row>
    <row r="389" ht="18">
      <c r="C389" s="46"/>
    </row>
    <row r="390" ht="18">
      <c r="C390" s="46"/>
    </row>
    <row r="391" ht="18">
      <c r="C391" s="46"/>
    </row>
    <row r="392" ht="18">
      <c r="C392" s="46"/>
    </row>
    <row r="393" ht="18">
      <c r="C393" s="46"/>
    </row>
    <row r="394" ht="18">
      <c r="C394" s="46"/>
    </row>
    <row r="395" ht="18">
      <c r="C395" s="46"/>
    </row>
    <row r="396" ht="18">
      <c r="C396" s="46"/>
    </row>
    <row r="397" ht="18">
      <c r="C397" s="46"/>
    </row>
    <row r="398" ht="18">
      <c r="C398" s="46"/>
    </row>
    <row r="399" ht="18">
      <c r="C399" s="46"/>
    </row>
    <row r="400" ht="18">
      <c r="C400" s="46"/>
    </row>
    <row r="401" ht="18">
      <c r="C401" s="46"/>
    </row>
    <row r="402" ht="18">
      <c r="C402" s="46"/>
    </row>
    <row r="403" ht="18">
      <c r="C403" s="46"/>
    </row>
    <row r="404" ht="18">
      <c r="C404" s="46"/>
    </row>
    <row r="405" ht="18">
      <c r="C405" s="46"/>
    </row>
    <row r="406" ht="18">
      <c r="C406" s="46"/>
    </row>
    <row r="407" ht="18">
      <c r="C407" s="46"/>
    </row>
    <row r="408" ht="18">
      <c r="C408" s="46"/>
    </row>
    <row r="409" ht="18">
      <c r="C409" s="46"/>
    </row>
    <row r="410" ht="18">
      <c r="C410" s="46"/>
    </row>
    <row r="411" ht="18">
      <c r="C411" s="46"/>
    </row>
    <row r="412" ht="18">
      <c r="C412" s="46"/>
    </row>
    <row r="413" ht="18">
      <c r="C413" s="46"/>
    </row>
    <row r="414" ht="18">
      <c r="C414" s="46"/>
    </row>
    <row r="415" ht="18">
      <c r="C415" s="46"/>
    </row>
    <row r="416" ht="18">
      <c r="C416" s="46"/>
    </row>
    <row r="417" ht="18">
      <c r="C417" s="46"/>
    </row>
    <row r="418" ht="18">
      <c r="C418" s="46"/>
    </row>
    <row r="419" ht="18">
      <c r="C419" s="46"/>
    </row>
    <row r="420" ht="18">
      <c r="C420" s="46"/>
    </row>
    <row r="421" ht="18">
      <c r="C421" s="46"/>
    </row>
    <row r="422" ht="18">
      <c r="C422" s="46"/>
    </row>
    <row r="423" ht="18">
      <c r="C423" s="46"/>
    </row>
    <row r="424" ht="18">
      <c r="C424" s="46"/>
    </row>
    <row r="425" ht="18">
      <c r="C425" s="46"/>
    </row>
    <row r="426" ht="18">
      <c r="C426" s="46"/>
    </row>
    <row r="427" ht="18">
      <c r="C427" s="46"/>
    </row>
    <row r="428" ht="18">
      <c r="C428" s="46"/>
    </row>
    <row r="429" ht="18">
      <c r="C429" s="46"/>
    </row>
    <row r="430" ht="18">
      <c r="C430" s="46"/>
    </row>
    <row r="431" ht="18">
      <c r="C431" s="46"/>
    </row>
    <row r="432" ht="18">
      <c r="C432" s="46"/>
    </row>
    <row r="433" ht="18">
      <c r="C433" s="46"/>
    </row>
    <row r="434" ht="18">
      <c r="C434" s="46"/>
    </row>
    <row r="435" ht="18">
      <c r="C435" s="46"/>
    </row>
    <row r="436" ht="18">
      <c r="C436" s="46"/>
    </row>
    <row r="437" ht="18">
      <c r="C437" s="46"/>
    </row>
    <row r="438" ht="18">
      <c r="C438" s="46"/>
    </row>
    <row r="439" ht="18">
      <c r="C439" s="46"/>
    </row>
    <row r="440" ht="18">
      <c r="C440" s="46"/>
    </row>
    <row r="441" ht="18">
      <c r="C441" s="46"/>
    </row>
    <row r="442" ht="18">
      <c r="C442" s="46"/>
    </row>
    <row r="443" ht="18">
      <c r="C443" s="46"/>
    </row>
    <row r="444" ht="18">
      <c r="C444" s="46"/>
    </row>
    <row r="445" ht="18">
      <c r="C445" s="46"/>
    </row>
    <row r="446" ht="18">
      <c r="C446" s="46"/>
    </row>
    <row r="447" ht="18">
      <c r="C447" s="46"/>
    </row>
    <row r="448" ht="18">
      <c r="C448" s="46"/>
    </row>
    <row r="449" ht="18">
      <c r="C449" s="46"/>
    </row>
    <row r="450" ht="18">
      <c r="C450" s="46"/>
    </row>
    <row r="451" ht="18">
      <c r="C451" s="46"/>
    </row>
    <row r="452" ht="18">
      <c r="C452" s="46"/>
    </row>
    <row r="453" ht="18">
      <c r="C453" s="46"/>
    </row>
    <row r="454" ht="18">
      <c r="C454" s="46"/>
    </row>
    <row r="455" ht="18">
      <c r="C455" s="46"/>
    </row>
    <row r="456" ht="18">
      <c r="C456" s="46"/>
    </row>
    <row r="457" ht="18">
      <c r="C457" s="46"/>
    </row>
    <row r="458" ht="18">
      <c r="C458" s="46"/>
    </row>
    <row r="459" ht="18">
      <c r="C459" s="46"/>
    </row>
    <row r="460" ht="18">
      <c r="C460" s="46"/>
    </row>
    <row r="461" ht="18">
      <c r="C461" s="46"/>
    </row>
    <row r="462" ht="18">
      <c r="C462" s="46"/>
    </row>
    <row r="463" ht="18">
      <c r="C463" s="46"/>
    </row>
    <row r="464" ht="18">
      <c r="C464" s="46"/>
    </row>
    <row r="465" ht="18">
      <c r="C465" s="46"/>
    </row>
    <row r="466" ht="18">
      <c r="C466" s="46"/>
    </row>
    <row r="467" ht="18">
      <c r="C467" s="46"/>
    </row>
    <row r="468" ht="18">
      <c r="C468" s="46"/>
    </row>
    <row r="469" ht="18">
      <c r="C469" s="46"/>
    </row>
    <row r="470" ht="18">
      <c r="C470" s="46"/>
    </row>
    <row r="471" ht="18">
      <c r="C471" s="46"/>
    </row>
    <row r="472" ht="18">
      <c r="C472" s="46"/>
    </row>
    <row r="473" ht="18">
      <c r="C473" s="46"/>
    </row>
    <row r="474" ht="18">
      <c r="C474" s="46"/>
    </row>
    <row r="475" ht="18">
      <c r="C475" s="46"/>
    </row>
    <row r="476" ht="18">
      <c r="C476" s="46"/>
    </row>
    <row r="477" ht="18">
      <c r="C477" s="46"/>
    </row>
    <row r="478" ht="18">
      <c r="C478" s="46"/>
    </row>
    <row r="479" ht="18">
      <c r="C479" s="46"/>
    </row>
    <row r="480" ht="18">
      <c r="C480" s="46"/>
    </row>
    <row r="481" ht="18">
      <c r="C481" s="46"/>
    </row>
    <row r="482" ht="18">
      <c r="C482" s="46"/>
    </row>
    <row r="483" ht="18">
      <c r="C483" s="46"/>
    </row>
    <row r="484" ht="18">
      <c r="C484" s="46"/>
    </row>
    <row r="485" ht="18">
      <c r="C485" s="46"/>
    </row>
    <row r="486" ht="18">
      <c r="C486" s="46"/>
    </row>
    <row r="487" ht="18">
      <c r="C487" s="46"/>
    </row>
    <row r="488" ht="18">
      <c r="C488" s="46"/>
    </row>
    <row r="489" ht="18">
      <c r="C489" s="46"/>
    </row>
    <row r="490" ht="18">
      <c r="C490" s="46"/>
    </row>
    <row r="491" ht="18">
      <c r="C491" s="46"/>
    </row>
    <row r="492" ht="18">
      <c r="C492" s="46"/>
    </row>
    <row r="493" ht="18">
      <c r="C493" s="46"/>
    </row>
    <row r="494" ht="18">
      <c r="C494" s="46"/>
    </row>
    <row r="495" ht="18">
      <c r="C495" s="46"/>
    </row>
    <row r="496" ht="18">
      <c r="C496" s="46"/>
    </row>
    <row r="497" ht="18">
      <c r="C497" s="46"/>
    </row>
    <row r="498" ht="18">
      <c r="C498" s="46"/>
    </row>
    <row r="499" ht="18">
      <c r="C499" s="46"/>
    </row>
    <row r="500" ht="18">
      <c r="C500" s="46"/>
    </row>
    <row r="501" ht="18">
      <c r="C501" s="46"/>
    </row>
    <row r="502" ht="18">
      <c r="C502" s="46"/>
    </row>
    <row r="503" ht="18">
      <c r="C503" s="46"/>
    </row>
    <row r="504" ht="18">
      <c r="C504" s="46"/>
    </row>
    <row r="505" ht="18">
      <c r="C505" s="46"/>
    </row>
    <row r="506" ht="18">
      <c r="C506" s="46"/>
    </row>
    <row r="507" ht="18">
      <c r="C507" s="46"/>
    </row>
    <row r="508" ht="18">
      <c r="C508" s="46"/>
    </row>
    <row r="509" ht="18">
      <c r="C509" s="46"/>
    </row>
    <row r="510" ht="18">
      <c r="C510" s="46"/>
    </row>
    <row r="511" ht="18">
      <c r="C511" s="46"/>
    </row>
    <row r="512" ht="18">
      <c r="C512" s="46"/>
    </row>
    <row r="513" ht="18">
      <c r="C513" s="46"/>
    </row>
    <row r="514" ht="18">
      <c r="C514" s="46"/>
    </row>
    <row r="515" ht="18">
      <c r="C515" s="46"/>
    </row>
    <row r="516" ht="18">
      <c r="C516" s="46"/>
    </row>
    <row r="517" ht="18">
      <c r="C517" s="46"/>
    </row>
    <row r="518" ht="18">
      <c r="C518" s="46"/>
    </row>
    <row r="519" ht="18">
      <c r="C519" s="46"/>
    </row>
    <row r="520" ht="18">
      <c r="C520" s="46"/>
    </row>
    <row r="521" ht="18">
      <c r="C521" s="46"/>
    </row>
    <row r="522" ht="18">
      <c r="C522" s="46"/>
    </row>
    <row r="523" ht="18">
      <c r="C523" s="46"/>
    </row>
    <row r="524" ht="18">
      <c r="C524" s="46"/>
    </row>
    <row r="525" ht="18">
      <c r="C525" s="46"/>
    </row>
    <row r="526" ht="18">
      <c r="C526" s="46"/>
    </row>
    <row r="527" ht="18">
      <c r="C527" s="46"/>
    </row>
    <row r="528" ht="18">
      <c r="C528" s="46"/>
    </row>
    <row r="529" ht="18">
      <c r="C529" s="46"/>
    </row>
    <row r="530" ht="18">
      <c r="C530" s="46"/>
    </row>
    <row r="531" ht="18">
      <c r="C531" s="46"/>
    </row>
    <row r="532" ht="18">
      <c r="C532" s="46"/>
    </row>
    <row r="533" ht="18">
      <c r="C533" s="46"/>
    </row>
    <row r="534" ht="18">
      <c r="C534" s="46"/>
    </row>
    <row r="535" ht="18">
      <c r="C535" s="46"/>
    </row>
    <row r="536" ht="18">
      <c r="C536" s="46"/>
    </row>
    <row r="537" ht="18">
      <c r="C537" s="46"/>
    </row>
    <row r="538" ht="18">
      <c r="C538" s="46"/>
    </row>
  </sheetData>
  <printOptions horizontalCentered="1"/>
  <pageMargins left="0.3937007874015748" right="0.3937007874015748" top="0.8661417322834646" bottom="0.4724409448818898" header="0.3937007874015748" footer="0.35433070866141736"/>
  <pageSetup firstPageNumber="89" useFirstPageNumber="1" horizontalDpi="600" verticalDpi="600" orientation="landscape" paperSize="9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9">
      <pane ySplit="2400" topLeftCell="BM124" activePane="bottomLeft" state="split"/>
      <selection pane="topLeft" activeCell="C14" sqref="C14"/>
      <selection pane="bottomLeft" activeCell="G130" sqref="G130:H130"/>
    </sheetView>
  </sheetViews>
  <sheetFormatPr defaultColWidth="9.00390625" defaultRowHeight="12.75"/>
  <cols>
    <col min="1" max="1" width="5.25390625" style="792" customWidth="1"/>
    <col min="2" max="2" width="8.125" style="792" customWidth="1"/>
    <col min="3" max="3" width="58.875" style="792" customWidth="1"/>
    <col min="4" max="4" width="17.375" style="792" customWidth="1"/>
    <col min="5" max="5" width="12.75390625" style="792" customWidth="1"/>
    <col min="6" max="6" width="13.75390625" style="792" customWidth="1"/>
    <col min="7" max="7" width="16.75390625" style="792" customWidth="1"/>
    <col min="8" max="9" width="12.75390625" style="792" customWidth="1"/>
    <col min="10" max="10" width="10.375" style="792" customWidth="1"/>
    <col min="11" max="12" width="12.75390625" style="792" customWidth="1"/>
    <col min="13" max="16384" width="9.125" style="792" customWidth="1"/>
  </cols>
  <sheetData>
    <row r="1" spans="3:8" s="22" customFormat="1" ht="18" customHeight="1">
      <c r="C1" s="126"/>
      <c r="E1" s="875"/>
      <c r="F1" s="875"/>
      <c r="G1" s="875" t="s">
        <v>770</v>
      </c>
      <c r="H1" s="875"/>
    </row>
    <row r="2" spans="1:8" s="22" customFormat="1" ht="18" customHeight="1">
      <c r="A2" s="876" t="s">
        <v>681</v>
      </c>
      <c r="B2" s="875"/>
      <c r="C2" s="875"/>
      <c r="E2" s="127"/>
      <c r="F2" s="127"/>
      <c r="G2" s="127" t="s">
        <v>14</v>
      </c>
      <c r="H2" s="127"/>
    </row>
    <row r="3" spans="1:8" s="22" customFormat="1" ht="18" customHeight="1">
      <c r="A3" s="876" t="s">
        <v>682</v>
      </c>
      <c r="B3" s="875"/>
      <c r="C3" s="875"/>
      <c r="E3" s="127"/>
      <c r="F3" s="127"/>
      <c r="G3" s="127" t="s">
        <v>605</v>
      </c>
      <c r="H3" s="127"/>
    </row>
    <row r="4" spans="1:8" s="22" customFormat="1" ht="18" customHeight="1">
      <c r="A4" s="876" t="s">
        <v>683</v>
      </c>
      <c r="B4" s="875"/>
      <c r="C4" s="875"/>
      <c r="E4" s="127"/>
      <c r="F4" s="127"/>
      <c r="G4" s="127" t="s">
        <v>15</v>
      </c>
      <c r="H4" s="127"/>
    </row>
    <row r="5" spans="1:8" s="22" customFormat="1" ht="18" customHeight="1">
      <c r="A5" s="876"/>
      <c r="B5" s="875"/>
      <c r="C5" s="875"/>
      <c r="E5" s="127"/>
      <c r="F5" s="127"/>
      <c r="G5" s="127"/>
      <c r="H5" s="127"/>
    </row>
    <row r="6" spans="4:9" s="22" customFormat="1" ht="22.5" customHeight="1" thickBot="1">
      <c r="D6" s="128"/>
      <c r="E6" s="128"/>
      <c r="F6" s="128"/>
      <c r="H6" s="128"/>
      <c r="I6" s="128" t="s">
        <v>606</v>
      </c>
    </row>
    <row r="7" spans="1:9" s="22" customFormat="1" ht="33" customHeight="1" thickTop="1">
      <c r="A7" s="877"/>
      <c r="B7" s="877"/>
      <c r="C7" s="878" t="s">
        <v>656</v>
      </c>
      <c r="D7" s="1688" t="s">
        <v>699</v>
      </c>
      <c r="E7" s="1684" t="s">
        <v>684</v>
      </c>
      <c r="F7" s="1684" t="s">
        <v>306</v>
      </c>
      <c r="G7" s="1688" t="s">
        <v>700</v>
      </c>
      <c r="H7" s="1684" t="s">
        <v>684</v>
      </c>
      <c r="I7" s="1684" t="s">
        <v>685</v>
      </c>
    </row>
    <row r="8" spans="1:9" s="22" customFormat="1" ht="74.25" customHeight="1" thickBot="1">
      <c r="A8" s="879" t="s">
        <v>610</v>
      </c>
      <c r="B8" s="880" t="s">
        <v>686</v>
      </c>
      <c r="C8" s="881" t="s">
        <v>687</v>
      </c>
      <c r="D8" s="1689"/>
      <c r="E8" s="1690"/>
      <c r="F8" s="1687"/>
      <c r="G8" s="1689"/>
      <c r="H8" s="1685"/>
      <c r="I8" s="1686"/>
    </row>
    <row r="9" spans="1:9" s="22" customFormat="1" ht="14.25" customHeight="1" thickBot="1" thickTop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10" s="22" customFormat="1" ht="17.25" customHeight="1" thickBot="1" thickTop="1">
      <c r="A10" s="882"/>
      <c r="B10" s="882"/>
      <c r="C10" s="883" t="s">
        <v>688</v>
      </c>
      <c r="D10" s="884">
        <v>107120707</v>
      </c>
      <c r="E10" s="884">
        <f>E12+E50</f>
        <v>-2978415</v>
      </c>
      <c r="F10" s="884">
        <f>D10+E10</f>
        <v>104142292</v>
      </c>
      <c r="G10" s="884">
        <v>100084707</v>
      </c>
      <c r="H10" s="884">
        <f>H12+H50</f>
        <v>-2978415</v>
      </c>
      <c r="I10" s="884">
        <f>G10+H10</f>
        <v>97106292</v>
      </c>
      <c r="J10" s="99"/>
    </row>
    <row r="11" spans="1:10" s="22" customFormat="1" ht="11.25" customHeight="1">
      <c r="A11" s="52"/>
      <c r="B11" s="52"/>
      <c r="C11" s="1040" t="s">
        <v>626</v>
      </c>
      <c r="D11" s="1041"/>
      <c r="E11" s="1041"/>
      <c r="F11" s="1041"/>
      <c r="G11" s="1041"/>
      <c r="H11" s="1041"/>
      <c r="I11" s="1041"/>
      <c r="J11" s="99"/>
    </row>
    <row r="12" spans="1:10" s="22" customFormat="1" ht="19.5" customHeight="1" thickBot="1">
      <c r="A12" s="1042"/>
      <c r="B12" s="1042"/>
      <c r="C12" s="1043" t="s">
        <v>689</v>
      </c>
      <c r="D12" s="1044">
        <v>79009936</v>
      </c>
      <c r="E12" s="1044">
        <f>E13+E28+E20</f>
        <v>-3151862</v>
      </c>
      <c r="F12" s="1044">
        <f aca="true" t="shared" si="0" ref="F12:F85">D12+E12</f>
        <v>75858074</v>
      </c>
      <c r="G12" s="1044">
        <v>77529936</v>
      </c>
      <c r="H12" s="1044">
        <f>H13+H28+H20</f>
        <v>-3154862</v>
      </c>
      <c r="I12" s="1044">
        <f aca="true" t="shared" si="1" ref="I12:I87">G12+H12</f>
        <v>74375074</v>
      </c>
      <c r="J12" s="99"/>
    </row>
    <row r="13" spans="1:10" s="22" customFormat="1" ht="19.5" customHeight="1" thickTop="1">
      <c r="A13" s="1022" t="s">
        <v>862</v>
      </c>
      <c r="B13" s="57"/>
      <c r="C13" s="520" t="s">
        <v>863</v>
      </c>
      <c r="D13" s="59"/>
      <c r="E13" s="59">
        <f>E14</f>
        <v>4573</v>
      </c>
      <c r="F13" s="59">
        <f t="shared" si="0"/>
        <v>4573</v>
      </c>
      <c r="G13" s="59"/>
      <c r="H13" s="59">
        <f>H14</f>
        <v>4573</v>
      </c>
      <c r="I13" s="59">
        <f t="shared" si="1"/>
        <v>4573</v>
      </c>
      <c r="J13" s="99"/>
    </row>
    <row r="14" spans="1:10" s="22" customFormat="1" ht="19.5" customHeight="1">
      <c r="A14" s="130"/>
      <c r="B14" s="1063" t="s">
        <v>896</v>
      </c>
      <c r="C14" s="236" t="s">
        <v>646</v>
      </c>
      <c r="D14" s="1045"/>
      <c r="E14" s="1045">
        <f>E15</f>
        <v>4573</v>
      </c>
      <c r="F14" s="1045">
        <f t="shared" si="0"/>
        <v>4573</v>
      </c>
      <c r="G14" s="1045"/>
      <c r="H14" s="1045">
        <f>H17</f>
        <v>4573</v>
      </c>
      <c r="I14" s="1045">
        <f t="shared" si="1"/>
        <v>4573</v>
      </c>
      <c r="J14" s="99"/>
    </row>
    <row r="15" spans="1:10" s="22" customFormat="1" ht="28.5" customHeight="1">
      <c r="A15" s="66"/>
      <c r="B15" s="152"/>
      <c r="C15" s="1480" t="s">
        <v>414</v>
      </c>
      <c r="D15" s="1046"/>
      <c r="E15" s="1046">
        <f>E16</f>
        <v>4573</v>
      </c>
      <c r="F15" s="1046">
        <f t="shared" si="0"/>
        <v>4573</v>
      </c>
      <c r="G15" s="1046"/>
      <c r="H15" s="1046"/>
      <c r="I15" s="1046"/>
      <c r="J15" s="99"/>
    </row>
    <row r="16" spans="1:12" s="45" customFormat="1" ht="42.75" customHeight="1">
      <c r="A16" s="66"/>
      <c r="B16" s="184">
        <v>2010</v>
      </c>
      <c r="C16" s="658" t="s">
        <v>492</v>
      </c>
      <c r="D16" s="1047"/>
      <c r="E16" s="1047">
        <v>4573</v>
      </c>
      <c r="F16" s="1047">
        <f t="shared" si="0"/>
        <v>4573</v>
      </c>
      <c r="G16" s="1047"/>
      <c r="H16" s="1047"/>
      <c r="I16" s="1047"/>
      <c r="J16" s="99"/>
      <c r="K16" s="22"/>
      <c r="L16" s="22"/>
    </row>
    <row r="17" spans="1:10" s="22" customFormat="1" ht="24.75" customHeight="1">
      <c r="A17" s="52"/>
      <c r="B17" s="333"/>
      <c r="C17" s="860" t="s">
        <v>450</v>
      </c>
      <c r="D17" s="1048"/>
      <c r="E17" s="1048"/>
      <c r="F17" s="1048"/>
      <c r="G17" s="1048"/>
      <c r="H17" s="112">
        <f>SUM(H18:H19)</f>
        <v>4573</v>
      </c>
      <c r="I17" s="1048">
        <f t="shared" si="1"/>
        <v>4573</v>
      </c>
      <c r="J17" s="99"/>
    </row>
    <row r="18" spans="1:12" s="45" customFormat="1" ht="21.75" customHeight="1">
      <c r="A18" s="66"/>
      <c r="B18" s="108">
        <v>4210</v>
      </c>
      <c r="C18" s="68" t="s">
        <v>663</v>
      </c>
      <c r="D18" s="1047"/>
      <c r="E18" s="1047"/>
      <c r="F18" s="1047"/>
      <c r="G18" s="1047"/>
      <c r="H18" s="116">
        <v>90</v>
      </c>
      <c r="I18" s="1047">
        <f t="shared" si="1"/>
        <v>90</v>
      </c>
      <c r="J18" s="99"/>
      <c r="K18" s="22"/>
      <c r="L18" s="22"/>
    </row>
    <row r="19" spans="1:12" s="45" customFormat="1" ht="21.75" customHeight="1">
      <c r="A19" s="66"/>
      <c r="B19" s="108">
        <v>4430</v>
      </c>
      <c r="C19" s="68" t="s">
        <v>733</v>
      </c>
      <c r="D19" s="1049"/>
      <c r="E19" s="1049"/>
      <c r="F19" s="1049"/>
      <c r="G19" s="1049"/>
      <c r="H19" s="116">
        <v>4483</v>
      </c>
      <c r="I19" s="1047">
        <f t="shared" si="1"/>
        <v>4483</v>
      </c>
      <c r="J19" s="99"/>
      <c r="K19" s="22"/>
      <c r="L19" s="22"/>
    </row>
    <row r="20" spans="1:10" s="22" customFormat="1" ht="21.75" customHeight="1">
      <c r="A20" s="1022">
        <v>851</v>
      </c>
      <c r="B20" s="57"/>
      <c r="C20" s="77" t="s">
        <v>650</v>
      </c>
      <c r="D20" s="59">
        <v>3682</v>
      </c>
      <c r="E20" s="59">
        <f>E21</f>
        <v>3297</v>
      </c>
      <c r="F20" s="59">
        <f t="shared" si="0"/>
        <v>6979</v>
      </c>
      <c r="G20" s="59">
        <v>3682</v>
      </c>
      <c r="H20" s="59">
        <f>H21</f>
        <v>3297</v>
      </c>
      <c r="I20" s="59">
        <f t="shared" si="1"/>
        <v>6979</v>
      </c>
      <c r="J20" s="99"/>
    </row>
    <row r="21" spans="1:10" s="22" customFormat="1" ht="21.75" customHeight="1">
      <c r="A21" s="130"/>
      <c r="B21" s="1063">
        <v>85195</v>
      </c>
      <c r="C21" s="336" t="s">
        <v>646</v>
      </c>
      <c r="D21" s="1045">
        <v>3682</v>
      </c>
      <c r="E21" s="1045">
        <f>E22</f>
        <v>3297</v>
      </c>
      <c r="F21" s="1045">
        <f t="shared" si="0"/>
        <v>6979</v>
      </c>
      <c r="G21" s="1045">
        <v>3682</v>
      </c>
      <c r="H21" s="1045">
        <f>H24</f>
        <v>3297</v>
      </c>
      <c r="I21" s="1045">
        <f t="shared" si="1"/>
        <v>6979</v>
      </c>
      <c r="J21" s="99"/>
    </row>
    <row r="22" spans="1:10" s="22" customFormat="1" ht="25.5" customHeight="1">
      <c r="A22" s="66"/>
      <c r="B22" s="152"/>
      <c r="C22" s="653" t="s">
        <v>70</v>
      </c>
      <c r="D22" s="1046">
        <v>3682</v>
      </c>
      <c r="E22" s="1046">
        <f>E23</f>
        <v>3297</v>
      </c>
      <c r="F22" s="1046">
        <f t="shared" si="0"/>
        <v>6979</v>
      </c>
      <c r="G22" s="1046"/>
      <c r="H22" s="1046"/>
      <c r="I22" s="1046"/>
      <c r="J22" s="99"/>
    </row>
    <row r="23" spans="1:12" s="45" customFormat="1" ht="40.5" customHeight="1">
      <c r="A23" s="66"/>
      <c r="B23" s="1024">
        <v>2010</v>
      </c>
      <c r="C23" s="1025" t="s">
        <v>492</v>
      </c>
      <c r="D23" s="1047">
        <v>3682</v>
      </c>
      <c r="E23" s="1047">
        <v>3297</v>
      </c>
      <c r="F23" s="1047">
        <f t="shared" si="0"/>
        <v>6979</v>
      </c>
      <c r="G23" s="1047"/>
      <c r="H23" s="1047"/>
      <c r="I23" s="1047"/>
      <c r="J23" s="99"/>
      <c r="K23" s="22"/>
      <c r="L23" s="22"/>
    </row>
    <row r="24" spans="1:10" s="22" customFormat="1" ht="21.75" customHeight="1">
      <c r="A24" s="52"/>
      <c r="B24" s="147"/>
      <c r="C24" s="860" t="s">
        <v>72</v>
      </c>
      <c r="D24" s="1048"/>
      <c r="E24" s="1048"/>
      <c r="F24" s="1048"/>
      <c r="G24" s="1048">
        <v>3682</v>
      </c>
      <c r="H24" s="593">
        <f>SUM(H25:H27)</f>
        <v>3297</v>
      </c>
      <c r="I24" s="1048">
        <f t="shared" si="1"/>
        <v>6979</v>
      </c>
      <c r="J24" s="99"/>
    </row>
    <row r="25" spans="1:12" s="45" customFormat="1" ht="21.75" customHeight="1">
      <c r="A25" s="67"/>
      <c r="B25" s="231">
        <v>4010</v>
      </c>
      <c r="C25" s="232" t="s">
        <v>603</v>
      </c>
      <c r="D25" s="1047"/>
      <c r="E25" s="1047"/>
      <c r="F25" s="1047"/>
      <c r="G25" s="1047">
        <v>3070</v>
      </c>
      <c r="H25" s="116">
        <v>2749</v>
      </c>
      <c r="I25" s="1047">
        <f t="shared" si="1"/>
        <v>5819</v>
      </c>
      <c r="J25" s="99"/>
      <c r="K25" s="22"/>
      <c r="L25" s="22"/>
    </row>
    <row r="26" spans="1:12" s="45" customFormat="1" ht="21.75" customHeight="1">
      <c r="A26" s="66"/>
      <c r="B26" s="231">
        <v>4110</v>
      </c>
      <c r="C26" s="232" t="s">
        <v>729</v>
      </c>
      <c r="D26" s="1049"/>
      <c r="E26" s="1049"/>
      <c r="F26" s="1049"/>
      <c r="G26" s="1049">
        <v>538</v>
      </c>
      <c r="H26" s="310">
        <v>481</v>
      </c>
      <c r="I26" s="1049">
        <f t="shared" si="1"/>
        <v>1019</v>
      </c>
      <c r="J26" s="99"/>
      <c r="K26" s="22"/>
      <c r="L26" s="22"/>
    </row>
    <row r="27" spans="1:12" s="45" customFormat="1" ht="21.75" customHeight="1">
      <c r="A27" s="66"/>
      <c r="B27" s="231">
        <v>4120</v>
      </c>
      <c r="C27" s="232" t="s">
        <v>730</v>
      </c>
      <c r="D27" s="1049"/>
      <c r="E27" s="1049"/>
      <c r="F27" s="1049"/>
      <c r="G27" s="1049">
        <v>74</v>
      </c>
      <c r="H27" s="116">
        <v>67</v>
      </c>
      <c r="I27" s="1049">
        <f t="shared" si="1"/>
        <v>141</v>
      </c>
      <c r="J27" s="99"/>
      <c r="K27" s="22"/>
      <c r="L27" s="22"/>
    </row>
    <row r="28" spans="1:10" s="22" customFormat="1" ht="21.75" customHeight="1">
      <c r="A28" s="1022">
        <v>852</v>
      </c>
      <c r="B28" s="57"/>
      <c r="C28" s="520" t="s">
        <v>648</v>
      </c>
      <c r="D28" s="59">
        <v>75109600</v>
      </c>
      <c r="E28" s="59">
        <f>E40+E29+E45+E32</f>
        <v>-3159732</v>
      </c>
      <c r="F28" s="59">
        <f t="shared" si="0"/>
        <v>71949868</v>
      </c>
      <c r="G28" s="59">
        <v>75015600</v>
      </c>
      <c r="H28" s="59">
        <f>H40+H29+H45+H32</f>
        <v>-3162732</v>
      </c>
      <c r="I28" s="59">
        <f t="shared" si="1"/>
        <v>71852868</v>
      </c>
      <c r="J28" s="99"/>
    </row>
    <row r="29" spans="1:10" s="22" customFormat="1" ht="21.75" customHeight="1">
      <c r="A29" s="130"/>
      <c r="B29" s="1023">
        <v>85203</v>
      </c>
      <c r="C29" s="336" t="s">
        <v>73</v>
      </c>
      <c r="D29" s="1045">
        <v>823000</v>
      </c>
      <c r="E29" s="1045">
        <f>E30</f>
        <v>3000</v>
      </c>
      <c r="F29" s="1045">
        <f t="shared" si="0"/>
        <v>826000</v>
      </c>
      <c r="G29" s="1045">
        <v>809000</v>
      </c>
      <c r="H29" s="1045"/>
      <c r="I29" s="1045">
        <f t="shared" si="1"/>
        <v>809000</v>
      </c>
      <c r="J29" s="99"/>
    </row>
    <row r="30" spans="1:10" s="22" customFormat="1" ht="25.5" customHeight="1">
      <c r="A30" s="66"/>
      <c r="B30" s="61"/>
      <c r="C30" s="653" t="s">
        <v>63</v>
      </c>
      <c r="D30" s="653"/>
      <c r="E30" s="1046">
        <f>E31</f>
        <v>3000</v>
      </c>
      <c r="F30" s="1046">
        <f t="shared" si="0"/>
        <v>3000</v>
      </c>
      <c r="G30" s="1046"/>
      <c r="H30" s="1046"/>
      <c r="I30" s="1046"/>
      <c r="J30" s="99"/>
    </row>
    <row r="31" spans="1:12" s="45" customFormat="1" ht="40.5" customHeight="1">
      <c r="A31" s="66"/>
      <c r="B31" s="184">
        <v>2010</v>
      </c>
      <c r="C31" s="1025" t="s">
        <v>492</v>
      </c>
      <c r="D31" s="1025"/>
      <c r="E31" s="1047">
        <v>3000</v>
      </c>
      <c r="F31" s="1047">
        <f t="shared" si="0"/>
        <v>3000</v>
      </c>
      <c r="G31" s="1047"/>
      <c r="H31" s="1047"/>
      <c r="I31" s="1047"/>
      <c r="J31" s="99"/>
      <c r="K31" s="22"/>
      <c r="L31" s="22"/>
    </row>
    <row r="32" spans="1:10" s="22" customFormat="1" ht="37.5" customHeight="1">
      <c r="A32" s="130"/>
      <c r="B32" s="1023">
        <v>85212</v>
      </c>
      <c r="C32" s="336" t="s">
        <v>415</v>
      </c>
      <c r="D32" s="1045">
        <v>63922000</v>
      </c>
      <c r="E32" s="1045">
        <f>E33</f>
        <v>-2643500</v>
      </c>
      <c r="F32" s="1045">
        <f t="shared" si="0"/>
        <v>61278500</v>
      </c>
      <c r="G32" s="1045">
        <v>63922000</v>
      </c>
      <c r="H32" s="1045">
        <f>H35+H38</f>
        <v>-2643500</v>
      </c>
      <c r="I32" s="1045">
        <f t="shared" si="1"/>
        <v>61278500</v>
      </c>
      <c r="J32" s="99"/>
    </row>
    <row r="33" spans="1:10" s="22" customFormat="1" ht="25.5" customHeight="1">
      <c r="A33" s="66"/>
      <c r="B33" s="61"/>
      <c r="C33" s="653" t="s">
        <v>416</v>
      </c>
      <c r="D33" s="1046">
        <v>63922000</v>
      </c>
      <c r="E33" s="1046">
        <f>E34</f>
        <v>-2643500</v>
      </c>
      <c r="F33" s="1046">
        <f t="shared" si="0"/>
        <v>61278500</v>
      </c>
      <c r="G33" s="1046"/>
      <c r="H33" s="1046"/>
      <c r="I33" s="1046"/>
      <c r="J33" s="99"/>
    </row>
    <row r="34" spans="1:12" s="45" customFormat="1" ht="40.5" customHeight="1">
      <c r="A34" s="66"/>
      <c r="B34" s="184">
        <v>2010</v>
      </c>
      <c r="C34" s="1025" t="s">
        <v>492</v>
      </c>
      <c r="D34" s="1047">
        <v>63922000</v>
      </c>
      <c r="E34" s="1047">
        <v>-2643500</v>
      </c>
      <c r="F34" s="1047">
        <f t="shared" si="0"/>
        <v>61278500</v>
      </c>
      <c r="G34" s="1047"/>
      <c r="H34" s="1047"/>
      <c r="I34" s="1047"/>
      <c r="J34" s="99"/>
      <c r="K34" s="22"/>
      <c r="L34" s="22"/>
    </row>
    <row r="35" spans="1:10" s="22" customFormat="1" ht="21.75" customHeight="1">
      <c r="A35" s="52"/>
      <c r="B35" s="147"/>
      <c r="C35" s="860" t="s">
        <v>667</v>
      </c>
      <c r="D35" s="1048"/>
      <c r="E35" s="1048"/>
      <c r="F35" s="1048"/>
      <c r="G35" s="1048">
        <v>462400</v>
      </c>
      <c r="H35" s="112">
        <f>SUM(H36:H37)</f>
        <v>-93185</v>
      </c>
      <c r="I35" s="1048">
        <f t="shared" si="1"/>
        <v>369215</v>
      </c>
      <c r="J35" s="99"/>
    </row>
    <row r="36" spans="1:12" s="45" customFormat="1" ht="21.75" customHeight="1">
      <c r="A36" s="66"/>
      <c r="B36" s="231">
        <v>4210</v>
      </c>
      <c r="C36" s="232" t="s">
        <v>663</v>
      </c>
      <c r="D36" s="1047"/>
      <c r="E36" s="1047"/>
      <c r="F36" s="1047"/>
      <c r="G36" s="1047">
        <v>107000</v>
      </c>
      <c r="H36" s="677">
        <v>-49185</v>
      </c>
      <c r="I36" s="1047">
        <f t="shared" si="1"/>
        <v>57815</v>
      </c>
      <c r="J36" s="99"/>
      <c r="K36" s="22"/>
      <c r="L36" s="22"/>
    </row>
    <row r="37" spans="1:12" s="45" customFormat="1" ht="21.75" customHeight="1">
      <c r="A37" s="66"/>
      <c r="B37" s="231">
        <v>4300</v>
      </c>
      <c r="C37" s="232" t="s">
        <v>664</v>
      </c>
      <c r="D37" s="1047"/>
      <c r="E37" s="1047"/>
      <c r="F37" s="1047"/>
      <c r="G37" s="1047">
        <v>266000</v>
      </c>
      <c r="H37" s="677">
        <v>-44000</v>
      </c>
      <c r="I37" s="1047">
        <f t="shared" si="1"/>
        <v>222000</v>
      </c>
      <c r="J37" s="99"/>
      <c r="K37" s="22"/>
      <c r="L37" s="22"/>
    </row>
    <row r="38" spans="1:10" s="22" customFormat="1" ht="21.75" customHeight="1">
      <c r="A38" s="52"/>
      <c r="B38" s="147"/>
      <c r="C38" s="860" t="s">
        <v>453</v>
      </c>
      <c r="D38" s="1048"/>
      <c r="E38" s="1048"/>
      <c r="F38" s="1048"/>
      <c r="G38" s="1048">
        <v>62044000</v>
      </c>
      <c r="H38" s="112">
        <f>H39</f>
        <v>-2550315</v>
      </c>
      <c r="I38" s="1048">
        <f t="shared" si="1"/>
        <v>59493685</v>
      </c>
      <c r="J38" s="99"/>
    </row>
    <row r="39" spans="1:12" s="45" customFormat="1" ht="21.75" customHeight="1">
      <c r="A39" s="66"/>
      <c r="B39" s="231">
        <v>3110</v>
      </c>
      <c r="C39" s="232" t="s">
        <v>320</v>
      </c>
      <c r="D39" s="1047"/>
      <c r="E39" s="1047"/>
      <c r="F39" s="1047"/>
      <c r="G39" s="1047">
        <v>61408000</v>
      </c>
      <c r="H39" s="677">
        <v>-2550315</v>
      </c>
      <c r="I39" s="1047">
        <f t="shared" si="1"/>
        <v>58857685</v>
      </c>
      <c r="J39" s="99"/>
      <c r="K39" s="22"/>
      <c r="L39" s="22"/>
    </row>
    <row r="40" spans="1:10" s="22" customFormat="1" ht="27" customHeight="1">
      <c r="A40" s="130"/>
      <c r="B40" s="1063">
        <v>85214</v>
      </c>
      <c r="C40" s="236" t="s">
        <v>66</v>
      </c>
      <c r="D40" s="1045">
        <v>8122000</v>
      </c>
      <c r="E40" s="1045">
        <f>E41</f>
        <v>-700000</v>
      </c>
      <c r="F40" s="1045">
        <f t="shared" si="0"/>
        <v>7422000</v>
      </c>
      <c r="G40" s="1045">
        <v>8122000</v>
      </c>
      <c r="H40" s="1045">
        <f>H43</f>
        <v>-700000</v>
      </c>
      <c r="I40" s="1045">
        <f t="shared" si="1"/>
        <v>7422000</v>
      </c>
      <c r="J40" s="99"/>
    </row>
    <row r="41" spans="1:10" s="22" customFormat="1" ht="25.5" customHeight="1">
      <c r="A41" s="66"/>
      <c r="B41" s="152"/>
      <c r="C41" s="337" t="s">
        <v>67</v>
      </c>
      <c r="D41" s="1046">
        <v>8122000</v>
      </c>
      <c r="E41" s="1046">
        <f>E42</f>
        <v>-700000</v>
      </c>
      <c r="F41" s="1046">
        <f t="shared" si="0"/>
        <v>7422000</v>
      </c>
      <c r="G41" s="1046"/>
      <c r="H41" s="1046"/>
      <c r="I41" s="1046"/>
      <c r="J41" s="99"/>
    </row>
    <row r="42" spans="1:12" s="45" customFormat="1" ht="38.25" customHeight="1">
      <c r="A42" s="66"/>
      <c r="B42" s="184">
        <v>2010</v>
      </c>
      <c r="C42" s="1025" t="s">
        <v>492</v>
      </c>
      <c r="D42" s="1047">
        <v>8122000</v>
      </c>
      <c r="E42" s="1047">
        <v>-700000</v>
      </c>
      <c r="F42" s="1047">
        <f t="shared" si="0"/>
        <v>7422000</v>
      </c>
      <c r="G42" s="1047"/>
      <c r="H42" s="1047"/>
      <c r="I42" s="1047"/>
      <c r="J42" s="99"/>
      <c r="K42" s="22"/>
      <c r="L42" s="22"/>
    </row>
    <row r="43" spans="1:10" s="22" customFormat="1" ht="21.75" customHeight="1">
      <c r="A43" s="52"/>
      <c r="B43" s="147"/>
      <c r="C43" s="860" t="s">
        <v>69</v>
      </c>
      <c r="D43" s="1048"/>
      <c r="E43" s="1048"/>
      <c r="F43" s="1048"/>
      <c r="G43" s="1048">
        <v>8122000</v>
      </c>
      <c r="H43" s="112">
        <f>H44</f>
        <v>-700000</v>
      </c>
      <c r="I43" s="1048">
        <f t="shared" si="1"/>
        <v>7422000</v>
      </c>
      <c r="J43" s="99"/>
    </row>
    <row r="44" spans="1:12" s="45" customFormat="1" ht="21.75" customHeight="1">
      <c r="A44" s="66"/>
      <c r="B44" s="231">
        <v>3110</v>
      </c>
      <c r="C44" s="232" t="s">
        <v>320</v>
      </c>
      <c r="D44" s="1047"/>
      <c r="E44" s="1047"/>
      <c r="F44" s="1047"/>
      <c r="G44" s="1047">
        <v>8118240</v>
      </c>
      <c r="H44" s="677">
        <v>-700000</v>
      </c>
      <c r="I44" s="1047">
        <f t="shared" si="1"/>
        <v>7418240</v>
      </c>
      <c r="J44" s="99"/>
      <c r="K44" s="22"/>
      <c r="L44" s="22"/>
    </row>
    <row r="45" spans="1:10" s="22" customFormat="1" ht="21.75" customHeight="1">
      <c r="A45" s="130"/>
      <c r="B45" s="1063">
        <v>85278</v>
      </c>
      <c r="C45" s="336" t="s">
        <v>74</v>
      </c>
      <c r="D45" s="1045">
        <v>69500</v>
      </c>
      <c r="E45" s="1045">
        <f>E46</f>
        <v>180768</v>
      </c>
      <c r="F45" s="1045">
        <f t="shared" si="0"/>
        <v>250268</v>
      </c>
      <c r="G45" s="1045">
        <v>69500</v>
      </c>
      <c r="H45" s="1045">
        <f>H48</f>
        <v>180768</v>
      </c>
      <c r="I45" s="1045">
        <f t="shared" si="1"/>
        <v>250268</v>
      </c>
      <c r="J45" s="99"/>
    </row>
    <row r="46" spans="1:10" s="22" customFormat="1" ht="25.5" customHeight="1">
      <c r="A46" s="66"/>
      <c r="B46" s="152"/>
      <c r="C46" s="653" t="s">
        <v>417</v>
      </c>
      <c r="D46" s="1046">
        <v>69500</v>
      </c>
      <c r="E46" s="1046">
        <f>E47</f>
        <v>180768</v>
      </c>
      <c r="F46" s="1046">
        <f t="shared" si="0"/>
        <v>250268</v>
      </c>
      <c r="G46" s="1046"/>
      <c r="H46" s="1046"/>
      <c r="I46" s="1046"/>
      <c r="J46" s="99"/>
    </row>
    <row r="47" spans="1:12" s="45" customFormat="1" ht="38.25" customHeight="1">
      <c r="A47" s="67"/>
      <c r="B47" s="184">
        <v>2010</v>
      </c>
      <c r="C47" s="1025" t="s">
        <v>492</v>
      </c>
      <c r="D47" s="1047">
        <v>69500</v>
      </c>
      <c r="E47" s="1047">
        <v>180768</v>
      </c>
      <c r="F47" s="1047">
        <f t="shared" si="0"/>
        <v>250268</v>
      </c>
      <c r="G47" s="1047"/>
      <c r="H47" s="1047"/>
      <c r="I47" s="1047"/>
      <c r="J47" s="99"/>
      <c r="K47" s="22"/>
      <c r="L47" s="22"/>
    </row>
    <row r="48" spans="1:10" s="22" customFormat="1" ht="19.5" customHeight="1">
      <c r="A48" s="52"/>
      <c r="B48" s="151"/>
      <c r="C48" s="80" t="s">
        <v>452</v>
      </c>
      <c r="D48" s="1534"/>
      <c r="E48" s="1534"/>
      <c r="F48" s="1534"/>
      <c r="G48" s="1534">
        <v>69500</v>
      </c>
      <c r="H48" s="111">
        <f>H49</f>
        <v>180768</v>
      </c>
      <c r="I48" s="1534">
        <f t="shared" si="1"/>
        <v>250268</v>
      </c>
      <c r="J48" s="99"/>
    </row>
    <row r="49" spans="1:12" s="45" customFormat="1" ht="19.5" customHeight="1">
      <c r="A49" s="66"/>
      <c r="B49" s="231">
        <v>3110</v>
      </c>
      <c r="C49" s="232" t="s">
        <v>320</v>
      </c>
      <c r="D49" s="1047"/>
      <c r="E49" s="1047"/>
      <c r="F49" s="1047"/>
      <c r="G49" s="1047">
        <v>69500</v>
      </c>
      <c r="H49" s="315">
        <v>180768</v>
      </c>
      <c r="I49" s="1047">
        <f t="shared" si="1"/>
        <v>250268</v>
      </c>
      <c r="J49" s="99"/>
      <c r="K49" s="22"/>
      <c r="L49" s="22"/>
    </row>
    <row r="50" spans="1:10" s="22" customFormat="1" ht="30" customHeight="1" thickBot="1">
      <c r="A50" s="871"/>
      <c r="B50" s="872"/>
      <c r="C50" s="873" t="s">
        <v>690</v>
      </c>
      <c r="D50" s="874">
        <v>28110771</v>
      </c>
      <c r="E50" s="874">
        <f>E89+E84+E73+E51+E120+E105+E115</f>
        <v>173447</v>
      </c>
      <c r="F50" s="874">
        <f t="shared" si="0"/>
        <v>28284218</v>
      </c>
      <c r="G50" s="874">
        <v>22554771</v>
      </c>
      <c r="H50" s="874">
        <f>H89+H84+H73+H51+H120+H105+H115</f>
        <v>176447</v>
      </c>
      <c r="I50" s="874">
        <f t="shared" si="1"/>
        <v>22731218</v>
      </c>
      <c r="J50" s="99"/>
    </row>
    <row r="51" spans="1:10" ht="19.5" customHeight="1" thickTop="1">
      <c r="A51" s="573">
        <v>710</v>
      </c>
      <c r="B51" s="317"/>
      <c r="C51" s="441" t="s">
        <v>258</v>
      </c>
      <c r="D51" s="381">
        <v>614235</v>
      </c>
      <c r="E51" s="381">
        <f>E52+E64</f>
        <v>3000</v>
      </c>
      <c r="F51" s="381">
        <f t="shared" si="0"/>
        <v>617235</v>
      </c>
      <c r="G51" s="381">
        <v>614235</v>
      </c>
      <c r="H51" s="381">
        <f>H64+H52</f>
        <v>3000</v>
      </c>
      <c r="I51" s="381">
        <f t="shared" si="1"/>
        <v>617235</v>
      </c>
      <c r="J51" s="793"/>
    </row>
    <row r="52" spans="1:10" ht="19.5" customHeight="1">
      <c r="A52" s="179"/>
      <c r="B52" s="159">
        <v>71015</v>
      </c>
      <c r="C52" s="160" t="s">
        <v>79</v>
      </c>
      <c r="D52" s="985">
        <v>502898</v>
      </c>
      <c r="E52" s="379">
        <f>E53</f>
        <v>14337</v>
      </c>
      <c r="F52" s="379">
        <f t="shared" si="0"/>
        <v>517235</v>
      </c>
      <c r="G52" s="379">
        <v>502898</v>
      </c>
      <c r="H52" s="379">
        <f>H55+H59+H61</f>
        <v>14337</v>
      </c>
      <c r="I52" s="379">
        <f t="shared" si="1"/>
        <v>517235</v>
      </c>
      <c r="J52" s="793"/>
    </row>
    <row r="53" spans="1:10" ht="27" customHeight="1">
      <c r="A53" s="130"/>
      <c r="B53" s="61"/>
      <c r="C53" s="657" t="s">
        <v>80</v>
      </c>
      <c r="D53" s="1364">
        <v>502898</v>
      </c>
      <c r="E53" s="864">
        <f>E54</f>
        <v>14337</v>
      </c>
      <c r="F53" s="864">
        <f t="shared" si="0"/>
        <v>517235</v>
      </c>
      <c r="G53" s="864"/>
      <c r="H53" s="864"/>
      <c r="I53" s="864"/>
      <c r="J53" s="793"/>
    </row>
    <row r="54" spans="1:10" ht="37.5" customHeight="1">
      <c r="A54" s="70"/>
      <c r="B54" s="231">
        <v>2110</v>
      </c>
      <c r="C54" s="754" t="s">
        <v>490</v>
      </c>
      <c r="D54" s="869">
        <v>502898</v>
      </c>
      <c r="E54" s="121">
        <v>14337</v>
      </c>
      <c r="F54" s="121">
        <f t="shared" si="0"/>
        <v>517235</v>
      </c>
      <c r="G54" s="121"/>
      <c r="H54" s="121"/>
      <c r="I54" s="121"/>
      <c r="J54" s="793"/>
    </row>
    <row r="55" spans="1:10" ht="21.75" customHeight="1">
      <c r="A55" s="151"/>
      <c r="B55" s="151"/>
      <c r="C55" s="80" t="s">
        <v>127</v>
      </c>
      <c r="D55" s="380"/>
      <c r="E55" s="380"/>
      <c r="F55" s="380"/>
      <c r="G55" s="380">
        <v>320613</v>
      </c>
      <c r="H55" s="380">
        <f>SUM(H56:H58)</f>
        <v>4370</v>
      </c>
      <c r="I55" s="380">
        <f t="shared" si="1"/>
        <v>324983</v>
      </c>
      <c r="J55" s="793"/>
    </row>
    <row r="56" spans="1:10" ht="21.75" customHeight="1">
      <c r="A56" s="145"/>
      <c r="B56" s="231">
        <v>4010</v>
      </c>
      <c r="C56" s="232" t="s">
        <v>603</v>
      </c>
      <c r="D56" s="121"/>
      <c r="E56" s="121"/>
      <c r="F56" s="121"/>
      <c r="G56" s="121">
        <v>116400</v>
      </c>
      <c r="H56" s="121">
        <v>2000</v>
      </c>
      <c r="I56" s="121">
        <f t="shared" si="1"/>
        <v>118400</v>
      </c>
      <c r="J56" s="793"/>
    </row>
    <row r="57" spans="1:10" ht="21.75" customHeight="1">
      <c r="A57" s="145"/>
      <c r="B57" s="231">
        <v>4020</v>
      </c>
      <c r="C57" s="232" t="s">
        <v>840</v>
      </c>
      <c r="D57" s="121"/>
      <c r="E57" s="121"/>
      <c r="F57" s="121"/>
      <c r="G57" s="121">
        <v>184900</v>
      </c>
      <c r="H57" s="121">
        <v>800</v>
      </c>
      <c r="I57" s="121">
        <f t="shared" si="1"/>
        <v>185700</v>
      </c>
      <c r="J57" s="793"/>
    </row>
    <row r="58" spans="1:10" ht="21.75" customHeight="1">
      <c r="A58" s="145"/>
      <c r="B58" s="231">
        <v>4170</v>
      </c>
      <c r="C58" s="232" t="s">
        <v>674</v>
      </c>
      <c r="D58" s="121"/>
      <c r="E58" s="121"/>
      <c r="F58" s="121"/>
      <c r="G58" s="121">
        <v>600</v>
      </c>
      <c r="H58" s="121">
        <v>1570</v>
      </c>
      <c r="I58" s="121">
        <f t="shared" si="1"/>
        <v>2170</v>
      </c>
      <c r="J58" s="793"/>
    </row>
    <row r="59" spans="1:10" ht="21.75" customHeight="1">
      <c r="A59" s="151"/>
      <c r="B59" s="147"/>
      <c r="C59" s="860" t="s">
        <v>667</v>
      </c>
      <c r="D59" s="864"/>
      <c r="E59" s="864"/>
      <c r="F59" s="864"/>
      <c r="G59" s="864">
        <v>120085</v>
      </c>
      <c r="H59" s="864">
        <f>H60</f>
        <v>8287</v>
      </c>
      <c r="I59" s="864">
        <f t="shared" si="1"/>
        <v>128372</v>
      </c>
      <c r="J59" s="793"/>
    </row>
    <row r="60" spans="1:10" ht="21.75" customHeight="1">
      <c r="A60" s="145"/>
      <c r="B60" s="231">
        <v>4210</v>
      </c>
      <c r="C60" s="232" t="s">
        <v>663</v>
      </c>
      <c r="D60" s="121"/>
      <c r="E60" s="121"/>
      <c r="F60" s="121"/>
      <c r="G60" s="121">
        <v>30730</v>
      </c>
      <c r="H60" s="121">
        <v>8287</v>
      </c>
      <c r="I60" s="121">
        <f t="shared" si="1"/>
        <v>39017</v>
      </c>
      <c r="J60" s="793"/>
    </row>
    <row r="61" spans="1:10" ht="21.75" customHeight="1">
      <c r="A61" s="151"/>
      <c r="B61" s="147"/>
      <c r="C61" s="860" t="s">
        <v>692</v>
      </c>
      <c r="D61" s="864"/>
      <c r="E61" s="864"/>
      <c r="F61" s="864"/>
      <c r="G61" s="864">
        <v>62200</v>
      </c>
      <c r="H61" s="864">
        <f>H62+H63</f>
        <v>1680</v>
      </c>
      <c r="I61" s="864">
        <f t="shared" si="1"/>
        <v>63880</v>
      </c>
      <c r="J61" s="793"/>
    </row>
    <row r="62" spans="1:10" ht="21.75" customHeight="1">
      <c r="A62" s="145"/>
      <c r="B62" s="231">
        <v>4110</v>
      </c>
      <c r="C62" s="232" t="s">
        <v>729</v>
      </c>
      <c r="D62" s="121"/>
      <c r="E62" s="121"/>
      <c r="F62" s="121"/>
      <c r="G62" s="121">
        <v>54000</v>
      </c>
      <c r="H62" s="121">
        <v>1300</v>
      </c>
      <c r="I62" s="121">
        <f t="shared" si="1"/>
        <v>55300</v>
      </c>
      <c r="J62" s="793"/>
    </row>
    <row r="63" spans="1:10" ht="21.75" customHeight="1">
      <c r="A63" s="145"/>
      <c r="B63" s="231">
        <v>4120</v>
      </c>
      <c r="C63" s="232" t="s">
        <v>730</v>
      </c>
      <c r="D63" s="121"/>
      <c r="E63" s="121"/>
      <c r="F63" s="121"/>
      <c r="G63" s="121">
        <v>8200</v>
      </c>
      <c r="H63" s="121">
        <v>380</v>
      </c>
      <c r="I63" s="121">
        <f t="shared" si="1"/>
        <v>8580</v>
      </c>
      <c r="J63" s="793"/>
    </row>
    <row r="64" spans="1:10" ht="21.75" customHeight="1">
      <c r="A64" s="109"/>
      <c r="B64" s="159">
        <v>71095</v>
      </c>
      <c r="C64" s="160" t="s">
        <v>646</v>
      </c>
      <c r="D64" s="985">
        <v>11337</v>
      </c>
      <c r="E64" s="379">
        <f>E65</f>
        <v>-11337</v>
      </c>
      <c r="F64" s="379">
        <f t="shared" si="0"/>
        <v>0</v>
      </c>
      <c r="G64" s="379">
        <v>11337</v>
      </c>
      <c r="H64" s="379">
        <f>H67</f>
        <v>-11337</v>
      </c>
      <c r="I64" s="379">
        <f t="shared" si="1"/>
        <v>0</v>
      </c>
      <c r="J64" s="793"/>
    </row>
    <row r="65" spans="1:10" ht="31.5" customHeight="1">
      <c r="A65" s="151"/>
      <c r="B65" s="61"/>
      <c r="C65" s="657" t="s">
        <v>81</v>
      </c>
      <c r="D65" s="1364">
        <v>11337</v>
      </c>
      <c r="E65" s="864">
        <f>E66</f>
        <v>-11337</v>
      </c>
      <c r="F65" s="864">
        <f t="shared" si="0"/>
        <v>0</v>
      </c>
      <c r="G65" s="864"/>
      <c r="H65" s="864"/>
      <c r="I65" s="864"/>
      <c r="J65" s="793"/>
    </row>
    <row r="66" spans="1:10" ht="40.5" customHeight="1">
      <c r="A66" s="145"/>
      <c r="B66" s="231">
        <v>2110</v>
      </c>
      <c r="C66" s="754" t="s">
        <v>490</v>
      </c>
      <c r="D66" s="869">
        <v>11337</v>
      </c>
      <c r="E66" s="121">
        <v>-11337</v>
      </c>
      <c r="F66" s="121">
        <f t="shared" si="0"/>
        <v>0</v>
      </c>
      <c r="G66" s="121"/>
      <c r="H66" s="121"/>
      <c r="I66" s="121"/>
      <c r="J66" s="793"/>
    </row>
    <row r="67" spans="1:10" ht="21.75" customHeight="1">
      <c r="A67" s="151"/>
      <c r="B67" s="147"/>
      <c r="C67" s="860" t="s">
        <v>82</v>
      </c>
      <c r="D67" s="864"/>
      <c r="E67" s="864"/>
      <c r="F67" s="864"/>
      <c r="G67" s="864">
        <v>11337</v>
      </c>
      <c r="H67" s="864">
        <f>H68</f>
        <v>-11337</v>
      </c>
      <c r="I67" s="864">
        <f t="shared" si="1"/>
        <v>0</v>
      </c>
      <c r="J67" s="793"/>
    </row>
    <row r="68" spans="1:10" ht="21.75" customHeight="1">
      <c r="A68" s="145"/>
      <c r="B68" s="115">
        <v>4300</v>
      </c>
      <c r="C68" s="1288" t="s">
        <v>664</v>
      </c>
      <c r="D68" s="936"/>
      <c r="E68" s="936"/>
      <c r="F68" s="936"/>
      <c r="G68" s="936">
        <v>11337</v>
      </c>
      <c r="H68" s="936">
        <v>-11337</v>
      </c>
      <c r="I68" s="936">
        <f t="shared" si="1"/>
        <v>0</v>
      </c>
      <c r="J68" s="793"/>
    </row>
    <row r="69" spans="1:10" ht="21.75" customHeight="1">
      <c r="A69" s="1338"/>
      <c r="B69" s="1334"/>
      <c r="C69" s="1335"/>
      <c r="D69" s="1395"/>
      <c r="E69" s="1395"/>
      <c r="F69" s="1395"/>
      <c r="G69" s="1395"/>
      <c r="H69" s="1395"/>
      <c r="I69" s="1395"/>
      <c r="J69" s="793"/>
    </row>
    <row r="70" spans="1:10" ht="21.75" customHeight="1">
      <c r="A70" s="1536"/>
      <c r="B70" s="1537"/>
      <c r="C70" s="1538"/>
      <c r="D70" s="1539"/>
      <c r="E70" s="1539"/>
      <c r="F70" s="1539"/>
      <c r="G70" s="1539"/>
      <c r="H70" s="1539"/>
      <c r="I70" s="1539"/>
      <c r="J70" s="793"/>
    </row>
    <row r="71" spans="1:10" ht="21.75" customHeight="1">
      <c r="A71" s="1536"/>
      <c r="B71" s="1537"/>
      <c r="C71" s="1538"/>
      <c r="D71" s="1539"/>
      <c r="E71" s="1539"/>
      <c r="F71" s="1539"/>
      <c r="G71" s="1539"/>
      <c r="H71" s="1539"/>
      <c r="I71" s="1539"/>
      <c r="J71" s="793"/>
    </row>
    <row r="72" spans="1:10" ht="21.75" customHeight="1">
      <c r="A72" s="1536"/>
      <c r="B72" s="1537"/>
      <c r="C72" s="1538"/>
      <c r="D72" s="1539"/>
      <c r="E72" s="1539"/>
      <c r="F72" s="1539"/>
      <c r="G72" s="1539"/>
      <c r="H72" s="1539"/>
      <c r="I72" s="1539"/>
      <c r="J72" s="793"/>
    </row>
    <row r="73" spans="1:10" ht="21.75" customHeight="1">
      <c r="A73" s="317">
        <v>750</v>
      </c>
      <c r="B73" s="58"/>
      <c r="C73" s="58" t="s">
        <v>651</v>
      </c>
      <c r="D73" s="59">
        <v>916641</v>
      </c>
      <c r="E73" s="59">
        <f>E74+E79</f>
        <v>0</v>
      </c>
      <c r="F73" s="59">
        <f t="shared" si="0"/>
        <v>916641</v>
      </c>
      <c r="G73" s="59">
        <v>916641</v>
      </c>
      <c r="H73" s="59">
        <f>H79+H74</f>
        <v>0</v>
      </c>
      <c r="I73" s="59">
        <f t="shared" si="1"/>
        <v>916641</v>
      </c>
      <c r="J73" s="793"/>
    </row>
    <row r="74" spans="1:10" ht="21.75" customHeight="1">
      <c r="A74" s="109"/>
      <c r="B74" s="159">
        <v>75011</v>
      </c>
      <c r="C74" s="160" t="s">
        <v>77</v>
      </c>
      <c r="D74" s="985">
        <v>810641</v>
      </c>
      <c r="E74" s="379">
        <f>E75</f>
        <v>15269</v>
      </c>
      <c r="F74" s="379">
        <f t="shared" si="0"/>
        <v>825910</v>
      </c>
      <c r="G74" s="379">
        <v>810641</v>
      </c>
      <c r="H74" s="379">
        <f>H77</f>
        <v>15269</v>
      </c>
      <c r="I74" s="379">
        <f t="shared" si="1"/>
        <v>825910</v>
      </c>
      <c r="J74" s="793"/>
    </row>
    <row r="75" spans="1:10" ht="29.25" customHeight="1">
      <c r="A75" s="151"/>
      <c r="B75" s="61"/>
      <c r="C75" s="657" t="s">
        <v>491</v>
      </c>
      <c r="D75" s="1364">
        <v>810641</v>
      </c>
      <c r="E75" s="864">
        <f>E76</f>
        <v>15269</v>
      </c>
      <c r="F75" s="864">
        <f t="shared" si="0"/>
        <v>825910</v>
      </c>
      <c r="G75" s="864"/>
      <c r="H75" s="864"/>
      <c r="I75" s="864"/>
      <c r="J75" s="793"/>
    </row>
    <row r="76" spans="1:10" ht="42.75" customHeight="1">
      <c r="A76" s="145"/>
      <c r="B76" s="184">
        <v>2110</v>
      </c>
      <c r="C76" s="754" t="s">
        <v>490</v>
      </c>
      <c r="D76" s="869">
        <v>810641</v>
      </c>
      <c r="E76" s="121">
        <v>15269</v>
      </c>
      <c r="F76" s="121">
        <f t="shared" si="0"/>
        <v>825910</v>
      </c>
      <c r="G76" s="121"/>
      <c r="H76" s="121"/>
      <c r="I76" s="121"/>
      <c r="J76" s="793"/>
    </row>
    <row r="77" spans="1:10" ht="21.75" customHeight="1">
      <c r="A77" s="151"/>
      <c r="B77" s="147"/>
      <c r="C77" s="860" t="s">
        <v>667</v>
      </c>
      <c r="D77" s="864"/>
      <c r="E77" s="864"/>
      <c r="F77" s="864"/>
      <c r="G77" s="864">
        <v>35017</v>
      </c>
      <c r="H77" s="864">
        <f>H78</f>
        <v>15269</v>
      </c>
      <c r="I77" s="864">
        <f t="shared" si="1"/>
        <v>50286</v>
      </c>
      <c r="J77" s="793"/>
    </row>
    <row r="78" spans="1:10" ht="21.75" customHeight="1">
      <c r="A78" s="145"/>
      <c r="B78" s="231">
        <v>4300</v>
      </c>
      <c r="C78" s="232" t="s">
        <v>664</v>
      </c>
      <c r="D78" s="121"/>
      <c r="E78" s="121"/>
      <c r="F78" s="121"/>
      <c r="G78" s="116"/>
      <c r="H78" s="121">
        <v>15269</v>
      </c>
      <c r="I78" s="121">
        <f t="shared" si="1"/>
        <v>15269</v>
      </c>
      <c r="J78" s="793"/>
    </row>
    <row r="79" spans="1:10" ht="21.75" customHeight="1">
      <c r="A79" s="109"/>
      <c r="B79" s="63">
        <v>75045</v>
      </c>
      <c r="C79" s="75" t="s">
        <v>886</v>
      </c>
      <c r="D79" s="379">
        <v>106000</v>
      </c>
      <c r="E79" s="379">
        <f>E80</f>
        <v>-15269</v>
      </c>
      <c r="F79" s="379">
        <f t="shared" si="0"/>
        <v>90731</v>
      </c>
      <c r="G79" s="379">
        <v>106000</v>
      </c>
      <c r="H79" s="379">
        <f>H82</f>
        <v>-15269</v>
      </c>
      <c r="I79" s="379">
        <f t="shared" si="1"/>
        <v>90731</v>
      </c>
      <c r="J79" s="793"/>
    </row>
    <row r="80" spans="1:10" ht="27" customHeight="1">
      <c r="A80" s="151"/>
      <c r="B80" s="147"/>
      <c r="C80" s="860" t="s">
        <v>887</v>
      </c>
      <c r="D80" s="864">
        <v>106000</v>
      </c>
      <c r="E80" s="864">
        <f>E81</f>
        <v>-15269</v>
      </c>
      <c r="F80" s="864">
        <f t="shared" si="0"/>
        <v>90731</v>
      </c>
      <c r="G80" s="864"/>
      <c r="H80" s="864"/>
      <c r="I80" s="864"/>
      <c r="J80" s="793"/>
    </row>
    <row r="81" spans="1:10" ht="37.5" customHeight="1">
      <c r="A81" s="145"/>
      <c r="B81" s="231">
        <v>2110</v>
      </c>
      <c r="C81" s="754" t="s">
        <v>490</v>
      </c>
      <c r="D81" s="121">
        <v>106000</v>
      </c>
      <c r="E81" s="121">
        <v>-15269</v>
      </c>
      <c r="F81" s="121">
        <f t="shared" si="0"/>
        <v>90731</v>
      </c>
      <c r="G81" s="121"/>
      <c r="H81" s="121"/>
      <c r="I81" s="121"/>
      <c r="J81" s="793"/>
    </row>
    <row r="82" spans="1:10" ht="21.75" customHeight="1">
      <c r="A82" s="151"/>
      <c r="B82" s="151"/>
      <c r="C82" s="80" t="s">
        <v>889</v>
      </c>
      <c r="D82" s="380"/>
      <c r="E82" s="380"/>
      <c r="F82" s="380"/>
      <c r="G82" s="380">
        <v>106000</v>
      </c>
      <c r="H82" s="380">
        <f>H83</f>
        <v>-15269</v>
      </c>
      <c r="I82" s="380">
        <f t="shared" si="1"/>
        <v>90731</v>
      </c>
      <c r="J82" s="793"/>
    </row>
    <row r="83" spans="1:10" ht="21.75" customHeight="1">
      <c r="A83" s="145"/>
      <c r="B83" s="231">
        <v>4300</v>
      </c>
      <c r="C83" s="232" t="s">
        <v>664</v>
      </c>
      <c r="D83" s="121"/>
      <c r="E83" s="121"/>
      <c r="F83" s="121"/>
      <c r="G83" s="121">
        <v>40586</v>
      </c>
      <c r="H83" s="121">
        <v>-15269</v>
      </c>
      <c r="I83" s="121">
        <f t="shared" si="1"/>
        <v>25317</v>
      </c>
      <c r="J83" s="793"/>
    </row>
    <row r="84" spans="1:10" ht="21.75" customHeight="1">
      <c r="A84" s="57">
        <v>752</v>
      </c>
      <c r="B84" s="74"/>
      <c r="C84" s="74" t="s">
        <v>828</v>
      </c>
      <c r="D84" s="381">
        <v>3400</v>
      </c>
      <c r="E84" s="381"/>
      <c r="F84" s="381">
        <f t="shared" si="0"/>
        <v>3400</v>
      </c>
      <c r="G84" s="381">
        <v>3400</v>
      </c>
      <c r="H84" s="381">
        <f>H85</f>
        <v>0</v>
      </c>
      <c r="I84" s="381">
        <f t="shared" si="1"/>
        <v>3400</v>
      </c>
      <c r="J84" s="793"/>
    </row>
    <row r="85" spans="1:10" ht="21.75" customHeight="1">
      <c r="A85" s="109"/>
      <c r="B85" s="63">
        <v>75212</v>
      </c>
      <c r="C85" s="75" t="s">
        <v>829</v>
      </c>
      <c r="D85" s="379">
        <v>3400</v>
      </c>
      <c r="E85" s="379"/>
      <c r="F85" s="379">
        <f t="shared" si="0"/>
        <v>3400</v>
      </c>
      <c r="G85" s="379">
        <v>3400</v>
      </c>
      <c r="H85" s="379">
        <f>H86</f>
        <v>0</v>
      </c>
      <c r="I85" s="379">
        <f t="shared" si="1"/>
        <v>3400</v>
      </c>
      <c r="J85" s="793"/>
    </row>
    <row r="86" spans="1:10" ht="21.75" customHeight="1">
      <c r="A86" s="151"/>
      <c r="B86" s="147"/>
      <c r="C86" s="860" t="s">
        <v>830</v>
      </c>
      <c r="D86" s="864"/>
      <c r="E86" s="864"/>
      <c r="F86" s="864"/>
      <c r="G86" s="864">
        <v>3400</v>
      </c>
      <c r="H86" s="864">
        <f>SUM(H87:H88)</f>
        <v>0</v>
      </c>
      <c r="I86" s="864">
        <f t="shared" si="1"/>
        <v>3400</v>
      </c>
      <c r="J86" s="793"/>
    </row>
    <row r="87" spans="1:10" ht="21.75" customHeight="1">
      <c r="A87" s="145"/>
      <c r="B87" s="231">
        <v>4170</v>
      </c>
      <c r="C87" s="232" t="s">
        <v>674</v>
      </c>
      <c r="D87" s="121"/>
      <c r="E87" s="121"/>
      <c r="F87" s="121"/>
      <c r="G87" s="121">
        <v>1000</v>
      </c>
      <c r="H87" s="121">
        <v>500</v>
      </c>
      <c r="I87" s="121">
        <f t="shared" si="1"/>
        <v>1500</v>
      </c>
      <c r="J87" s="793"/>
    </row>
    <row r="88" spans="1:10" ht="21.75" customHeight="1">
      <c r="A88" s="145"/>
      <c r="B88" s="231">
        <v>4210</v>
      </c>
      <c r="C88" s="232" t="s">
        <v>663</v>
      </c>
      <c r="D88" s="121"/>
      <c r="E88" s="121"/>
      <c r="F88" s="121"/>
      <c r="G88" s="121">
        <v>1700</v>
      </c>
      <c r="H88" s="121">
        <v>-500</v>
      </c>
      <c r="I88" s="121">
        <f aca="true" t="shared" si="2" ref="I88:I127">G88+H88</f>
        <v>1200</v>
      </c>
      <c r="J88" s="793"/>
    </row>
    <row r="89" spans="1:10" ht="21.75" customHeight="1">
      <c r="A89" s="57">
        <v>754</v>
      </c>
      <c r="B89" s="74"/>
      <c r="C89" s="74" t="s">
        <v>641</v>
      </c>
      <c r="D89" s="381">
        <v>13059000</v>
      </c>
      <c r="E89" s="381">
        <f>E90</f>
        <v>21200</v>
      </c>
      <c r="F89" s="381">
        <f>D89+E89</f>
        <v>13080200</v>
      </c>
      <c r="G89" s="381">
        <v>12959000</v>
      </c>
      <c r="H89" s="381">
        <f>H90</f>
        <v>21200</v>
      </c>
      <c r="I89" s="381">
        <f t="shared" si="2"/>
        <v>12980200</v>
      </c>
      <c r="J89" s="793"/>
    </row>
    <row r="90" spans="1:10" ht="21.75" customHeight="1">
      <c r="A90" s="109"/>
      <c r="B90" s="63">
        <v>75411</v>
      </c>
      <c r="C90" s="75" t="s">
        <v>806</v>
      </c>
      <c r="D90" s="379">
        <v>13059000</v>
      </c>
      <c r="E90" s="379">
        <f>E91</f>
        <v>21200</v>
      </c>
      <c r="F90" s="379">
        <f>D90+E90</f>
        <v>13080200</v>
      </c>
      <c r="G90" s="379">
        <v>12959000</v>
      </c>
      <c r="H90" s="379">
        <f>H93+H97+H102</f>
        <v>21200</v>
      </c>
      <c r="I90" s="379">
        <f t="shared" si="2"/>
        <v>12980200</v>
      </c>
      <c r="J90" s="793"/>
    </row>
    <row r="91" spans="1:10" ht="27" customHeight="1">
      <c r="A91" s="151"/>
      <c r="B91" s="152"/>
      <c r="C91" s="657" t="s">
        <v>900</v>
      </c>
      <c r="D91" s="864">
        <v>12959000</v>
      </c>
      <c r="E91" s="864">
        <f>E92</f>
        <v>21200</v>
      </c>
      <c r="F91" s="864">
        <f>D91+E91</f>
        <v>12980200</v>
      </c>
      <c r="G91" s="864"/>
      <c r="H91" s="864"/>
      <c r="I91" s="864"/>
      <c r="J91" s="793"/>
    </row>
    <row r="92" spans="1:10" ht="37.5" customHeight="1">
      <c r="A92" s="145"/>
      <c r="B92" s="184">
        <v>2110</v>
      </c>
      <c r="C92" s="754" t="s">
        <v>490</v>
      </c>
      <c r="D92" s="121">
        <v>12959000</v>
      </c>
      <c r="E92" s="121">
        <v>21200</v>
      </c>
      <c r="F92" s="121">
        <f>D92+E92</f>
        <v>12980200</v>
      </c>
      <c r="G92" s="121"/>
      <c r="H92" s="121"/>
      <c r="I92" s="121"/>
      <c r="J92" s="793"/>
    </row>
    <row r="93" spans="1:10" ht="19.5" customHeight="1">
      <c r="A93" s="151"/>
      <c r="B93" s="151"/>
      <c r="C93" s="80" t="s">
        <v>127</v>
      </c>
      <c r="D93" s="1285"/>
      <c r="E93" s="1285"/>
      <c r="F93" s="1285"/>
      <c r="G93" s="1519">
        <v>9838800</v>
      </c>
      <c r="H93" s="1285">
        <f>SUM(H94:H95)</f>
        <v>-40452</v>
      </c>
      <c r="I93" s="1285">
        <f t="shared" si="2"/>
        <v>9798348</v>
      </c>
      <c r="J93" s="793"/>
    </row>
    <row r="94" spans="1:10" ht="18" customHeight="1">
      <c r="A94" s="115"/>
      <c r="B94" s="231">
        <v>4020</v>
      </c>
      <c r="C94" s="232" t="s">
        <v>840</v>
      </c>
      <c r="D94" s="1281"/>
      <c r="E94" s="1281"/>
      <c r="F94" s="1281"/>
      <c r="G94" s="310">
        <v>63200</v>
      </c>
      <c r="H94" s="1281">
        <v>1000</v>
      </c>
      <c r="I94" s="1281">
        <f t="shared" si="2"/>
        <v>64200</v>
      </c>
      <c r="J94" s="793"/>
    </row>
    <row r="95" spans="1:10" ht="27" customHeight="1">
      <c r="A95" s="151"/>
      <c r="B95" s="125">
        <v>4060</v>
      </c>
      <c r="C95" s="1607" t="s">
        <v>807</v>
      </c>
      <c r="D95" s="1607"/>
      <c r="E95" s="1607"/>
      <c r="F95" s="1607"/>
      <c r="G95" s="1608">
        <v>374000</v>
      </c>
      <c r="H95" s="1562">
        <v>-41452</v>
      </c>
      <c r="I95" s="1607">
        <f t="shared" si="2"/>
        <v>332548</v>
      </c>
      <c r="J95" s="793"/>
    </row>
    <row r="96" spans="1:10" ht="27" customHeight="1">
      <c r="A96" s="1609"/>
      <c r="B96" s="1339"/>
      <c r="C96" s="1610"/>
      <c r="D96" s="1610"/>
      <c r="E96" s="1610"/>
      <c r="F96" s="1610"/>
      <c r="G96" s="1611"/>
      <c r="H96" s="1610"/>
      <c r="I96" s="1610"/>
      <c r="J96" s="793"/>
    </row>
    <row r="97" spans="1:10" ht="19.5" customHeight="1">
      <c r="A97" s="145"/>
      <c r="B97" s="151"/>
      <c r="C97" s="80" t="s">
        <v>667</v>
      </c>
      <c r="D97" s="1285"/>
      <c r="E97" s="1285"/>
      <c r="F97" s="1285"/>
      <c r="G97" s="1519">
        <v>3025386</v>
      </c>
      <c r="H97" s="1516">
        <f>SUM(H98:H101)</f>
        <v>61452</v>
      </c>
      <c r="I97" s="1285">
        <f t="shared" si="2"/>
        <v>3086838</v>
      </c>
      <c r="J97" s="793"/>
    </row>
    <row r="98" spans="1:10" ht="19.5" customHeight="1">
      <c r="A98" s="145"/>
      <c r="B98" s="231">
        <v>4210</v>
      </c>
      <c r="C98" s="232" t="s">
        <v>663</v>
      </c>
      <c r="D98" s="1281"/>
      <c r="E98" s="1281"/>
      <c r="F98" s="1281"/>
      <c r="G98" s="310">
        <v>507300</v>
      </c>
      <c r="H98" s="116">
        <v>22052</v>
      </c>
      <c r="I98" s="1281">
        <f t="shared" si="2"/>
        <v>529352</v>
      </c>
      <c r="J98" s="793"/>
    </row>
    <row r="99" spans="1:10" ht="19.5" customHeight="1">
      <c r="A99" s="145"/>
      <c r="B99" s="231">
        <v>4210</v>
      </c>
      <c r="C99" s="232" t="s">
        <v>808</v>
      </c>
      <c r="D99" s="1281"/>
      <c r="E99" s="1281"/>
      <c r="F99" s="1281"/>
      <c r="G99" s="116">
        <v>95000</v>
      </c>
      <c r="H99" s="116">
        <v>10000</v>
      </c>
      <c r="I99" s="1281">
        <f t="shared" si="2"/>
        <v>105000</v>
      </c>
      <c r="J99" s="793"/>
    </row>
    <row r="100" spans="1:10" ht="19.5" customHeight="1">
      <c r="A100" s="145"/>
      <c r="B100" s="231">
        <v>4270</v>
      </c>
      <c r="C100" s="232" t="s">
        <v>796</v>
      </c>
      <c r="D100" s="1281"/>
      <c r="E100" s="1281"/>
      <c r="F100" s="1281"/>
      <c r="G100" s="116">
        <v>85000</v>
      </c>
      <c r="H100" s="116">
        <v>9400</v>
      </c>
      <c r="I100" s="1281">
        <f t="shared" si="2"/>
        <v>94400</v>
      </c>
      <c r="J100" s="793"/>
    </row>
    <row r="101" spans="1:10" ht="19.5" customHeight="1">
      <c r="A101" s="145"/>
      <c r="B101" s="231">
        <v>4300</v>
      </c>
      <c r="C101" s="232" t="s">
        <v>664</v>
      </c>
      <c r="D101" s="1281"/>
      <c r="E101" s="1281"/>
      <c r="F101" s="1281"/>
      <c r="G101" s="116">
        <v>190000</v>
      </c>
      <c r="H101" s="116">
        <v>20000</v>
      </c>
      <c r="I101" s="1281">
        <f t="shared" si="2"/>
        <v>210000</v>
      </c>
      <c r="J101" s="793"/>
    </row>
    <row r="102" spans="1:10" ht="19.5" customHeight="1">
      <c r="A102" s="145"/>
      <c r="B102" s="147"/>
      <c r="C102" s="860" t="s">
        <v>692</v>
      </c>
      <c r="D102" s="1017"/>
      <c r="E102" s="1017"/>
      <c r="F102" s="1017"/>
      <c r="G102" s="861">
        <v>94814</v>
      </c>
      <c r="H102" s="593">
        <f>SUM(H103:H104)</f>
        <v>200</v>
      </c>
      <c r="I102" s="1017">
        <f t="shared" si="2"/>
        <v>95014</v>
      </c>
      <c r="J102" s="793"/>
    </row>
    <row r="103" spans="1:10" ht="19.5" customHeight="1">
      <c r="A103" s="145"/>
      <c r="B103" s="231">
        <v>4110</v>
      </c>
      <c r="C103" s="232" t="s">
        <v>729</v>
      </c>
      <c r="D103" s="1281"/>
      <c r="E103" s="1281"/>
      <c r="F103" s="1281"/>
      <c r="G103" s="116">
        <v>87064</v>
      </c>
      <c r="H103" s="116">
        <v>175</v>
      </c>
      <c r="I103" s="1281">
        <f t="shared" si="2"/>
        <v>87239</v>
      </c>
      <c r="J103" s="793"/>
    </row>
    <row r="104" spans="1:10" ht="19.5" customHeight="1">
      <c r="A104" s="145"/>
      <c r="B104" s="231">
        <v>4120</v>
      </c>
      <c r="C104" s="232" t="s">
        <v>730</v>
      </c>
      <c r="D104" s="1281"/>
      <c r="E104" s="1281"/>
      <c r="F104" s="1281"/>
      <c r="G104" s="116">
        <v>7750</v>
      </c>
      <c r="H104" s="116">
        <v>25</v>
      </c>
      <c r="I104" s="1281">
        <f t="shared" si="2"/>
        <v>7775</v>
      </c>
      <c r="J104" s="793"/>
    </row>
    <row r="105" spans="1:10" ht="21.75" customHeight="1">
      <c r="A105" s="129">
        <v>851</v>
      </c>
      <c r="B105" s="57"/>
      <c r="C105" s="77" t="s">
        <v>650</v>
      </c>
      <c r="D105" s="432">
        <v>3307000</v>
      </c>
      <c r="E105" s="381">
        <f>E106</f>
        <v>120000</v>
      </c>
      <c r="F105" s="381">
        <f>D105+E105</f>
        <v>3427000</v>
      </c>
      <c r="G105" s="381">
        <v>3307000</v>
      </c>
      <c r="H105" s="381">
        <f>H106</f>
        <v>120000</v>
      </c>
      <c r="I105" s="381">
        <f t="shared" si="2"/>
        <v>3427000</v>
      </c>
      <c r="J105" s="793"/>
    </row>
    <row r="106" spans="1:10" ht="21.75" customHeight="1">
      <c r="A106" s="179"/>
      <c r="B106" s="159">
        <v>85141</v>
      </c>
      <c r="C106" s="62" t="s">
        <v>891</v>
      </c>
      <c r="D106" s="1283">
        <v>120000</v>
      </c>
      <c r="E106" s="379">
        <f>E107</f>
        <v>120000</v>
      </c>
      <c r="F106" s="379">
        <f>D106+E106</f>
        <v>240000</v>
      </c>
      <c r="G106" s="379">
        <v>120000</v>
      </c>
      <c r="H106" s="379">
        <f>H109</f>
        <v>120000</v>
      </c>
      <c r="I106" s="379">
        <f t="shared" si="2"/>
        <v>240000</v>
      </c>
      <c r="J106" s="793"/>
    </row>
    <row r="107" spans="1:10" ht="27" customHeight="1">
      <c r="A107" s="130"/>
      <c r="B107" s="61"/>
      <c r="C107" s="653" t="s">
        <v>874</v>
      </c>
      <c r="D107" s="1065">
        <v>120000</v>
      </c>
      <c r="E107" s="864">
        <f>E108</f>
        <v>120000</v>
      </c>
      <c r="F107" s="864">
        <f>D107+E107</f>
        <v>240000</v>
      </c>
      <c r="G107" s="864"/>
      <c r="H107" s="864"/>
      <c r="I107" s="864"/>
      <c r="J107" s="793"/>
    </row>
    <row r="108" spans="1:10" s="776" customFormat="1" ht="39.75" customHeight="1">
      <c r="A108" s="1532"/>
      <c r="B108" s="1269">
        <v>6410</v>
      </c>
      <c r="C108" s="635" t="s">
        <v>418</v>
      </c>
      <c r="D108" s="635"/>
      <c r="E108" s="121">
        <v>120000</v>
      </c>
      <c r="F108" s="121">
        <f>D108+E108</f>
        <v>120000</v>
      </c>
      <c r="G108" s="121"/>
      <c r="H108" s="121"/>
      <c r="I108" s="121"/>
      <c r="J108" s="770"/>
    </row>
    <row r="109" spans="1:10" ht="19.5" customHeight="1">
      <c r="A109" s="151"/>
      <c r="B109" s="83"/>
      <c r="C109" s="694" t="s">
        <v>838</v>
      </c>
      <c r="D109" s="1021"/>
      <c r="E109" s="1021"/>
      <c r="F109" s="1021"/>
      <c r="G109" s="1021">
        <v>120000</v>
      </c>
      <c r="H109" s="1021">
        <f>H110</f>
        <v>120000</v>
      </c>
      <c r="I109" s="1021">
        <f t="shared" si="2"/>
        <v>240000</v>
      </c>
      <c r="J109" s="793"/>
    </row>
    <row r="110" spans="1:10" ht="19.5" customHeight="1">
      <c r="A110" s="151"/>
      <c r="B110" s="83"/>
      <c r="C110" s="905" t="s">
        <v>360</v>
      </c>
      <c r="D110" s="610"/>
      <c r="E110" s="610"/>
      <c r="F110" s="610"/>
      <c r="G110" s="610"/>
      <c r="H110" s="610">
        <f>H111+H113</f>
        <v>120000</v>
      </c>
      <c r="I110" s="610">
        <f t="shared" si="2"/>
        <v>120000</v>
      </c>
      <c r="J110" s="793"/>
    </row>
    <row r="111" spans="1:10" ht="18" customHeight="1">
      <c r="A111" s="115"/>
      <c r="B111" s="125"/>
      <c r="C111" s="396" t="s">
        <v>893</v>
      </c>
      <c r="D111" s="675"/>
      <c r="E111" s="675"/>
      <c r="F111" s="675"/>
      <c r="G111" s="675"/>
      <c r="H111" s="331">
        <v>24000</v>
      </c>
      <c r="I111" s="675">
        <f t="shared" si="2"/>
        <v>24000</v>
      </c>
      <c r="J111" s="793"/>
    </row>
    <row r="112" spans="1:10" ht="19.5" customHeight="1">
      <c r="A112" s="151"/>
      <c r="B112" s="67">
        <v>6050</v>
      </c>
      <c r="C112" s="382" t="s">
        <v>125</v>
      </c>
      <c r="D112" s="869"/>
      <c r="E112" s="869"/>
      <c r="F112" s="869"/>
      <c r="G112" s="869"/>
      <c r="H112" s="1010">
        <f>H111</f>
        <v>24000</v>
      </c>
      <c r="I112" s="869">
        <f t="shared" si="2"/>
        <v>24000</v>
      </c>
      <c r="J112" s="793"/>
    </row>
    <row r="113" spans="1:10" ht="19.5" customHeight="1">
      <c r="A113" s="145"/>
      <c r="B113" s="125"/>
      <c r="C113" s="396" t="s">
        <v>894</v>
      </c>
      <c r="D113" s="675"/>
      <c r="E113" s="675"/>
      <c r="F113" s="675"/>
      <c r="G113" s="1612"/>
      <c r="H113" s="1613">
        <v>96000</v>
      </c>
      <c r="I113" s="675">
        <f t="shared" si="2"/>
        <v>96000</v>
      </c>
      <c r="J113" s="793"/>
    </row>
    <row r="114" spans="1:10" ht="19.5" customHeight="1">
      <c r="A114" s="145"/>
      <c r="B114" s="231">
        <v>6060</v>
      </c>
      <c r="C114" s="232" t="s">
        <v>895</v>
      </c>
      <c r="D114" s="1281"/>
      <c r="E114" s="1281"/>
      <c r="F114" s="1281"/>
      <c r="G114" s="310"/>
      <c r="H114" s="310">
        <f>H113</f>
        <v>96000</v>
      </c>
      <c r="I114" s="1281">
        <f t="shared" si="2"/>
        <v>96000</v>
      </c>
      <c r="J114" s="793"/>
    </row>
    <row r="115" spans="1:10" s="22" customFormat="1" ht="21.75" customHeight="1">
      <c r="A115" s="1022">
        <v>852</v>
      </c>
      <c r="B115" s="57"/>
      <c r="C115" s="520" t="s">
        <v>648</v>
      </c>
      <c r="D115" s="59">
        <v>3467590</v>
      </c>
      <c r="E115" s="59"/>
      <c r="F115" s="59">
        <f>D115+E115</f>
        <v>3467590</v>
      </c>
      <c r="G115" s="59">
        <v>3411590</v>
      </c>
      <c r="H115" s="59">
        <f>H116</f>
        <v>3000</v>
      </c>
      <c r="I115" s="59">
        <f t="shared" si="2"/>
        <v>3414590</v>
      </c>
      <c r="J115" s="99"/>
    </row>
    <row r="116" spans="1:10" ht="19.5" customHeight="1">
      <c r="A116" s="145"/>
      <c r="B116" s="1026">
        <v>85203</v>
      </c>
      <c r="C116" s="75" t="s">
        <v>261</v>
      </c>
      <c r="D116" s="75">
        <v>3203590</v>
      </c>
      <c r="E116" s="121"/>
      <c r="F116" s="1531">
        <f>D116+E116</f>
        <v>3203590</v>
      </c>
      <c r="G116" s="75">
        <v>3147590</v>
      </c>
      <c r="H116" s="75">
        <f>H117</f>
        <v>3000</v>
      </c>
      <c r="I116" s="75">
        <f t="shared" si="2"/>
        <v>3150590</v>
      </c>
      <c r="J116" s="793"/>
    </row>
    <row r="117" spans="1:10" ht="19.5" customHeight="1">
      <c r="A117" s="145"/>
      <c r="B117" s="147"/>
      <c r="C117" s="694" t="s">
        <v>451</v>
      </c>
      <c r="D117" s="1614"/>
      <c r="E117" s="1614"/>
      <c r="F117" s="1614"/>
      <c r="G117" s="1615">
        <v>310000</v>
      </c>
      <c r="H117" s="1615">
        <f>H118</f>
        <v>3000</v>
      </c>
      <c r="I117" s="1614">
        <f t="shared" si="2"/>
        <v>313000</v>
      </c>
      <c r="J117" s="793"/>
    </row>
    <row r="118" spans="1:10" ht="19.5" customHeight="1">
      <c r="A118" s="145"/>
      <c r="B118" s="52"/>
      <c r="C118" s="80" t="s">
        <v>127</v>
      </c>
      <c r="D118" s="80"/>
      <c r="E118" s="80"/>
      <c r="F118" s="80"/>
      <c r="G118" s="1285">
        <v>58787</v>
      </c>
      <c r="H118" s="1285">
        <f>H119</f>
        <v>3000</v>
      </c>
      <c r="I118" s="1285">
        <f t="shared" si="2"/>
        <v>61787</v>
      </c>
      <c r="J118" s="793"/>
    </row>
    <row r="119" spans="1:10" ht="19.5" customHeight="1">
      <c r="A119" s="870"/>
      <c r="B119" s="67">
        <v>4010</v>
      </c>
      <c r="C119" s="68" t="s">
        <v>603</v>
      </c>
      <c r="D119" s="68"/>
      <c r="E119" s="68"/>
      <c r="F119" s="68"/>
      <c r="G119" s="1360">
        <v>55800</v>
      </c>
      <c r="H119" s="1360">
        <v>3000</v>
      </c>
      <c r="I119" s="1360">
        <f t="shared" si="2"/>
        <v>58800</v>
      </c>
      <c r="J119" s="793"/>
    </row>
    <row r="120" spans="1:10" ht="19.5" customHeight="1">
      <c r="A120" s="573">
        <v>853</v>
      </c>
      <c r="B120" s="317"/>
      <c r="C120" s="441" t="s">
        <v>691</v>
      </c>
      <c r="D120" s="1007">
        <v>633654</v>
      </c>
      <c r="E120" s="381">
        <f>E121</f>
        <v>29247</v>
      </c>
      <c r="F120" s="381">
        <f>D120+E120</f>
        <v>662901</v>
      </c>
      <c r="G120" s="381">
        <v>633654</v>
      </c>
      <c r="H120" s="381">
        <f>H121</f>
        <v>29247</v>
      </c>
      <c r="I120" s="381">
        <f t="shared" si="2"/>
        <v>662901</v>
      </c>
      <c r="J120" s="793"/>
    </row>
    <row r="121" spans="1:10" ht="19.5" customHeight="1">
      <c r="A121" s="179"/>
      <c r="B121" s="159">
        <v>85334</v>
      </c>
      <c r="C121" s="160" t="s">
        <v>908</v>
      </c>
      <c r="D121" s="985">
        <v>64654</v>
      </c>
      <c r="E121" s="379">
        <f>E122</f>
        <v>29247</v>
      </c>
      <c r="F121" s="379">
        <f>D121+E121</f>
        <v>93901</v>
      </c>
      <c r="G121" s="379">
        <v>64654</v>
      </c>
      <c r="H121" s="379">
        <f>H125</f>
        <v>29247</v>
      </c>
      <c r="I121" s="379">
        <f t="shared" si="2"/>
        <v>93901</v>
      </c>
      <c r="J121" s="793"/>
    </row>
    <row r="122" spans="1:10" ht="19.5" customHeight="1">
      <c r="A122" s="1361"/>
      <c r="B122" s="159"/>
      <c r="C122" s="1362" t="s">
        <v>909</v>
      </c>
      <c r="D122" s="1365">
        <v>64654</v>
      </c>
      <c r="E122" s="1363">
        <f>E124</f>
        <v>29247</v>
      </c>
      <c r="F122" s="1363">
        <f>D122+E122</f>
        <v>93901</v>
      </c>
      <c r="G122" s="1363"/>
      <c r="H122" s="1363"/>
      <c r="I122" s="1363"/>
      <c r="J122" s="793"/>
    </row>
    <row r="123" spans="1:10" ht="19.5" customHeight="1">
      <c r="A123" s="1616"/>
      <c r="B123" s="1617"/>
      <c r="C123" s="1618"/>
      <c r="D123" s="1619"/>
      <c r="E123" s="1620"/>
      <c r="F123" s="1620"/>
      <c r="G123" s="1620"/>
      <c r="H123" s="1620"/>
      <c r="I123" s="1620"/>
      <c r="J123" s="793"/>
    </row>
    <row r="124" spans="1:10" ht="40.5" customHeight="1">
      <c r="A124" s="70"/>
      <c r="B124" s="184">
        <v>2110</v>
      </c>
      <c r="C124" s="754" t="s">
        <v>888</v>
      </c>
      <c r="D124" s="869">
        <v>64654</v>
      </c>
      <c r="E124" s="121">
        <v>29247</v>
      </c>
      <c r="F124" s="121">
        <f>D124+E124</f>
        <v>93901</v>
      </c>
      <c r="G124" s="121"/>
      <c r="H124" s="121"/>
      <c r="I124" s="121"/>
      <c r="J124" s="793"/>
    </row>
    <row r="125" spans="1:10" ht="19.5" customHeight="1">
      <c r="A125" s="151"/>
      <c r="B125" s="151"/>
      <c r="C125" s="80" t="s">
        <v>910</v>
      </c>
      <c r="D125" s="380"/>
      <c r="E125" s="380"/>
      <c r="F125" s="380"/>
      <c r="G125" s="380">
        <v>64654</v>
      </c>
      <c r="H125" s="380">
        <f>SUM(H126:H127)</f>
        <v>29247</v>
      </c>
      <c r="I125" s="380">
        <f t="shared" si="2"/>
        <v>93901</v>
      </c>
      <c r="J125" s="793"/>
    </row>
    <row r="126" spans="1:10" ht="19.5" customHeight="1">
      <c r="A126" s="145"/>
      <c r="B126" s="231">
        <v>3110</v>
      </c>
      <c r="C126" s="232" t="s">
        <v>320</v>
      </c>
      <c r="D126" s="121"/>
      <c r="E126" s="121"/>
      <c r="F126" s="121"/>
      <c r="G126" s="121">
        <v>17768</v>
      </c>
      <c r="H126" s="310">
        <f>5741+10817+5043+5948</f>
        <v>27549</v>
      </c>
      <c r="I126" s="121">
        <f t="shared" si="2"/>
        <v>45317</v>
      </c>
      <c r="J126" s="793"/>
    </row>
    <row r="127" spans="1:10" ht="19.5" customHeight="1">
      <c r="A127" s="870"/>
      <c r="B127" s="231">
        <v>4300</v>
      </c>
      <c r="C127" s="232" t="s">
        <v>664</v>
      </c>
      <c r="D127" s="121"/>
      <c r="E127" s="121"/>
      <c r="F127" s="121"/>
      <c r="G127" s="121">
        <v>46886</v>
      </c>
      <c r="H127" s="116">
        <v>1698</v>
      </c>
      <c r="I127" s="121">
        <f t="shared" si="2"/>
        <v>48584</v>
      </c>
      <c r="J127" s="793"/>
    </row>
    <row r="128" ht="26.25" customHeight="1"/>
    <row r="129" ht="21" customHeight="1"/>
    <row r="130" spans="3:8" ht="15">
      <c r="C130" s="1" t="s">
        <v>446</v>
      </c>
      <c r="D130" s="22"/>
      <c r="G130" s="1" t="s">
        <v>447</v>
      </c>
      <c r="H130" s="1"/>
    </row>
    <row r="131" spans="3:8" ht="16.5" customHeight="1">
      <c r="C131" s="1634" t="s">
        <v>449</v>
      </c>
      <c r="D131" s="22"/>
      <c r="G131" s="1640" t="s">
        <v>448</v>
      </c>
      <c r="H131" s="1639"/>
    </row>
  </sheetData>
  <mergeCells count="6">
    <mergeCell ref="H7:H8"/>
    <mergeCell ref="I7:I8"/>
    <mergeCell ref="F7:F8"/>
    <mergeCell ref="D7:D8"/>
    <mergeCell ref="G7:G8"/>
    <mergeCell ref="E7:E8"/>
  </mergeCells>
  <printOptions horizontalCentered="1"/>
  <pageMargins left="0.7874015748031497" right="0.51" top="0.83" bottom="0.38" header="0.66" footer="0.18"/>
  <pageSetup firstPageNumber="96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K326"/>
  <sheetViews>
    <sheetView zoomScaleSheetLayoutView="75" workbookViewId="0" topLeftCell="A10">
      <pane ySplit="990" topLeftCell="BM265" activePane="bottomLeft" state="split"/>
      <selection pane="topLeft" activeCell="C10" sqref="C1:C16384"/>
      <selection pane="bottomLeft" activeCell="F283" sqref="F283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57.00390625" style="22" customWidth="1"/>
    <col min="4" max="7" width="20.75390625" style="22" customWidth="1"/>
    <col min="8" max="8" width="11.875" style="22" customWidth="1"/>
    <col min="9" max="9" width="12.375" style="22" customWidth="1"/>
    <col min="10" max="10" width="13.375" style="22" customWidth="1"/>
    <col min="11" max="11" width="11.00390625" style="22" customWidth="1"/>
    <col min="12" max="16384" width="9.125" style="22" customWidth="1"/>
  </cols>
  <sheetData>
    <row r="1" ht="18" customHeight="1">
      <c r="F1" s="49" t="s">
        <v>259</v>
      </c>
    </row>
    <row r="2" ht="18" customHeight="1">
      <c r="F2" s="22" t="s">
        <v>14</v>
      </c>
    </row>
    <row r="3" spans="4:6" ht="18" customHeight="1">
      <c r="D3" s="47"/>
      <c r="F3" s="22" t="s">
        <v>605</v>
      </c>
    </row>
    <row r="4" spans="3:6" ht="18" customHeight="1">
      <c r="C4" s="4" t="s">
        <v>668</v>
      </c>
      <c r="F4" s="22" t="s">
        <v>15</v>
      </c>
    </row>
    <row r="5" ht="18" customHeight="1">
      <c r="C5" s="4"/>
    </row>
    <row r="6" ht="18" customHeight="1">
      <c r="C6" s="4"/>
    </row>
    <row r="7" ht="17.25" customHeight="1" thickBot="1">
      <c r="G7" s="51" t="s">
        <v>606</v>
      </c>
    </row>
    <row r="8" spans="1:7" ht="79.5" customHeight="1" thickBot="1" thickTop="1">
      <c r="A8" s="85" t="s">
        <v>669</v>
      </c>
      <c r="B8" s="85" t="s">
        <v>611</v>
      </c>
      <c r="C8" s="86" t="s">
        <v>738</v>
      </c>
      <c r="D8" s="87" t="s">
        <v>671</v>
      </c>
      <c r="E8" s="86" t="s">
        <v>659</v>
      </c>
      <c r="F8" s="86" t="s">
        <v>660</v>
      </c>
      <c r="G8" s="86" t="s">
        <v>672</v>
      </c>
    </row>
    <row r="9" spans="1:9" ht="18.75" customHeight="1" thickBot="1" thickTop="1">
      <c r="A9" s="16">
        <v>1</v>
      </c>
      <c r="B9" s="16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I9" s="47"/>
    </row>
    <row r="10" spans="1:11" ht="21.75" customHeight="1" thickBot="1" thickTop="1">
      <c r="A10" s="70"/>
      <c r="B10" s="89"/>
      <c r="C10" s="90" t="s">
        <v>625</v>
      </c>
      <c r="D10" s="91">
        <f>D12+D222+D228</f>
        <v>966641222</v>
      </c>
      <c r="E10" s="91">
        <f>E12+E222+E228</f>
        <v>8010148</v>
      </c>
      <c r="F10" s="91">
        <f>F12+F222+F228</f>
        <v>5186321</v>
      </c>
      <c r="G10" s="91">
        <f>D10+F10-E10</f>
        <v>963817395</v>
      </c>
      <c r="H10" s="47"/>
      <c r="I10" s="47"/>
      <c r="J10" s="47"/>
      <c r="K10" s="47"/>
    </row>
    <row r="11" spans="1:9" ht="21" customHeight="1">
      <c r="A11" s="53"/>
      <c r="B11" s="53"/>
      <c r="C11" s="53" t="s">
        <v>626</v>
      </c>
      <c r="D11" s="92"/>
      <c r="E11" s="92"/>
      <c r="F11" s="92"/>
      <c r="G11" s="92"/>
      <c r="H11" s="47"/>
      <c r="I11" s="93"/>
    </row>
    <row r="12" spans="1:11" ht="21" customHeight="1" thickBot="1">
      <c r="A12" s="71"/>
      <c r="B12" s="71"/>
      <c r="C12" s="76" t="s">
        <v>640</v>
      </c>
      <c r="D12" s="73">
        <f>846573418+14000000</f>
        <v>860573418</v>
      </c>
      <c r="E12" s="94">
        <f>E13+E16+E23+E27+E33+E36+E44+E123+E133+E168+E208+E218+E162</f>
        <v>4599590</v>
      </c>
      <c r="F12" s="94">
        <f>F13+F16+F23+F27+F33+F36+F44+F123+F133+F168+F208+F218+F162</f>
        <v>4754178</v>
      </c>
      <c r="G12" s="94">
        <f aca="true" t="shared" si="0" ref="G12:G41">D12+F12-E12</f>
        <v>860728006</v>
      </c>
      <c r="H12" s="47"/>
      <c r="I12" s="47"/>
      <c r="K12" s="47"/>
    </row>
    <row r="13" spans="1:11" ht="19.5" customHeight="1" thickTop="1">
      <c r="A13" s="129" t="s">
        <v>862</v>
      </c>
      <c r="B13" s="74"/>
      <c r="C13" s="74" t="s">
        <v>863</v>
      </c>
      <c r="D13" s="59">
        <v>11000</v>
      </c>
      <c r="E13" s="60"/>
      <c r="F13" s="60">
        <f>F14</f>
        <v>3000</v>
      </c>
      <c r="G13" s="60">
        <f t="shared" si="0"/>
        <v>14000</v>
      </c>
      <c r="H13" s="47"/>
      <c r="I13" s="47"/>
      <c r="K13" s="47"/>
    </row>
    <row r="14" spans="1:11" s="99" customFormat="1" ht="19.5" customHeight="1">
      <c r="A14" s="383"/>
      <c r="B14" s="858" t="s">
        <v>864</v>
      </c>
      <c r="C14" s="62" t="s">
        <v>865</v>
      </c>
      <c r="D14" s="106">
        <v>11000</v>
      </c>
      <c r="E14" s="106"/>
      <c r="F14" s="106">
        <f>F15</f>
        <v>3000</v>
      </c>
      <c r="G14" s="106">
        <f t="shared" si="0"/>
        <v>14000</v>
      </c>
      <c r="H14" s="107"/>
      <c r="I14" s="107"/>
      <c r="K14" s="107"/>
    </row>
    <row r="15" spans="1:11" s="99" customFormat="1" ht="19.5" customHeight="1">
      <c r="A15" s="146"/>
      <c r="B15" s="151"/>
      <c r="C15" s="80" t="s">
        <v>866</v>
      </c>
      <c r="D15" s="714">
        <v>11000</v>
      </c>
      <c r="E15" s="714"/>
      <c r="F15" s="714">
        <v>3000</v>
      </c>
      <c r="G15" s="714">
        <f t="shared" si="0"/>
        <v>14000</v>
      </c>
      <c r="H15" s="107"/>
      <c r="I15" s="107"/>
      <c r="K15" s="107"/>
    </row>
    <row r="16" spans="1:11" ht="19.5" customHeight="1">
      <c r="A16" s="74">
        <v>600</v>
      </c>
      <c r="B16" s="74"/>
      <c r="C16" s="74" t="s">
        <v>644</v>
      </c>
      <c r="D16" s="59">
        <v>141715751</v>
      </c>
      <c r="E16" s="60">
        <f>E17+E20</f>
        <v>809510</v>
      </c>
      <c r="F16" s="60">
        <f>F17+F20</f>
        <v>809510</v>
      </c>
      <c r="G16" s="60">
        <f t="shared" si="0"/>
        <v>141715751</v>
      </c>
      <c r="H16" s="47"/>
      <c r="I16" s="47"/>
      <c r="K16" s="47"/>
    </row>
    <row r="17" spans="1:11" s="99" customFormat="1" ht="19.5" customHeight="1">
      <c r="A17" s="383"/>
      <c r="B17" s="62">
        <v>60015</v>
      </c>
      <c r="C17" s="62" t="s">
        <v>208</v>
      </c>
      <c r="D17" s="106">
        <v>88114856</v>
      </c>
      <c r="E17" s="106">
        <f>SUM(E18:E19)</f>
        <v>291510</v>
      </c>
      <c r="F17" s="106">
        <f>SUM(F18:F19)</f>
        <v>518000</v>
      </c>
      <c r="G17" s="106">
        <f t="shared" si="0"/>
        <v>88341346</v>
      </c>
      <c r="H17" s="107"/>
      <c r="I17" s="107"/>
      <c r="K17" s="107"/>
    </row>
    <row r="18" spans="1:11" s="99" customFormat="1" ht="19.5" customHeight="1">
      <c r="A18" s="146"/>
      <c r="B18" s="151"/>
      <c r="C18" s="80" t="s">
        <v>898</v>
      </c>
      <c r="D18" s="111">
        <v>7833911</v>
      </c>
      <c r="E18" s="111">
        <v>291510</v>
      </c>
      <c r="F18" s="111"/>
      <c r="G18" s="111">
        <f t="shared" si="0"/>
        <v>7542401</v>
      </c>
      <c r="H18" s="107"/>
      <c r="I18" s="107"/>
      <c r="K18" s="107"/>
    </row>
    <row r="19" spans="1:11" s="79" customFormat="1" ht="18.75" customHeight="1">
      <c r="A19" s="65"/>
      <c r="B19" s="52"/>
      <c r="C19" s="438" t="s">
        <v>854</v>
      </c>
      <c r="D19" s="576">
        <v>78732641</v>
      </c>
      <c r="E19" s="439"/>
      <c r="F19" s="439">
        <f>1348000-830000</f>
        <v>518000</v>
      </c>
      <c r="G19" s="439">
        <f t="shared" si="0"/>
        <v>79250641</v>
      </c>
      <c r="H19" s="107"/>
      <c r="I19" s="107"/>
      <c r="K19" s="78"/>
    </row>
    <row r="20" spans="1:11" s="99" customFormat="1" ht="21.75" customHeight="1">
      <c r="A20" s="66"/>
      <c r="B20" s="62">
        <v>60016</v>
      </c>
      <c r="C20" s="62" t="s">
        <v>257</v>
      </c>
      <c r="D20" s="106">
        <v>10817000</v>
      </c>
      <c r="E20" s="106">
        <f>SUM(E21:E22)</f>
        <v>518000</v>
      </c>
      <c r="F20" s="106">
        <f>SUM(F21:F22)</f>
        <v>291510</v>
      </c>
      <c r="G20" s="106">
        <f t="shared" si="0"/>
        <v>10590510</v>
      </c>
      <c r="H20" s="107"/>
      <c r="I20" s="107"/>
      <c r="K20" s="107"/>
    </row>
    <row r="21" spans="1:11" s="99" customFormat="1" ht="21.75" customHeight="1">
      <c r="A21" s="146"/>
      <c r="B21" s="151"/>
      <c r="C21" s="80" t="s">
        <v>898</v>
      </c>
      <c r="D21" s="111">
        <v>3100000</v>
      </c>
      <c r="E21" s="111"/>
      <c r="F21" s="111">
        <f>300000-8490</f>
        <v>291510</v>
      </c>
      <c r="G21" s="111">
        <f t="shared" si="0"/>
        <v>3391510</v>
      </c>
      <c r="H21" s="107"/>
      <c r="I21" s="107"/>
      <c r="K21" s="107"/>
    </row>
    <row r="22" spans="1:11" s="79" customFormat="1" ht="21.75" customHeight="1">
      <c r="A22" s="65"/>
      <c r="B22" s="52"/>
      <c r="C22" s="438" t="s">
        <v>854</v>
      </c>
      <c r="D22" s="1010">
        <v>6588000</v>
      </c>
      <c r="E22" s="1344">
        <v>518000</v>
      </c>
      <c r="F22" s="1344"/>
      <c r="G22" s="1344">
        <f t="shared" si="0"/>
        <v>6070000</v>
      </c>
      <c r="H22" s="107"/>
      <c r="I22" s="107"/>
      <c r="K22" s="78"/>
    </row>
    <row r="23" spans="1:11" ht="21.75" customHeight="1">
      <c r="A23" s="74">
        <v>710</v>
      </c>
      <c r="B23" s="74"/>
      <c r="C23" s="74" t="s">
        <v>258</v>
      </c>
      <c r="D23" s="59">
        <v>2839900</v>
      </c>
      <c r="E23" s="60"/>
      <c r="F23" s="60">
        <f>F24</f>
        <v>26000</v>
      </c>
      <c r="G23" s="60">
        <f t="shared" si="0"/>
        <v>2865900</v>
      </c>
      <c r="H23" s="47"/>
      <c r="I23" s="47"/>
      <c r="K23" s="47"/>
    </row>
    <row r="24" spans="1:11" s="99" customFormat="1" ht="21.75" customHeight="1">
      <c r="A24" s="383"/>
      <c r="B24" s="62">
        <v>71035</v>
      </c>
      <c r="C24" s="62" t="s">
        <v>600</v>
      </c>
      <c r="D24" s="106">
        <v>1928400</v>
      </c>
      <c r="E24" s="106"/>
      <c r="F24" s="106">
        <f>F25</f>
        <v>26000</v>
      </c>
      <c r="G24" s="106">
        <f t="shared" si="0"/>
        <v>1954400</v>
      </c>
      <c r="H24" s="107"/>
      <c r="I24" s="107"/>
      <c r="K24" s="107"/>
    </row>
    <row r="25" spans="1:11" s="99" customFormat="1" ht="21.75" customHeight="1">
      <c r="A25" s="65"/>
      <c r="B25" s="52"/>
      <c r="C25" s="905" t="s">
        <v>739</v>
      </c>
      <c r="D25" s="112">
        <v>750000</v>
      </c>
      <c r="E25" s="112"/>
      <c r="F25" s="112">
        <v>26000</v>
      </c>
      <c r="G25" s="112">
        <f t="shared" si="0"/>
        <v>776000</v>
      </c>
      <c r="H25" s="107"/>
      <c r="I25" s="107"/>
      <c r="K25" s="107"/>
    </row>
    <row r="26" spans="1:11" s="99" customFormat="1" ht="21.75" customHeight="1">
      <c r="A26" s="1332"/>
      <c r="B26" s="1333"/>
      <c r="C26" s="1431"/>
      <c r="D26" s="1432"/>
      <c r="E26" s="1432"/>
      <c r="F26" s="1432"/>
      <c r="G26" s="1432"/>
      <c r="H26" s="107"/>
      <c r="I26" s="107"/>
      <c r="K26" s="107"/>
    </row>
    <row r="27" spans="1:11" ht="21.75" customHeight="1">
      <c r="A27" s="58">
        <v>750</v>
      </c>
      <c r="B27" s="58"/>
      <c r="C27" s="58" t="s">
        <v>651</v>
      </c>
      <c r="D27" s="59">
        <v>66076863</v>
      </c>
      <c r="E27" s="60">
        <f>E28+E31</f>
        <v>700000</v>
      </c>
      <c r="F27" s="60">
        <f>F28+F31</f>
        <v>850000</v>
      </c>
      <c r="G27" s="60">
        <f t="shared" si="0"/>
        <v>66226863</v>
      </c>
      <c r="H27" s="47"/>
      <c r="I27" s="47"/>
      <c r="K27" s="47"/>
    </row>
    <row r="28" spans="1:11" s="99" customFormat="1" ht="21.75" customHeight="1">
      <c r="A28" s="383"/>
      <c r="B28" s="62">
        <v>75023</v>
      </c>
      <c r="C28" s="62" t="s">
        <v>666</v>
      </c>
      <c r="D28" s="106">
        <v>61522685</v>
      </c>
      <c r="E28" s="106">
        <f>SUM(E29:E30)</f>
        <v>700000</v>
      </c>
      <c r="F28" s="106">
        <f>SUM(F29:F30)</f>
        <v>700000</v>
      </c>
      <c r="G28" s="106">
        <f t="shared" si="0"/>
        <v>61522685</v>
      </c>
      <c r="H28" s="107"/>
      <c r="I28" s="107"/>
      <c r="K28" s="107"/>
    </row>
    <row r="29" spans="1:11" s="99" customFormat="1" ht="21.75" customHeight="1">
      <c r="A29" s="65"/>
      <c r="B29" s="52"/>
      <c r="C29" s="860" t="s">
        <v>667</v>
      </c>
      <c r="D29" s="111">
        <v>12351170</v>
      </c>
      <c r="E29" s="111"/>
      <c r="F29" s="111">
        <v>700000</v>
      </c>
      <c r="G29" s="111">
        <f t="shared" si="0"/>
        <v>13051170</v>
      </c>
      <c r="H29" s="107"/>
      <c r="I29" s="107"/>
      <c r="K29" s="107"/>
    </row>
    <row r="30" spans="1:11" s="79" customFormat="1" ht="21.75" customHeight="1">
      <c r="A30" s="65"/>
      <c r="B30" s="52"/>
      <c r="C30" s="438" t="s">
        <v>854</v>
      </c>
      <c r="D30" s="576">
        <v>3102810</v>
      </c>
      <c r="E30" s="439">
        <v>700000</v>
      </c>
      <c r="F30" s="439"/>
      <c r="G30" s="439">
        <f t="shared" si="0"/>
        <v>2402810</v>
      </c>
      <c r="H30" s="107"/>
      <c r="I30" s="107"/>
      <c r="K30" s="78"/>
    </row>
    <row r="31" spans="1:11" s="99" customFormat="1" ht="21.75" customHeight="1">
      <c r="A31" s="66"/>
      <c r="B31" s="62">
        <v>75075</v>
      </c>
      <c r="C31" s="62" t="s">
        <v>514</v>
      </c>
      <c r="D31" s="106">
        <v>2628900</v>
      </c>
      <c r="E31" s="106"/>
      <c r="F31" s="106">
        <v>150000</v>
      </c>
      <c r="G31" s="106">
        <f t="shared" si="0"/>
        <v>2778900</v>
      </c>
      <c r="H31" s="107"/>
      <c r="I31" s="107"/>
      <c r="K31" s="107"/>
    </row>
    <row r="32" spans="1:11" s="99" customFormat="1" ht="21.75" customHeight="1">
      <c r="A32" s="65"/>
      <c r="B32" s="52"/>
      <c r="C32" s="80" t="s">
        <v>800</v>
      </c>
      <c r="D32" s="714">
        <v>2205000</v>
      </c>
      <c r="E32" s="714"/>
      <c r="F32" s="714">
        <v>150000</v>
      </c>
      <c r="G32" s="714">
        <f t="shared" si="0"/>
        <v>2355000</v>
      </c>
      <c r="H32" s="107"/>
      <c r="I32" s="107"/>
      <c r="K32" s="107"/>
    </row>
    <row r="33" spans="1:11" s="33" customFormat="1" ht="21.75" customHeight="1">
      <c r="A33" s="74">
        <v>754</v>
      </c>
      <c r="B33" s="74"/>
      <c r="C33" s="74" t="s">
        <v>9</v>
      </c>
      <c r="D33" s="59">
        <v>7258659</v>
      </c>
      <c r="E33" s="60"/>
      <c r="F33" s="60">
        <f>F34</f>
        <v>44000</v>
      </c>
      <c r="G33" s="60">
        <f t="shared" si="0"/>
        <v>7302659</v>
      </c>
      <c r="H33" s="34"/>
      <c r="I33" s="34"/>
      <c r="K33" s="34"/>
    </row>
    <row r="34" spans="1:11" s="102" customFormat="1" ht="21.75" customHeight="1">
      <c r="A34" s="383"/>
      <c r="B34" s="62">
        <v>75416</v>
      </c>
      <c r="C34" s="62" t="s">
        <v>129</v>
      </c>
      <c r="D34" s="106">
        <v>5445000</v>
      </c>
      <c r="E34" s="106"/>
      <c r="F34" s="106">
        <f>F35</f>
        <v>44000</v>
      </c>
      <c r="G34" s="106">
        <f t="shared" si="0"/>
        <v>5489000</v>
      </c>
      <c r="H34" s="1401"/>
      <c r="I34" s="1401"/>
      <c r="K34" s="1401"/>
    </row>
    <row r="35" spans="1:11" s="102" customFormat="1" ht="21.75" customHeight="1">
      <c r="A35" s="595"/>
      <c r="B35" s="55"/>
      <c r="C35" s="1400" t="s">
        <v>692</v>
      </c>
      <c r="D35" s="714">
        <v>670000</v>
      </c>
      <c r="E35" s="714"/>
      <c r="F35" s="714">
        <v>44000</v>
      </c>
      <c r="G35" s="714">
        <f t="shared" si="0"/>
        <v>714000</v>
      </c>
      <c r="H35" s="1439"/>
      <c r="I35" s="1401"/>
      <c r="K35" s="1401"/>
    </row>
    <row r="36" spans="1:11" ht="21.75" customHeight="1">
      <c r="A36" s="58">
        <v>758</v>
      </c>
      <c r="B36" s="58"/>
      <c r="C36" s="58" t="s">
        <v>642</v>
      </c>
      <c r="D36" s="59">
        <v>6535696</v>
      </c>
      <c r="E36" s="60">
        <f>E37+E40</f>
        <v>1289868</v>
      </c>
      <c r="F36" s="60">
        <f>F37+F40</f>
        <v>432</v>
      </c>
      <c r="G36" s="60">
        <f t="shared" si="0"/>
        <v>5246260</v>
      </c>
      <c r="H36" s="47"/>
      <c r="I36" s="47"/>
      <c r="K36" s="47"/>
    </row>
    <row r="37" spans="1:11" s="99" customFormat="1" ht="21.75" customHeight="1">
      <c r="A37" s="383"/>
      <c r="B37" s="62">
        <v>75818</v>
      </c>
      <c r="C37" s="62" t="s">
        <v>643</v>
      </c>
      <c r="D37" s="106">
        <v>3319698</v>
      </c>
      <c r="E37" s="106">
        <f>SUM(E38:E39)</f>
        <v>1289868</v>
      </c>
      <c r="F37" s="106"/>
      <c r="G37" s="106">
        <f t="shared" si="0"/>
        <v>2029830</v>
      </c>
      <c r="H37" s="107"/>
      <c r="I37" s="107"/>
      <c r="K37" s="107"/>
    </row>
    <row r="38" spans="1:11" s="99" customFormat="1" ht="21.75" customHeight="1">
      <c r="A38" s="65"/>
      <c r="B38" s="52"/>
      <c r="C38" s="80" t="s">
        <v>359</v>
      </c>
      <c r="D38" s="111">
        <v>1690893</v>
      </c>
      <c r="E38" s="111">
        <v>1284086</v>
      </c>
      <c r="F38" s="111"/>
      <c r="G38" s="111">
        <f t="shared" si="0"/>
        <v>406807</v>
      </c>
      <c r="H38" s="107"/>
      <c r="I38" s="107"/>
      <c r="K38" s="107"/>
    </row>
    <row r="39" spans="1:11" s="99" customFormat="1" ht="25.5">
      <c r="A39" s="65"/>
      <c r="B39" s="52"/>
      <c r="C39" s="80" t="s">
        <v>812</v>
      </c>
      <c r="D39" s="188">
        <v>1578805</v>
      </c>
      <c r="E39" s="188">
        <v>5782</v>
      </c>
      <c r="F39" s="188"/>
      <c r="G39" s="188">
        <f t="shared" si="0"/>
        <v>1573023</v>
      </c>
      <c r="H39" s="107"/>
      <c r="I39" s="107"/>
      <c r="K39" s="107"/>
    </row>
    <row r="40" spans="1:11" s="99" customFormat="1" ht="21.75" customHeight="1">
      <c r="A40" s="66"/>
      <c r="B40" s="62">
        <v>75860</v>
      </c>
      <c r="C40" s="62" t="s">
        <v>819</v>
      </c>
      <c r="D40" s="106">
        <v>461214</v>
      </c>
      <c r="E40" s="106"/>
      <c r="F40" s="106">
        <f>F41+F42</f>
        <v>432</v>
      </c>
      <c r="G40" s="106">
        <f t="shared" si="0"/>
        <v>461646</v>
      </c>
      <c r="H40" s="107"/>
      <c r="I40" s="107"/>
      <c r="K40" s="107"/>
    </row>
    <row r="41" spans="1:11" s="99" customFormat="1" ht="29.25" customHeight="1">
      <c r="A41" s="65"/>
      <c r="B41" s="52"/>
      <c r="C41" s="860" t="s">
        <v>869</v>
      </c>
      <c r="D41" s="111">
        <v>76145</v>
      </c>
      <c r="E41" s="111"/>
      <c r="F41" s="111">
        <v>432</v>
      </c>
      <c r="G41" s="111">
        <f t="shared" si="0"/>
        <v>76577</v>
      </c>
      <c r="H41" s="107"/>
      <c r="I41" s="107"/>
      <c r="K41" s="107"/>
    </row>
    <row r="42" spans="1:11" s="99" customFormat="1" ht="28.5" customHeight="1">
      <c r="A42" s="65"/>
      <c r="B42" s="52"/>
      <c r="C42" s="1402" t="s">
        <v>820</v>
      </c>
      <c r="D42" s="1403">
        <v>181500</v>
      </c>
      <c r="E42" s="1403"/>
      <c r="F42" s="1403"/>
      <c r="G42" s="1403">
        <f aca="true" t="shared" si="1" ref="G42:G68">D42+F42-E42</f>
        <v>181500</v>
      </c>
      <c r="H42" s="107"/>
      <c r="I42" s="107"/>
      <c r="K42" s="107"/>
    </row>
    <row r="43" spans="1:11" s="120" customFormat="1" ht="21.75" customHeight="1">
      <c r="A43" s="1359"/>
      <c r="B43" s="67"/>
      <c r="C43" s="68" t="s">
        <v>851</v>
      </c>
      <c r="D43" s="114"/>
      <c r="E43" s="114">
        <f>22560+7520-181</f>
        <v>29899</v>
      </c>
      <c r="F43" s="114"/>
      <c r="G43" s="114">
        <f t="shared" si="1"/>
        <v>-29899</v>
      </c>
      <c r="H43" s="119"/>
      <c r="I43" s="119"/>
      <c r="K43" s="119"/>
    </row>
    <row r="44" spans="1:11" ht="21.75" customHeight="1">
      <c r="A44" s="317">
        <v>801</v>
      </c>
      <c r="B44" s="58"/>
      <c r="C44" s="77" t="s">
        <v>647</v>
      </c>
      <c r="D44" s="59">
        <v>352999290</v>
      </c>
      <c r="E44" s="60">
        <f>E45+E55+E61+E64+E72+E77+E83+E87+E89+E95+E98+E102+E104+E109+E111+E113+E117+E120</f>
        <v>742374</v>
      </c>
      <c r="F44" s="60">
        <f>F45+F55+F61+F64+F72+F77+F83+F87+F89+F95+F98+F102+F104+F109+F111+F113+F117+F120</f>
        <v>1778676</v>
      </c>
      <c r="G44" s="60">
        <f t="shared" si="1"/>
        <v>354035592</v>
      </c>
      <c r="H44" s="47"/>
      <c r="I44" s="47"/>
      <c r="J44" s="47"/>
      <c r="K44" s="47"/>
    </row>
    <row r="45" spans="1:11" s="79" customFormat="1" ht="21.75" customHeight="1">
      <c r="A45" s="61"/>
      <c r="B45" s="63">
        <v>80101</v>
      </c>
      <c r="C45" s="63" t="s">
        <v>202</v>
      </c>
      <c r="D45" s="405">
        <v>99378852</v>
      </c>
      <c r="E45" s="379">
        <f>E46+E47+E50+E51+E53+E54</f>
        <v>515855</v>
      </c>
      <c r="F45" s="379">
        <f>F46+F47+F50+F51+F53+F54</f>
        <v>152913</v>
      </c>
      <c r="G45" s="379">
        <f t="shared" si="1"/>
        <v>99015910</v>
      </c>
      <c r="H45" s="107"/>
      <c r="I45" s="107"/>
      <c r="K45" s="78"/>
    </row>
    <row r="46" spans="1:11" s="79" customFormat="1" ht="21.75" customHeight="1">
      <c r="A46" s="65"/>
      <c r="B46" s="52"/>
      <c r="C46" s="387" t="s">
        <v>348</v>
      </c>
      <c r="D46" s="111">
        <v>57739324</v>
      </c>
      <c r="E46" s="406"/>
      <c r="F46" s="406">
        <v>38570</v>
      </c>
      <c r="G46" s="406">
        <f t="shared" si="1"/>
        <v>57777894</v>
      </c>
      <c r="H46" s="107"/>
      <c r="I46" s="107"/>
      <c r="K46" s="78"/>
    </row>
    <row r="47" spans="1:11" s="79" customFormat="1" ht="21.75" customHeight="1">
      <c r="A47" s="65"/>
      <c r="B47" s="52"/>
      <c r="C47" s="1404" t="s">
        <v>667</v>
      </c>
      <c r="D47" s="1405">
        <v>12587424</v>
      </c>
      <c r="E47" s="1406"/>
      <c r="F47" s="1406">
        <f>109400-10050</f>
        <v>99350</v>
      </c>
      <c r="G47" s="1406">
        <f t="shared" si="1"/>
        <v>12686774</v>
      </c>
      <c r="H47" s="107"/>
      <c r="I47" s="107"/>
      <c r="K47" s="78"/>
    </row>
    <row r="48" spans="1:11" s="79" customFormat="1" ht="21.75" customHeight="1">
      <c r="A48" s="1332"/>
      <c r="B48" s="1333"/>
      <c r="C48" s="1437"/>
      <c r="D48" s="1432"/>
      <c r="E48" s="1438"/>
      <c r="F48" s="1438"/>
      <c r="G48" s="1438"/>
      <c r="H48" s="107"/>
      <c r="I48" s="107"/>
      <c r="K48" s="78"/>
    </row>
    <row r="49" spans="1:11" s="407" customFormat="1" ht="21.75" customHeight="1">
      <c r="A49" s="144"/>
      <c r="B49" s="66"/>
      <c r="C49" s="1440" t="s">
        <v>852</v>
      </c>
      <c r="D49" s="1057">
        <v>1456579</v>
      </c>
      <c r="E49" s="1058"/>
      <c r="F49" s="1058">
        <v>109400</v>
      </c>
      <c r="G49" s="1058">
        <f t="shared" si="1"/>
        <v>1565979</v>
      </c>
      <c r="H49" s="119"/>
      <c r="I49" s="119"/>
      <c r="K49" s="408"/>
    </row>
    <row r="50" spans="1:11" s="79" customFormat="1" ht="21.75" customHeight="1">
      <c r="A50" s="65"/>
      <c r="B50" s="52"/>
      <c r="C50" s="1441" t="s">
        <v>692</v>
      </c>
      <c r="D50" s="1442">
        <v>11216605</v>
      </c>
      <c r="E50" s="1443">
        <f>51220-400</f>
        <v>50820</v>
      </c>
      <c r="F50" s="1443"/>
      <c r="G50" s="1443">
        <f t="shared" si="1"/>
        <v>11165785</v>
      </c>
      <c r="H50" s="107"/>
      <c r="I50" s="107"/>
      <c r="K50" s="78"/>
    </row>
    <row r="51" spans="1:11" s="79" customFormat="1" ht="21.75" customHeight="1">
      <c r="A51" s="65"/>
      <c r="B51" s="52"/>
      <c r="C51" s="438" t="s">
        <v>346</v>
      </c>
      <c r="D51" s="576">
        <v>402009</v>
      </c>
      <c r="E51" s="439"/>
      <c r="F51" s="439">
        <v>14564</v>
      </c>
      <c r="G51" s="439">
        <f t="shared" si="1"/>
        <v>416573</v>
      </c>
      <c r="H51" s="107"/>
      <c r="I51" s="107"/>
      <c r="K51" s="78"/>
    </row>
    <row r="52" spans="1:11" s="79" customFormat="1" ht="21.75" customHeight="1">
      <c r="A52" s="65"/>
      <c r="B52" s="52"/>
      <c r="C52" s="1410" t="s">
        <v>853</v>
      </c>
      <c r="D52" s="1057">
        <v>313614</v>
      </c>
      <c r="E52" s="1058"/>
      <c r="F52" s="1058">
        <v>14398</v>
      </c>
      <c r="G52" s="1057">
        <f t="shared" si="1"/>
        <v>328012</v>
      </c>
      <c r="H52" s="107"/>
      <c r="I52" s="107"/>
      <c r="K52" s="78"/>
    </row>
    <row r="53" spans="1:11" s="79" customFormat="1" ht="21.75" customHeight="1">
      <c r="A53" s="65"/>
      <c r="B53" s="52"/>
      <c r="C53" s="438" t="s">
        <v>918</v>
      </c>
      <c r="D53" s="576">
        <v>41600</v>
      </c>
      <c r="E53" s="439"/>
      <c r="F53" s="439">
        <v>429</v>
      </c>
      <c r="G53" s="439">
        <f t="shared" si="1"/>
        <v>42029</v>
      </c>
      <c r="H53" s="107"/>
      <c r="I53" s="107"/>
      <c r="K53" s="78"/>
    </row>
    <row r="54" spans="1:11" s="79" customFormat="1" ht="21.75" customHeight="1">
      <c r="A54" s="65"/>
      <c r="B54" s="55"/>
      <c r="C54" s="872" t="s">
        <v>854</v>
      </c>
      <c r="D54" s="1010">
        <v>16120343</v>
      </c>
      <c r="E54" s="1344">
        <f>470035-5000</f>
        <v>465035</v>
      </c>
      <c r="F54" s="1344"/>
      <c r="G54" s="1344">
        <f t="shared" si="1"/>
        <v>15655308</v>
      </c>
      <c r="H54" s="107"/>
      <c r="I54" s="107"/>
      <c r="K54" s="78"/>
    </row>
    <row r="55" spans="1:11" s="79" customFormat="1" ht="21.75" customHeight="1">
      <c r="A55" s="61"/>
      <c r="B55" s="63">
        <v>80102</v>
      </c>
      <c r="C55" s="63" t="s">
        <v>271</v>
      </c>
      <c r="D55" s="405">
        <v>6632700</v>
      </c>
      <c r="E55" s="379">
        <f>E56+E57+E58+E59</f>
        <v>1870</v>
      </c>
      <c r="F55" s="379">
        <f>F56+F57+F58+F59</f>
        <v>94072</v>
      </c>
      <c r="G55" s="379">
        <f t="shared" si="1"/>
        <v>6724902</v>
      </c>
      <c r="H55" s="107"/>
      <c r="I55" s="107"/>
      <c r="K55" s="78"/>
    </row>
    <row r="56" spans="1:11" s="79" customFormat="1" ht="21.75" customHeight="1">
      <c r="A56" s="65"/>
      <c r="B56" s="52"/>
      <c r="C56" s="387" t="s">
        <v>348</v>
      </c>
      <c r="D56" s="111">
        <v>5118840</v>
      </c>
      <c r="E56" s="406"/>
      <c r="F56" s="406">
        <v>82840</v>
      </c>
      <c r="G56" s="406">
        <f t="shared" si="1"/>
        <v>5201680</v>
      </c>
      <c r="H56" s="107"/>
      <c r="I56" s="107"/>
      <c r="K56" s="78"/>
    </row>
    <row r="57" spans="1:11" s="79" customFormat="1" ht="21.75" customHeight="1">
      <c r="A57" s="65"/>
      <c r="B57" s="52"/>
      <c r="C57" s="1404" t="s">
        <v>667</v>
      </c>
      <c r="D57" s="1405">
        <v>496900</v>
      </c>
      <c r="E57" s="1406">
        <v>1870</v>
      </c>
      <c r="F57" s="1406"/>
      <c r="G57" s="1406">
        <f t="shared" si="1"/>
        <v>495030</v>
      </c>
      <c r="H57" s="107"/>
      <c r="I57" s="107"/>
      <c r="K57" s="78"/>
    </row>
    <row r="58" spans="1:11" s="79" customFormat="1" ht="21.75" customHeight="1">
      <c r="A58" s="65"/>
      <c r="B58" s="52"/>
      <c r="C58" s="1407" t="s">
        <v>692</v>
      </c>
      <c r="D58" s="1408">
        <v>1016960</v>
      </c>
      <c r="E58" s="1409"/>
      <c r="F58" s="1409">
        <v>9770</v>
      </c>
      <c r="G58" s="1409">
        <f t="shared" si="1"/>
        <v>1026730</v>
      </c>
      <c r="H58" s="107"/>
      <c r="I58" s="107"/>
      <c r="K58" s="78"/>
    </row>
    <row r="59" spans="1:11" s="79" customFormat="1" ht="21.75" customHeight="1">
      <c r="A59" s="65"/>
      <c r="B59" s="52"/>
      <c r="C59" s="1407" t="s">
        <v>427</v>
      </c>
      <c r="D59" s="1408"/>
      <c r="E59" s="1409"/>
      <c r="F59" s="1409">
        <v>1462</v>
      </c>
      <c r="G59" s="1409">
        <f t="shared" si="1"/>
        <v>1462</v>
      </c>
      <c r="H59" s="107"/>
      <c r="I59" s="107"/>
      <c r="K59" s="78"/>
    </row>
    <row r="60" spans="1:11" s="79" customFormat="1" ht="21.75" customHeight="1">
      <c r="A60" s="65"/>
      <c r="B60" s="55"/>
      <c r="C60" s="68" t="s">
        <v>853</v>
      </c>
      <c r="D60" s="114"/>
      <c r="E60" s="395"/>
      <c r="F60" s="395">
        <v>1219</v>
      </c>
      <c r="G60" s="114">
        <f t="shared" si="1"/>
        <v>1219</v>
      </c>
      <c r="H60" s="107"/>
      <c r="I60" s="107"/>
      <c r="K60" s="78"/>
    </row>
    <row r="61" spans="1:11" s="79" customFormat="1" ht="21.75" customHeight="1">
      <c r="A61" s="61"/>
      <c r="B61" s="63">
        <v>80103</v>
      </c>
      <c r="C61" s="63" t="s">
        <v>270</v>
      </c>
      <c r="D61" s="405">
        <v>1729596</v>
      </c>
      <c r="E61" s="379">
        <f>SUM(E62:E63)</f>
        <v>17560</v>
      </c>
      <c r="F61" s="379"/>
      <c r="G61" s="379">
        <f t="shared" si="1"/>
        <v>1712036</v>
      </c>
      <c r="H61" s="107"/>
      <c r="I61" s="107"/>
      <c r="K61" s="78"/>
    </row>
    <row r="62" spans="1:11" s="79" customFormat="1" ht="21.75" customHeight="1">
      <c r="A62" s="65"/>
      <c r="B62" s="52"/>
      <c r="C62" s="387" t="s">
        <v>348</v>
      </c>
      <c r="D62" s="111">
        <v>1301304</v>
      </c>
      <c r="E62" s="406">
        <v>12200</v>
      </c>
      <c r="F62" s="406"/>
      <c r="G62" s="406">
        <f t="shared" si="1"/>
        <v>1289104</v>
      </c>
      <c r="H62" s="107"/>
      <c r="I62" s="107"/>
      <c r="K62" s="78"/>
    </row>
    <row r="63" spans="1:11" s="79" customFormat="1" ht="21.75" customHeight="1">
      <c r="A63" s="65"/>
      <c r="B63" s="52"/>
      <c r="C63" s="1404" t="s">
        <v>692</v>
      </c>
      <c r="D63" s="1405">
        <v>267532</v>
      </c>
      <c r="E63" s="1406">
        <v>5360</v>
      </c>
      <c r="F63" s="1406"/>
      <c r="G63" s="1406">
        <f t="shared" si="1"/>
        <v>262172</v>
      </c>
      <c r="H63" s="107"/>
      <c r="I63" s="107"/>
      <c r="K63" s="78"/>
    </row>
    <row r="64" spans="1:11" s="99" customFormat="1" ht="21.75" customHeight="1">
      <c r="A64" s="61"/>
      <c r="B64" s="62">
        <v>80104</v>
      </c>
      <c r="C64" s="62" t="s">
        <v>694</v>
      </c>
      <c r="D64" s="106">
        <v>49797890</v>
      </c>
      <c r="E64" s="106"/>
      <c r="F64" s="106">
        <f>F65+F66+F68+F69</f>
        <v>989456</v>
      </c>
      <c r="G64" s="106">
        <f t="shared" si="1"/>
        <v>50787346</v>
      </c>
      <c r="H64" s="107"/>
      <c r="I64" s="107"/>
      <c r="K64" s="107"/>
    </row>
    <row r="65" spans="1:11" s="79" customFormat="1" ht="21.75" customHeight="1">
      <c r="A65" s="65"/>
      <c r="B65" s="52"/>
      <c r="C65" s="387" t="s">
        <v>348</v>
      </c>
      <c r="D65" s="111">
        <v>30979471</v>
      </c>
      <c r="E65" s="406"/>
      <c r="F65" s="406">
        <v>500000</v>
      </c>
      <c r="G65" s="406">
        <f t="shared" si="1"/>
        <v>31479471</v>
      </c>
      <c r="H65" s="107"/>
      <c r="I65" s="107"/>
      <c r="K65" s="78"/>
    </row>
    <row r="66" spans="1:11" s="79" customFormat="1" ht="21.75" customHeight="1">
      <c r="A66" s="65"/>
      <c r="B66" s="52"/>
      <c r="C66" s="1404" t="s">
        <v>667</v>
      </c>
      <c r="D66" s="1405">
        <v>6915117</v>
      </c>
      <c r="E66" s="1406"/>
      <c r="F66" s="1406">
        <f>278495-2345</f>
        <v>276150</v>
      </c>
      <c r="G66" s="1406">
        <f t="shared" si="1"/>
        <v>7191267</v>
      </c>
      <c r="H66" s="107"/>
      <c r="I66" s="107"/>
      <c r="K66" s="78"/>
    </row>
    <row r="67" spans="1:11" s="79" customFormat="1" ht="21.75" customHeight="1">
      <c r="A67" s="65"/>
      <c r="B67" s="52"/>
      <c r="C67" s="1411" t="s">
        <v>852</v>
      </c>
      <c r="D67" s="1051">
        <v>583877</v>
      </c>
      <c r="E67" s="1052"/>
      <c r="F67" s="1052">
        <v>174563</v>
      </c>
      <c r="G67" s="1051">
        <f t="shared" si="1"/>
        <v>758440</v>
      </c>
      <c r="H67" s="107"/>
      <c r="I67" s="107"/>
      <c r="K67" s="78"/>
    </row>
    <row r="68" spans="1:11" s="79" customFormat="1" ht="21.75" customHeight="1">
      <c r="A68" s="65"/>
      <c r="B68" s="52"/>
      <c r="C68" s="438" t="s">
        <v>692</v>
      </c>
      <c r="D68" s="576">
        <v>5890117</v>
      </c>
      <c r="E68" s="439"/>
      <c r="F68" s="439">
        <v>188000</v>
      </c>
      <c r="G68" s="439">
        <f t="shared" si="1"/>
        <v>6078117</v>
      </c>
      <c r="H68" s="107"/>
      <c r="I68" s="107"/>
      <c r="K68" s="78"/>
    </row>
    <row r="69" spans="1:11" s="79" customFormat="1" ht="21.75" customHeight="1">
      <c r="A69" s="65"/>
      <c r="B69" s="52"/>
      <c r="C69" s="1435" t="s">
        <v>854</v>
      </c>
      <c r="D69" s="188">
        <v>1349155</v>
      </c>
      <c r="E69" s="1041"/>
      <c r="F69" s="1041">
        <f>25456-150</f>
        <v>25306</v>
      </c>
      <c r="G69" s="1041">
        <f aca="true" t="shared" si="2" ref="G69:G100">D69+F69-E69</f>
        <v>1374461</v>
      </c>
      <c r="H69" s="107"/>
      <c r="I69" s="107"/>
      <c r="K69" s="78"/>
    </row>
    <row r="70" spans="1:11" s="79" customFormat="1" ht="21.75" customHeight="1">
      <c r="A70" s="1332"/>
      <c r="B70" s="1333"/>
      <c r="C70" s="1437"/>
      <c r="D70" s="1432"/>
      <c r="E70" s="1438"/>
      <c r="F70" s="1438"/>
      <c r="G70" s="1438"/>
      <c r="H70" s="107"/>
      <c r="I70" s="107"/>
      <c r="K70" s="78"/>
    </row>
    <row r="71" spans="1:11" s="79" customFormat="1" ht="21.75" customHeight="1">
      <c r="A71" s="1433"/>
      <c r="B71" s="33"/>
      <c r="C71" s="1444"/>
      <c r="D71" s="1434"/>
      <c r="E71" s="1445"/>
      <c r="F71" s="1445"/>
      <c r="G71" s="1445"/>
      <c r="H71" s="107"/>
      <c r="I71" s="107"/>
      <c r="K71" s="78"/>
    </row>
    <row r="72" spans="1:11" s="79" customFormat="1" ht="21.75" customHeight="1">
      <c r="A72" s="61"/>
      <c r="B72" s="63">
        <v>80105</v>
      </c>
      <c r="C72" s="63" t="s">
        <v>272</v>
      </c>
      <c r="D72" s="405">
        <v>1708160</v>
      </c>
      <c r="E72" s="379">
        <f>E73+E74+E76</f>
        <v>100</v>
      </c>
      <c r="F72" s="379">
        <f>F73+F74+F76</f>
        <v>51400</v>
      </c>
      <c r="G72" s="379">
        <f t="shared" si="2"/>
        <v>1759460</v>
      </c>
      <c r="H72" s="107"/>
      <c r="I72" s="107"/>
      <c r="K72" s="78"/>
    </row>
    <row r="73" spans="1:11" s="79" customFormat="1" ht="21.75" customHeight="1">
      <c r="A73" s="65"/>
      <c r="B73" s="52"/>
      <c r="C73" s="387" t="s">
        <v>348</v>
      </c>
      <c r="D73" s="111">
        <v>1266900</v>
      </c>
      <c r="E73" s="406"/>
      <c r="F73" s="406">
        <v>21400</v>
      </c>
      <c r="G73" s="406">
        <f t="shared" si="2"/>
        <v>1288300</v>
      </c>
      <c r="H73" s="107"/>
      <c r="I73" s="107"/>
      <c r="K73" s="78"/>
    </row>
    <row r="74" spans="1:11" s="79" customFormat="1" ht="21.75" customHeight="1">
      <c r="A74" s="65"/>
      <c r="B74" s="52"/>
      <c r="C74" s="1404" t="s">
        <v>667</v>
      </c>
      <c r="D74" s="1405">
        <v>185500</v>
      </c>
      <c r="E74" s="1406"/>
      <c r="F74" s="1406">
        <v>30000</v>
      </c>
      <c r="G74" s="1406">
        <f t="shared" si="2"/>
        <v>215500</v>
      </c>
      <c r="H74" s="107"/>
      <c r="I74" s="107"/>
      <c r="K74" s="78"/>
    </row>
    <row r="75" spans="1:11" s="79" customFormat="1" ht="21.75" customHeight="1">
      <c r="A75" s="65"/>
      <c r="B75" s="52"/>
      <c r="C75" s="1411" t="s">
        <v>852</v>
      </c>
      <c r="D75" s="1051">
        <v>30000</v>
      </c>
      <c r="E75" s="1052"/>
      <c r="F75" s="1052">
        <v>30000</v>
      </c>
      <c r="G75" s="1051">
        <f t="shared" si="2"/>
        <v>60000</v>
      </c>
      <c r="H75" s="107"/>
      <c r="I75" s="107"/>
      <c r="K75" s="78"/>
    </row>
    <row r="76" spans="1:11" s="79" customFormat="1" ht="21.75" customHeight="1">
      <c r="A76" s="65"/>
      <c r="B76" s="55"/>
      <c r="C76" s="872" t="s">
        <v>692</v>
      </c>
      <c r="D76" s="1010">
        <v>255760</v>
      </c>
      <c r="E76" s="1344">
        <v>100</v>
      </c>
      <c r="F76" s="1344"/>
      <c r="G76" s="1344">
        <f t="shared" si="2"/>
        <v>255660</v>
      </c>
      <c r="H76" s="107"/>
      <c r="I76" s="107"/>
      <c r="K76" s="78"/>
    </row>
    <row r="77" spans="1:11" s="79" customFormat="1" ht="21.75" customHeight="1">
      <c r="A77" s="61"/>
      <c r="B77" s="63">
        <v>80110</v>
      </c>
      <c r="C77" s="63" t="s">
        <v>203</v>
      </c>
      <c r="D77" s="405">
        <v>55740444</v>
      </c>
      <c r="E77" s="379">
        <f>E78+E79+E81+E82</f>
        <v>5000</v>
      </c>
      <c r="F77" s="379">
        <f>F78+F79+F81+F82</f>
        <v>242692</v>
      </c>
      <c r="G77" s="379">
        <f t="shared" si="2"/>
        <v>55978136</v>
      </c>
      <c r="H77" s="107"/>
      <c r="I77" s="107"/>
      <c r="K77" s="78"/>
    </row>
    <row r="78" spans="1:11" s="79" customFormat="1" ht="21.75" customHeight="1">
      <c r="A78" s="65"/>
      <c r="B78" s="52"/>
      <c r="C78" s="387" t="s">
        <v>348</v>
      </c>
      <c r="D78" s="111">
        <v>35546840</v>
      </c>
      <c r="E78" s="406"/>
      <c r="F78" s="406">
        <f>119845-8650</f>
        <v>111195</v>
      </c>
      <c r="G78" s="406">
        <f t="shared" si="2"/>
        <v>35658035</v>
      </c>
      <c r="H78" s="107"/>
      <c r="I78" s="107"/>
      <c r="K78" s="78"/>
    </row>
    <row r="79" spans="1:11" s="79" customFormat="1" ht="21.75" customHeight="1">
      <c r="A79" s="65"/>
      <c r="B79" s="52"/>
      <c r="C79" s="1404" t="s">
        <v>667</v>
      </c>
      <c r="D79" s="1405">
        <v>7203099</v>
      </c>
      <c r="E79" s="1406"/>
      <c r="F79" s="1406">
        <f>130297-1100</f>
        <v>129197</v>
      </c>
      <c r="G79" s="1406">
        <f t="shared" si="2"/>
        <v>7332296</v>
      </c>
      <c r="H79" s="107"/>
      <c r="I79" s="107"/>
      <c r="K79" s="78"/>
    </row>
    <row r="80" spans="1:11" s="79" customFormat="1" ht="21.75" customHeight="1">
      <c r="A80" s="65"/>
      <c r="B80" s="52"/>
      <c r="C80" s="1411" t="s">
        <v>852</v>
      </c>
      <c r="D80" s="1051">
        <v>1150332</v>
      </c>
      <c r="E80" s="1052"/>
      <c r="F80" s="1052">
        <v>71000</v>
      </c>
      <c r="G80" s="1051">
        <f t="shared" si="2"/>
        <v>1221332</v>
      </c>
      <c r="H80" s="107"/>
      <c r="I80" s="107"/>
      <c r="K80" s="78"/>
    </row>
    <row r="81" spans="1:11" s="79" customFormat="1" ht="21.75" customHeight="1">
      <c r="A81" s="65"/>
      <c r="B81" s="52"/>
      <c r="C81" s="438" t="s">
        <v>692</v>
      </c>
      <c r="D81" s="576">
        <v>6973950</v>
      </c>
      <c r="E81" s="439"/>
      <c r="F81" s="439">
        <f>3000-700</f>
        <v>2300</v>
      </c>
      <c r="G81" s="439">
        <f t="shared" si="2"/>
        <v>6976250</v>
      </c>
      <c r="H81" s="107"/>
      <c r="I81" s="107"/>
      <c r="K81" s="78"/>
    </row>
    <row r="82" spans="1:11" s="79" customFormat="1" ht="21.75" customHeight="1">
      <c r="A82" s="65"/>
      <c r="B82" s="55"/>
      <c r="C82" s="872" t="s">
        <v>854</v>
      </c>
      <c r="D82" s="1010">
        <v>2790561</v>
      </c>
      <c r="E82" s="1344">
        <v>5000</v>
      </c>
      <c r="F82" s="1344"/>
      <c r="G82" s="1344">
        <f t="shared" si="2"/>
        <v>2785561</v>
      </c>
      <c r="H82" s="107"/>
      <c r="I82" s="107"/>
      <c r="K82" s="78"/>
    </row>
    <row r="83" spans="1:11" s="79" customFormat="1" ht="21.75" customHeight="1">
      <c r="A83" s="61"/>
      <c r="B83" s="63">
        <v>80111</v>
      </c>
      <c r="C83" s="63" t="s">
        <v>283</v>
      </c>
      <c r="D83" s="405">
        <v>4622500</v>
      </c>
      <c r="E83" s="379">
        <f>SUM(E84:E86)</f>
        <v>3800</v>
      </c>
      <c r="F83" s="379">
        <f>SUM(F84:F86)</f>
        <v>14900</v>
      </c>
      <c r="G83" s="379">
        <f t="shared" si="2"/>
        <v>4633600</v>
      </c>
      <c r="H83" s="107"/>
      <c r="I83" s="107"/>
      <c r="K83" s="78"/>
    </row>
    <row r="84" spans="1:11" s="79" customFormat="1" ht="21.75" customHeight="1">
      <c r="A84" s="65"/>
      <c r="B84" s="52"/>
      <c r="C84" s="387" t="s">
        <v>348</v>
      </c>
      <c r="D84" s="111">
        <v>3575200</v>
      </c>
      <c r="E84" s="406"/>
      <c r="F84" s="406">
        <f>15000-100</f>
        <v>14900</v>
      </c>
      <c r="G84" s="406">
        <f t="shared" si="2"/>
        <v>3590100</v>
      </c>
      <c r="H84" s="107"/>
      <c r="I84" s="107"/>
      <c r="K84" s="78"/>
    </row>
    <row r="85" spans="1:11" s="79" customFormat="1" ht="21.75" customHeight="1">
      <c r="A85" s="65"/>
      <c r="B85" s="52"/>
      <c r="C85" s="1404" t="s">
        <v>667</v>
      </c>
      <c r="D85" s="1405">
        <v>351400</v>
      </c>
      <c r="E85" s="1406">
        <v>2000</v>
      </c>
      <c r="F85" s="1406"/>
      <c r="G85" s="1406">
        <f t="shared" si="2"/>
        <v>349400</v>
      </c>
      <c r="H85" s="107"/>
      <c r="I85" s="107"/>
      <c r="K85" s="78"/>
    </row>
    <row r="86" spans="1:11" s="79" customFormat="1" ht="21.75" customHeight="1">
      <c r="A86" s="65"/>
      <c r="B86" s="55"/>
      <c r="C86" s="1412" t="s">
        <v>692</v>
      </c>
      <c r="D86" s="1413">
        <v>695900</v>
      </c>
      <c r="E86" s="1414">
        <v>1800</v>
      </c>
      <c r="F86" s="1414"/>
      <c r="G86" s="1414">
        <f t="shared" si="2"/>
        <v>694100</v>
      </c>
      <c r="H86" s="107"/>
      <c r="I86" s="107"/>
      <c r="K86" s="78"/>
    </row>
    <row r="87" spans="1:11" s="79" customFormat="1" ht="21.75" customHeight="1">
      <c r="A87" s="61"/>
      <c r="B87" s="63">
        <v>80113</v>
      </c>
      <c r="C87" s="63" t="s">
        <v>284</v>
      </c>
      <c r="D87" s="405">
        <v>578084</v>
      </c>
      <c r="E87" s="379">
        <f>E88</f>
        <v>35237</v>
      </c>
      <c r="F87" s="379"/>
      <c r="G87" s="379">
        <f t="shared" si="2"/>
        <v>542847</v>
      </c>
      <c r="H87" s="107"/>
      <c r="I87" s="107"/>
      <c r="K87" s="78"/>
    </row>
    <row r="88" spans="1:11" s="79" customFormat="1" ht="21.75" customHeight="1">
      <c r="A88" s="65"/>
      <c r="B88" s="333"/>
      <c r="C88" s="387" t="s">
        <v>502</v>
      </c>
      <c r="D88" s="111">
        <v>578084</v>
      </c>
      <c r="E88" s="406">
        <v>35237</v>
      </c>
      <c r="F88" s="406"/>
      <c r="G88" s="406">
        <f t="shared" si="2"/>
        <v>542847</v>
      </c>
      <c r="H88" s="107"/>
      <c r="I88" s="107"/>
      <c r="K88" s="78"/>
    </row>
    <row r="89" spans="1:11" s="79" customFormat="1" ht="21.75" customHeight="1">
      <c r="A89" s="61"/>
      <c r="B89" s="62">
        <v>80120</v>
      </c>
      <c r="C89" s="62" t="s">
        <v>204</v>
      </c>
      <c r="D89" s="106">
        <v>51169843</v>
      </c>
      <c r="E89" s="64">
        <f>E90+E91+E93</f>
        <v>60466</v>
      </c>
      <c r="F89" s="64">
        <f>F90+F91+F93</f>
        <v>49032</v>
      </c>
      <c r="G89" s="64">
        <f t="shared" si="2"/>
        <v>51158409</v>
      </c>
      <c r="H89" s="107"/>
      <c r="I89" s="107"/>
      <c r="K89" s="78"/>
    </row>
    <row r="90" spans="1:11" s="79" customFormat="1" ht="21.75" customHeight="1">
      <c r="A90" s="65"/>
      <c r="B90" s="52"/>
      <c r="C90" s="387" t="s">
        <v>348</v>
      </c>
      <c r="D90" s="111">
        <v>32617120</v>
      </c>
      <c r="E90" s="406">
        <v>53464</v>
      </c>
      <c r="F90" s="406"/>
      <c r="G90" s="406">
        <f t="shared" si="2"/>
        <v>32563656</v>
      </c>
      <c r="H90" s="107"/>
      <c r="I90" s="107"/>
      <c r="K90" s="78"/>
    </row>
    <row r="91" spans="1:11" s="79" customFormat="1" ht="21.75" customHeight="1">
      <c r="A91" s="65"/>
      <c r="B91" s="52"/>
      <c r="C91" s="1404" t="s">
        <v>667</v>
      </c>
      <c r="D91" s="1405">
        <v>5978361</v>
      </c>
      <c r="E91" s="1406"/>
      <c r="F91" s="1406">
        <f>51270-2238</f>
        <v>49032</v>
      </c>
      <c r="G91" s="1406">
        <f t="shared" si="2"/>
        <v>6027393</v>
      </c>
      <c r="H91" s="107"/>
      <c r="I91" s="107"/>
      <c r="K91" s="78"/>
    </row>
    <row r="92" spans="1:11" s="79" customFormat="1" ht="21.75" customHeight="1">
      <c r="A92" s="65"/>
      <c r="B92" s="52"/>
      <c r="C92" s="1411" t="s">
        <v>852</v>
      </c>
      <c r="D92" s="1051">
        <v>971119</v>
      </c>
      <c r="E92" s="1052"/>
      <c r="F92" s="1052">
        <f>26740+3300</f>
        <v>30040</v>
      </c>
      <c r="G92" s="1051">
        <f t="shared" si="2"/>
        <v>1001159</v>
      </c>
      <c r="H92" s="107"/>
      <c r="I92" s="107"/>
      <c r="K92" s="78"/>
    </row>
    <row r="93" spans="1:11" s="79" customFormat="1" ht="21.75" customHeight="1">
      <c r="A93" s="65"/>
      <c r="B93" s="52"/>
      <c r="C93" s="1435" t="s">
        <v>692</v>
      </c>
      <c r="D93" s="188">
        <v>6393542</v>
      </c>
      <c r="E93" s="1041">
        <v>7002</v>
      </c>
      <c r="F93" s="1041"/>
      <c r="G93" s="1041">
        <f t="shared" si="2"/>
        <v>6386540</v>
      </c>
      <c r="H93" s="107"/>
      <c r="I93" s="107"/>
      <c r="K93" s="78"/>
    </row>
    <row r="94" spans="1:11" s="79" customFormat="1" ht="21.75" customHeight="1">
      <c r="A94" s="1332"/>
      <c r="B94" s="1333"/>
      <c r="C94" s="1437"/>
      <c r="D94" s="1432"/>
      <c r="E94" s="1438"/>
      <c r="F94" s="1438"/>
      <c r="G94" s="1438"/>
      <c r="H94" s="107"/>
      <c r="I94" s="107"/>
      <c r="K94" s="78"/>
    </row>
    <row r="95" spans="1:11" s="99" customFormat="1" ht="21.75" customHeight="1">
      <c r="A95" s="61"/>
      <c r="B95" s="63">
        <v>80121</v>
      </c>
      <c r="C95" s="63" t="s">
        <v>285</v>
      </c>
      <c r="D95" s="405">
        <v>878210</v>
      </c>
      <c r="E95" s="405">
        <f>SUM(E96:E97)</f>
        <v>1700</v>
      </c>
      <c r="F95" s="405">
        <f>SUM(F96:F97)</f>
        <v>15000</v>
      </c>
      <c r="G95" s="405">
        <f t="shared" si="2"/>
        <v>891510</v>
      </c>
      <c r="H95" s="107"/>
      <c r="I95" s="107"/>
      <c r="K95" s="107"/>
    </row>
    <row r="96" spans="1:11" s="79" customFormat="1" ht="21.75" customHeight="1">
      <c r="A96" s="65"/>
      <c r="B96" s="52"/>
      <c r="C96" s="387" t="s">
        <v>348</v>
      </c>
      <c r="D96" s="111">
        <v>657200</v>
      </c>
      <c r="E96" s="406"/>
      <c r="F96" s="406">
        <v>15000</v>
      </c>
      <c r="G96" s="406">
        <f t="shared" si="2"/>
        <v>672200</v>
      </c>
      <c r="H96" s="107"/>
      <c r="I96" s="107"/>
      <c r="K96" s="78"/>
    </row>
    <row r="97" spans="1:11" s="79" customFormat="1" ht="21.75" customHeight="1">
      <c r="A97" s="65"/>
      <c r="B97" s="52"/>
      <c r="C97" s="1404" t="s">
        <v>667</v>
      </c>
      <c r="D97" s="1405">
        <v>85500</v>
      </c>
      <c r="E97" s="1406">
        <v>1700</v>
      </c>
      <c r="F97" s="1406"/>
      <c r="G97" s="1406">
        <f t="shared" si="2"/>
        <v>83800</v>
      </c>
      <c r="H97" s="107"/>
      <c r="I97" s="107"/>
      <c r="K97" s="78"/>
    </row>
    <row r="98" spans="1:11" s="99" customFormat="1" ht="21.75" customHeight="1">
      <c r="A98" s="61"/>
      <c r="B98" s="62">
        <v>80123</v>
      </c>
      <c r="C98" s="62" t="s">
        <v>286</v>
      </c>
      <c r="D98" s="106">
        <v>8788031</v>
      </c>
      <c r="E98" s="106">
        <f>SUM(E99:E101)</f>
        <v>4364</v>
      </c>
      <c r="F98" s="106"/>
      <c r="G98" s="106">
        <f t="shared" si="2"/>
        <v>8783667</v>
      </c>
      <c r="H98" s="107"/>
      <c r="I98" s="107"/>
      <c r="K98" s="107"/>
    </row>
    <row r="99" spans="1:11" s="79" customFormat="1" ht="21.75" customHeight="1">
      <c r="A99" s="65"/>
      <c r="B99" s="52"/>
      <c r="C99" s="387" t="s">
        <v>348</v>
      </c>
      <c r="D99" s="111">
        <v>6278418</v>
      </c>
      <c r="E99" s="406">
        <v>3914</v>
      </c>
      <c r="F99" s="406"/>
      <c r="G99" s="406">
        <f t="shared" si="2"/>
        <v>6274504</v>
      </c>
      <c r="H99" s="107"/>
      <c r="I99" s="107"/>
      <c r="K99" s="78"/>
    </row>
    <row r="100" spans="1:11" s="79" customFormat="1" ht="21.75" customHeight="1">
      <c r="A100" s="65"/>
      <c r="B100" s="52"/>
      <c r="C100" s="1435" t="s">
        <v>667</v>
      </c>
      <c r="D100" s="188">
        <v>729722</v>
      </c>
      <c r="E100" s="1041">
        <v>250</v>
      </c>
      <c r="F100" s="1041"/>
      <c r="G100" s="1041">
        <f t="shared" si="2"/>
        <v>729472</v>
      </c>
      <c r="H100" s="107"/>
      <c r="I100" s="107"/>
      <c r="K100" s="78"/>
    </row>
    <row r="101" spans="1:11" s="79" customFormat="1" ht="21.75" customHeight="1">
      <c r="A101" s="65"/>
      <c r="B101" s="55"/>
      <c r="C101" s="1412" t="s">
        <v>692</v>
      </c>
      <c r="D101" s="1413">
        <v>1231891</v>
      </c>
      <c r="E101" s="1414">
        <v>200</v>
      </c>
      <c r="F101" s="1414"/>
      <c r="G101" s="1414">
        <f aca="true" t="shared" si="3" ref="G101:G128">D101+F101-E101</f>
        <v>1231691</v>
      </c>
      <c r="H101" s="107"/>
      <c r="I101" s="107"/>
      <c r="K101" s="78"/>
    </row>
    <row r="102" spans="1:11" s="99" customFormat="1" ht="21.75" customHeight="1">
      <c r="A102" s="61"/>
      <c r="B102" s="62">
        <v>80124</v>
      </c>
      <c r="C102" s="62" t="s">
        <v>287</v>
      </c>
      <c r="D102" s="106">
        <v>556000</v>
      </c>
      <c r="E102" s="106">
        <f>E103</f>
        <v>2500</v>
      </c>
      <c r="F102" s="106"/>
      <c r="G102" s="106">
        <f t="shared" si="3"/>
        <v>553500</v>
      </c>
      <c r="H102" s="107"/>
      <c r="I102" s="107"/>
      <c r="K102" s="107"/>
    </row>
    <row r="103" spans="1:11" s="79" customFormat="1" ht="21.75" customHeight="1">
      <c r="A103" s="65"/>
      <c r="B103" s="1415"/>
      <c r="C103" s="1416" t="s">
        <v>348</v>
      </c>
      <c r="D103" s="714">
        <v>421700</v>
      </c>
      <c r="E103" s="1417">
        <v>2500</v>
      </c>
      <c r="F103" s="1417"/>
      <c r="G103" s="1417">
        <f t="shared" si="3"/>
        <v>419200</v>
      </c>
      <c r="H103" s="107"/>
      <c r="I103" s="107"/>
      <c r="K103" s="78"/>
    </row>
    <row r="104" spans="1:11" s="79" customFormat="1" ht="21.75" customHeight="1">
      <c r="A104" s="61"/>
      <c r="B104" s="63">
        <v>80130</v>
      </c>
      <c r="C104" s="63" t="s">
        <v>693</v>
      </c>
      <c r="D104" s="405">
        <v>47462159</v>
      </c>
      <c r="E104" s="379">
        <f>E105+E106+E108</f>
        <v>91622</v>
      </c>
      <c r="F104" s="379"/>
      <c r="G104" s="379">
        <f t="shared" si="3"/>
        <v>47370537</v>
      </c>
      <c r="H104" s="107"/>
      <c r="I104" s="107"/>
      <c r="K104" s="78"/>
    </row>
    <row r="105" spans="1:11" s="79" customFormat="1" ht="21.75" customHeight="1">
      <c r="A105" s="65"/>
      <c r="B105" s="52"/>
      <c r="C105" s="387" t="s">
        <v>348</v>
      </c>
      <c r="D105" s="111">
        <v>24632600</v>
      </c>
      <c r="E105" s="406">
        <f>82900+361</f>
        <v>83261</v>
      </c>
      <c r="F105" s="406"/>
      <c r="G105" s="406">
        <f t="shared" si="3"/>
        <v>24549339</v>
      </c>
      <c r="H105" s="107"/>
      <c r="I105" s="107"/>
      <c r="K105" s="78"/>
    </row>
    <row r="106" spans="1:11" s="79" customFormat="1" ht="21.75" customHeight="1">
      <c r="A106" s="65"/>
      <c r="B106" s="52"/>
      <c r="C106" s="1404" t="s">
        <v>667</v>
      </c>
      <c r="D106" s="1405">
        <v>5330469</v>
      </c>
      <c r="E106" s="1406">
        <f>34800-34439</f>
        <v>361</v>
      </c>
      <c r="F106" s="1406"/>
      <c r="G106" s="1406">
        <f t="shared" si="3"/>
        <v>5330108</v>
      </c>
      <c r="H106" s="107"/>
      <c r="I106" s="107"/>
      <c r="K106" s="78"/>
    </row>
    <row r="107" spans="1:11" s="79" customFormat="1" ht="21.75" customHeight="1">
      <c r="A107" s="65"/>
      <c r="B107" s="52"/>
      <c r="C107" s="1411" t="s">
        <v>852</v>
      </c>
      <c r="D107" s="1051">
        <v>684741</v>
      </c>
      <c r="E107" s="1052"/>
      <c r="F107" s="1052">
        <f>34439-3300</f>
        <v>31139</v>
      </c>
      <c r="G107" s="1051">
        <f t="shared" si="3"/>
        <v>715880</v>
      </c>
      <c r="H107" s="107"/>
      <c r="I107" s="107"/>
      <c r="K107" s="78"/>
    </row>
    <row r="108" spans="1:11" s="79" customFormat="1" ht="21.75" customHeight="1">
      <c r="A108" s="65"/>
      <c r="B108" s="52"/>
      <c r="C108" s="438" t="s">
        <v>692</v>
      </c>
      <c r="D108" s="576">
        <v>4684020</v>
      </c>
      <c r="E108" s="439">
        <v>8000</v>
      </c>
      <c r="F108" s="439"/>
      <c r="G108" s="439">
        <f t="shared" si="3"/>
        <v>4676020</v>
      </c>
      <c r="H108" s="107"/>
      <c r="I108" s="107"/>
      <c r="K108" s="78"/>
    </row>
    <row r="109" spans="1:11" s="79" customFormat="1" ht="21.75" customHeight="1">
      <c r="A109" s="61"/>
      <c r="B109" s="62">
        <v>80132</v>
      </c>
      <c r="C109" s="62" t="s">
        <v>288</v>
      </c>
      <c r="D109" s="106">
        <v>3503000</v>
      </c>
      <c r="E109" s="64"/>
      <c r="F109" s="64">
        <f>F110</f>
        <v>66000</v>
      </c>
      <c r="G109" s="64">
        <f t="shared" si="3"/>
        <v>3569000</v>
      </c>
      <c r="H109" s="107"/>
      <c r="I109" s="107"/>
      <c r="K109" s="78"/>
    </row>
    <row r="110" spans="1:11" s="79" customFormat="1" ht="21.75" customHeight="1">
      <c r="A110" s="65"/>
      <c r="B110" s="52"/>
      <c r="C110" s="387" t="s">
        <v>348</v>
      </c>
      <c r="D110" s="111">
        <v>2651900</v>
      </c>
      <c r="E110" s="406"/>
      <c r="F110" s="406">
        <v>66000</v>
      </c>
      <c r="G110" s="111">
        <f t="shared" si="3"/>
        <v>2717900</v>
      </c>
      <c r="H110" s="107"/>
      <c r="I110" s="107"/>
      <c r="K110" s="78"/>
    </row>
    <row r="111" spans="1:11" s="79" customFormat="1" ht="21.75" customHeight="1">
      <c r="A111" s="61"/>
      <c r="B111" s="62">
        <v>80134</v>
      </c>
      <c r="C111" s="62" t="s">
        <v>289</v>
      </c>
      <c r="D111" s="106">
        <v>5184540</v>
      </c>
      <c r="E111" s="64"/>
      <c r="F111" s="64">
        <f>F112</f>
        <v>35000</v>
      </c>
      <c r="G111" s="64">
        <f t="shared" si="3"/>
        <v>5219540</v>
      </c>
      <c r="H111" s="107"/>
      <c r="I111" s="107"/>
      <c r="K111" s="78"/>
    </row>
    <row r="112" spans="1:11" s="79" customFormat="1" ht="21.75" customHeight="1">
      <c r="A112" s="65"/>
      <c r="B112" s="52"/>
      <c r="C112" s="387" t="s">
        <v>348</v>
      </c>
      <c r="D112" s="111">
        <v>3919400</v>
      </c>
      <c r="E112" s="406"/>
      <c r="F112" s="406">
        <v>35000</v>
      </c>
      <c r="G112" s="111">
        <f t="shared" si="3"/>
        <v>3954400</v>
      </c>
      <c r="H112" s="107"/>
      <c r="I112" s="107"/>
      <c r="K112" s="78"/>
    </row>
    <row r="113" spans="1:11" s="79" customFormat="1" ht="33.75" customHeight="1">
      <c r="A113" s="61"/>
      <c r="B113" s="62">
        <v>80140</v>
      </c>
      <c r="C113" s="236" t="s">
        <v>574</v>
      </c>
      <c r="D113" s="106">
        <v>10776820</v>
      </c>
      <c r="E113" s="64">
        <f>SUM(E114:E115)</f>
        <v>2300</v>
      </c>
      <c r="F113" s="64">
        <f>SUM(F114:F115)</f>
        <v>33800</v>
      </c>
      <c r="G113" s="64">
        <f t="shared" si="3"/>
        <v>10808320</v>
      </c>
      <c r="H113" s="107"/>
      <c r="I113" s="107"/>
      <c r="K113" s="78"/>
    </row>
    <row r="114" spans="1:11" s="79" customFormat="1" ht="21.75" customHeight="1">
      <c r="A114" s="65"/>
      <c r="B114" s="52"/>
      <c r="C114" s="387" t="s">
        <v>348</v>
      </c>
      <c r="D114" s="111">
        <v>7989160</v>
      </c>
      <c r="E114" s="406"/>
      <c r="F114" s="406">
        <f>34800-1000</f>
        <v>33800</v>
      </c>
      <c r="G114" s="111">
        <f t="shared" si="3"/>
        <v>8022960</v>
      </c>
      <c r="H114" s="107"/>
      <c r="I114" s="107"/>
      <c r="K114" s="78"/>
    </row>
    <row r="115" spans="1:11" s="79" customFormat="1" ht="21.75" customHeight="1">
      <c r="A115" s="65"/>
      <c r="B115" s="52"/>
      <c r="C115" s="1435" t="s">
        <v>692</v>
      </c>
      <c r="D115" s="188">
        <v>1565840</v>
      </c>
      <c r="E115" s="1041">
        <v>2300</v>
      </c>
      <c r="F115" s="1041"/>
      <c r="G115" s="1041">
        <f t="shared" si="3"/>
        <v>1563540</v>
      </c>
      <c r="H115" s="107"/>
      <c r="I115" s="107"/>
      <c r="K115" s="78"/>
    </row>
    <row r="116" spans="1:11" s="79" customFormat="1" ht="21.75" customHeight="1">
      <c r="A116" s="1332"/>
      <c r="B116" s="1333"/>
      <c r="C116" s="1437"/>
      <c r="D116" s="1432"/>
      <c r="E116" s="1438"/>
      <c r="F116" s="1438"/>
      <c r="G116" s="1438"/>
      <c r="H116" s="107"/>
      <c r="I116" s="107"/>
      <c r="K116" s="78"/>
    </row>
    <row r="117" spans="1:11" s="79" customFormat="1" ht="21.75" customHeight="1">
      <c r="A117" s="61"/>
      <c r="B117" s="63">
        <v>80146</v>
      </c>
      <c r="C117" s="63" t="s">
        <v>206</v>
      </c>
      <c r="D117" s="405">
        <v>1630000</v>
      </c>
      <c r="E117" s="379"/>
      <c r="F117" s="379"/>
      <c r="G117" s="379">
        <f t="shared" si="3"/>
        <v>1630000</v>
      </c>
      <c r="H117" s="107"/>
      <c r="I117" s="107"/>
      <c r="K117" s="78"/>
    </row>
    <row r="118" spans="1:11" s="79" customFormat="1" ht="21.75" customHeight="1">
      <c r="A118" s="65"/>
      <c r="B118" s="333"/>
      <c r="C118" s="387" t="s">
        <v>269</v>
      </c>
      <c r="D118" s="111">
        <v>1630000</v>
      </c>
      <c r="E118" s="406"/>
      <c r="F118" s="406"/>
      <c r="G118" s="406">
        <f t="shared" si="3"/>
        <v>1630000</v>
      </c>
      <c r="H118" s="107"/>
      <c r="I118" s="107"/>
      <c r="K118" s="78"/>
    </row>
    <row r="119" spans="1:11" s="407" customFormat="1" ht="21.75" customHeight="1">
      <c r="A119" s="144"/>
      <c r="B119" s="67"/>
      <c r="C119" s="385" t="s">
        <v>853</v>
      </c>
      <c r="D119" s="114">
        <v>638886</v>
      </c>
      <c r="E119" s="395">
        <f>12530-939</f>
        <v>11591</v>
      </c>
      <c r="F119" s="395"/>
      <c r="G119" s="395">
        <f t="shared" si="3"/>
        <v>627295</v>
      </c>
      <c r="H119" s="119"/>
      <c r="I119" s="119"/>
      <c r="K119" s="408"/>
    </row>
    <row r="120" spans="1:11" s="79" customFormat="1" ht="21.75" customHeight="1">
      <c r="A120" s="61"/>
      <c r="B120" s="63">
        <v>80195</v>
      </c>
      <c r="C120" s="63" t="s">
        <v>646</v>
      </c>
      <c r="D120" s="405">
        <v>2717461</v>
      </c>
      <c r="E120" s="379"/>
      <c r="F120" s="379">
        <f>F121+F122</f>
        <v>34411</v>
      </c>
      <c r="G120" s="379">
        <f>D120+F120-E120</f>
        <v>2751872</v>
      </c>
      <c r="H120" s="107"/>
      <c r="I120" s="107"/>
      <c r="K120" s="78"/>
    </row>
    <row r="121" spans="1:11" s="79" customFormat="1" ht="21.75" customHeight="1">
      <c r="A121" s="65"/>
      <c r="B121" s="333"/>
      <c r="C121" s="387" t="s">
        <v>429</v>
      </c>
      <c r="D121" s="111"/>
      <c r="E121" s="406"/>
      <c r="F121" s="406">
        <v>28200</v>
      </c>
      <c r="G121" s="406">
        <f>D121+F121-E121</f>
        <v>28200</v>
      </c>
      <c r="H121" s="107"/>
      <c r="I121" s="107"/>
      <c r="K121" s="78"/>
    </row>
    <row r="122" spans="1:11" s="407" customFormat="1" ht="27" customHeight="1">
      <c r="A122" s="1359"/>
      <c r="B122" s="67"/>
      <c r="C122" s="1621" t="s">
        <v>428</v>
      </c>
      <c r="D122" s="114">
        <v>19947</v>
      </c>
      <c r="E122" s="395"/>
      <c r="F122" s="395">
        <v>6211</v>
      </c>
      <c r="G122" s="395">
        <f>D122+F122-E122</f>
        <v>26158</v>
      </c>
      <c r="H122" s="119"/>
      <c r="I122" s="119"/>
      <c r="K122" s="408"/>
    </row>
    <row r="123" spans="1:11" ht="21.75" customHeight="1">
      <c r="A123" s="58">
        <v>851</v>
      </c>
      <c r="B123" s="58"/>
      <c r="C123" s="58" t="s">
        <v>650</v>
      </c>
      <c r="D123" s="59">
        <v>6195000</v>
      </c>
      <c r="E123" s="60"/>
      <c r="F123" s="60"/>
      <c r="G123" s="60">
        <f t="shared" si="3"/>
        <v>6195000</v>
      </c>
      <c r="H123" s="47"/>
      <c r="I123" s="47"/>
      <c r="K123" s="47"/>
    </row>
    <row r="124" spans="1:11" s="99" customFormat="1" ht="21.75" customHeight="1">
      <c r="A124" s="383"/>
      <c r="B124" s="62">
        <v>85153</v>
      </c>
      <c r="C124" s="62" t="s">
        <v>832</v>
      </c>
      <c r="D124" s="106">
        <v>250000</v>
      </c>
      <c r="E124" s="106"/>
      <c r="F124" s="106"/>
      <c r="G124" s="106">
        <f t="shared" si="3"/>
        <v>250000</v>
      </c>
      <c r="H124" s="107"/>
      <c r="I124" s="107"/>
      <c r="K124" s="107"/>
    </row>
    <row r="125" spans="1:11" s="79" customFormat="1" ht="28.5" customHeight="1">
      <c r="A125" s="65"/>
      <c r="B125" s="52"/>
      <c r="C125" s="1418" t="s">
        <v>236</v>
      </c>
      <c r="D125" s="1259">
        <v>250000</v>
      </c>
      <c r="E125" s="1419"/>
      <c r="F125" s="1419"/>
      <c r="G125" s="1419">
        <f t="shared" si="3"/>
        <v>250000</v>
      </c>
      <c r="H125" s="107"/>
      <c r="I125" s="107"/>
      <c r="K125" s="78"/>
    </row>
    <row r="126" spans="1:11" s="407" customFormat="1" ht="21" customHeight="1">
      <c r="A126" s="144"/>
      <c r="B126" s="66"/>
      <c r="C126" s="385" t="s">
        <v>853</v>
      </c>
      <c r="D126" s="114">
        <v>84550</v>
      </c>
      <c r="E126" s="395"/>
      <c r="F126" s="395">
        <v>2100</v>
      </c>
      <c r="G126" s="395">
        <f t="shared" si="3"/>
        <v>86650</v>
      </c>
      <c r="H126" s="119"/>
      <c r="I126" s="119"/>
      <c r="K126" s="408"/>
    </row>
    <row r="127" spans="1:11" s="99" customFormat="1" ht="19.5" customHeight="1">
      <c r="A127" s="66"/>
      <c r="B127" s="62">
        <v>85154</v>
      </c>
      <c r="C127" s="62" t="s">
        <v>673</v>
      </c>
      <c r="D127" s="106">
        <v>4305000</v>
      </c>
      <c r="E127" s="106"/>
      <c r="F127" s="106"/>
      <c r="G127" s="106">
        <f t="shared" si="3"/>
        <v>4305000</v>
      </c>
      <c r="H127" s="107"/>
      <c r="I127" s="107"/>
      <c r="K127" s="107"/>
    </row>
    <row r="128" spans="1:11" s="79" customFormat="1" ht="30.75" customHeight="1">
      <c r="A128" s="65"/>
      <c r="B128" s="52"/>
      <c r="C128" s="1418" t="s">
        <v>237</v>
      </c>
      <c r="D128" s="1259">
        <v>4305000</v>
      </c>
      <c r="E128" s="1419"/>
      <c r="F128" s="1419"/>
      <c r="G128" s="1419">
        <f t="shared" si="3"/>
        <v>4305000</v>
      </c>
      <c r="H128" s="107"/>
      <c r="I128" s="107"/>
      <c r="K128" s="78"/>
    </row>
    <row r="129" spans="1:11" s="407" customFormat="1" ht="21" customHeight="1">
      <c r="A129" s="144"/>
      <c r="B129" s="66"/>
      <c r="C129" s="385" t="s">
        <v>853</v>
      </c>
      <c r="D129" s="114">
        <v>871675</v>
      </c>
      <c r="E129" s="395">
        <f>3000-74</f>
        <v>2926</v>
      </c>
      <c r="F129" s="395"/>
      <c r="G129" s="395">
        <f aca="true" t="shared" si="4" ref="G129:G169">D129+F129-E129</f>
        <v>868749</v>
      </c>
      <c r="H129" s="119"/>
      <c r="I129" s="119"/>
      <c r="K129" s="408"/>
    </row>
    <row r="130" spans="1:11" s="99" customFormat="1" ht="19.5" customHeight="1">
      <c r="A130" s="66"/>
      <c r="B130" s="62">
        <v>85195</v>
      </c>
      <c r="C130" s="62" t="s">
        <v>646</v>
      </c>
      <c r="D130" s="106">
        <v>420000</v>
      </c>
      <c r="E130" s="106"/>
      <c r="F130" s="106"/>
      <c r="G130" s="106">
        <f t="shared" si="4"/>
        <v>420000</v>
      </c>
      <c r="H130" s="107"/>
      <c r="I130" s="107"/>
      <c r="K130" s="107"/>
    </row>
    <row r="131" spans="1:11" s="79" customFormat="1" ht="26.25" customHeight="1">
      <c r="A131" s="65"/>
      <c r="B131" s="52"/>
      <c r="C131" s="1418" t="s">
        <v>238</v>
      </c>
      <c r="D131" s="1259">
        <v>400000</v>
      </c>
      <c r="E131" s="1419"/>
      <c r="F131" s="1419"/>
      <c r="G131" s="1419">
        <f t="shared" si="4"/>
        <v>400000</v>
      </c>
      <c r="H131" s="107"/>
      <c r="I131" s="107"/>
      <c r="K131" s="78"/>
    </row>
    <row r="132" spans="1:11" s="120" customFormat="1" ht="19.5" customHeight="1">
      <c r="A132" s="144"/>
      <c r="B132" s="66"/>
      <c r="C132" s="385" t="s">
        <v>853</v>
      </c>
      <c r="D132" s="114">
        <v>26844</v>
      </c>
      <c r="E132" s="114">
        <v>142</v>
      </c>
      <c r="F132" s="114"/>
      <c r="G132" s="114">
        <f t="shared" si="4"/>
        <v>26702</v>
      </c>
      <c r="H132" s="119"/>
      <c r="I132" s="119"/>
      <c r="K132" s="119"/>
    </row>
    <row r="133" spans="1:11" ht="19.5" customHeight="1">
      <c r="A133" s="74">
        <v>852</v>
      </c>
      <c r="B133" s="74"/>
      <c r="C133" s="74" t="s">
        <v>648</v>
      </c>
      <c r="D133" s="59">
        <v>99723725</v>
      </c>
      <c r="E133" s="60">
        <f>E134+E140+E145+E147+E151+E159+E143+E157</f>
        <v>151630</v>
      </c>
      <c r="F133" s="60">
        <f>F134+F140+F145+F147+F151+F159+F143+F157</f>
        <v>293152</v>
      </c>
      <c r="G133" s="60">
        <f t="shared" si="4"/>
        <v>99865247</v>
      </c>
      <c r="H133" s="47"/>
      <c r="I133" s="47"/>
      <c r="K133" s="47"/>
    </row>
    <row r="134" spans="1:11" s="99" customFormat="1" ht="19.5" customHeight="1">
      <c r="A134" s="383"/>
      <c r="B134" s="62">
        <v>85201</v>
      </c>
      <c r="C134" s="62" t="s">
        <v>817</v>
      </c>
      <c r="D134" s="106">
        <v>12357468</v>
      </c>
      <c r="E134" s="106">
        <f>SUM(E135:E138)</f>
        <v>1845</v>
      </c>
      <c r="F134" s="106">
        <f>SUM(F135:F138)</f>
        <v>113527</v>
      </c>
      <c r="G134" s="106">
        <f t="shared" si="4"/>
        <v>12469150</v>
      </c>
      <c r="H134" s="107"/>
      <c r="I134" s="107"/>
      <c r="K134" s="107"/>
    </row>
    <row r="135" spans="1:11" s="99" customFormat="1" ht="19.5" customHeight="1">
      <c r="A135" s="65"/>
      <c r="B135" s="52"/>
      <c r="C135" s="80" t="s">
        <v>127</v>
      </c>
      <c r="D135" s="112">
        <v>3604915</v>
      </c>
      <c r="E135" s="112"/>
      <c r="F135" s="112">
        <f>1737+3650</f>
        <v>5387</v>
      </c>
      <c r="G135" s="112">
        <f t="shared" si="4"/>
        <v>3610302</v>
      </c>
      <c r="H135" s="107"/>
      <c r="I135" s="107"/>
      <c r="K135" s="107"/>
    </row>
    <row r="136" spans="1:11" s="99" customFormat="1" ht="19.5" customHeight="1">
      <c r="A136" s="65"/>
      <c r="B136" s="52"/>
      <c r="C136" s="1424" t="s">
        <v>667</v>
      </c>
      <c r="D136" s="1408">
        <v>1682930</v>
      </c>
      <c r="E136" s="1408">
        <v>1845</v>
      </c>
      <c r="F136" s="1408"/>
      <c r="G136" s="1408">
        <f t="shared" si="4"/>
        <v>1681085</v>
      </c>
      <c r="H136" s="107"/>
      <c r="I136" s="107"/>
      <c r="K136" s="107"/>
    </row>
    <row r="137" spans="1:11" s="99" customFormat="1" ht="19.5" customHeight="1">
      <c r="A137" s="65"/>
      <c r="B137" s="52"/>
      <c r="C137" s="1424" t="s">
        <v>692</v>
      </c>
      <c r="D137" s="1408">
        <v>694400</v>
      </c>
      <c r="E137" s="1408"/>
      <c r="F137" s="1408">
        <f>460</f>
        <v>460</v>
      </c>
      <c r="G137" s="1408">
        <f t="shared" si="4"/>
        <v>694860</v>
      </c>
      <c r="H137" s="107"/>
      <c r="I137" s="107"/>
      <c r="K137" s="107"/>
    </row>
    <row r="138" spans="1:11" s="79" customFormat="1" ht="19.5" customHeight="1">
      <c r="A138" s="595"/>
      <c r="B138" s="55"/>
      <c r="C138" s="872" t="s">
        <v>854</v>
      </c>
      <c r="D138" s="1010">
        <v>2245223</v>
      </c>
      <c r="E138" s="1344"/>
      <c r="F138" s="1344">
        <v>107680</v>
      </c>
      <c r="G138" s="1344">
        <f t="shared" si="4"/>
        <v>2352903</v>
      </c>
      <c r="H138" s="107"/>
      <c r="I138" s="107"/>
      <c r="K138" s="78"/>
    </row>
    <row r="139" spans="1:11" s="79" customFormat="1" ht="19.5" customHeight="1">
      <c r="A139" s="1332"/>
      <c r="B139" s="1333"/>
      <c r="C139" s="1437"/>
      <c r="D139" s="1432"/>
      <c r="E139" s="1438"/>
      <c r="F139" s="1438"/>
      <c r="G139" s="1438"/>
      <c r="H139" s="107"/>
      <c r="I139" s="107"/>
      <c r="K139" s="78"/>
    </row>
    <row r="140" spans="1:11" s="99" customFormat="1" ht="19.5" customHeight="1">
      <c r="A140" s="66"/>
      <c r="B140" s="63">
        <v>85202</v>
      </c>
      <c r="C140" s="63" t="s">
        <v>220</v>
      </c>
      <c r="D140" s="405">
        <v>19389359</v>
      </c>
      <c r="E140" s="405"/>
      <c r="F140" s="405">
        <f>SUM(F141:F142)</f>
        <v>131086</v>
      </c>
      <c r="G140" s="405">
        <f t="shared" si="4"/>
        <v>19520445</v>
      </c>
      <c r="H140" s="107"/>
      <c r="I140" s="107"/>
      <c r="K140" s="107"/>
    </row>
    <row r="141" spans="1:11" s="99" customFormat="1" ht="19.5" customHeight="1">
      <c r="A141" s="65"/>
      <c r="B141" s="52"/>
      <c r="C141" s="80" t="s">
        <v>667</v>
      </c>
      <c r="D141" s="111">
        <v>3705434</v>
      </c>
      <c r="E141" s="111"/>
      <c r="F141" s="111">
        <v>119900</v>
      </c>
      <c r="G141" s="111">
        <f t="shared" si="4"/>
        <v>3825334</v>
      </c>
      <c r="H141" s="107"/>
      <c r="I141" s="107"/>
      <c r="K141" s="107"/>
    </row>
    <row r="142" spans="1:11" s="79" customFormat="1" ht="18.75" customHeight="1">
      <c r="A142" s="65"/>
      <c r="B142" s="52"/>
      <c r="C142" s="438" t="s">
        <v>854</v>
      </c>
      <c r="D142" s="576">
        <v>4021003</v>
      </c>
      <c r="E142" s="439"/>
      <c r="F142" s="439">
        <f>97400-86214</f>
        <v>11186</v>
      </c>
      <c r="G142" s="439">
        <f t="shared" si="4"/>
        <v>4032189</v>
      </c>
      <c r="H142" s="107"/>
      <c r="I142" s="107"/>
      <c r="K142" s="78"/>
    </row>
    <row r="143" spans="1:11" s="99" customFormat="1" ht="19.5" customHeight="1">
      <c r="A143" s="66"/>
      <c r="B143" s="62">
        <v>85204</v>
      </c>
      <c r="C143" s="62" t="s">
        <v>76</v>
      </c>
      <c r="D143" s="106">
        <v>5935500</v>
      </c>
      <c r="E143" s="106"/>
      <c r="F143" s="106">
        <f>F144</f>
        <v>5000</v>
      </c>
      <c r="G143" s="106">
        <f t="shared" si="4"/>
        <v>5940500</v>
      </c>
      <c r="H143" s="107"/>
      <c r="I143" s="107"/>
      <c r="K143" s="107"/>
    </row>
    <row r="144" spans="1:11" s="99" customFormat="1" ht="27" customHeight="1">
      <c r="A144" s="65"/>
      <c r="B144" s="52"/>
      <c r="C144" s="80" t="s">
        <v>430</v>
      </c>
      <c r="D144" s="111">
        <v>406500</v>
      </c>
      <c r="E144" s="111"/>
      <c r="F144" s="111">
        <v>5000</v>
      </c>
      <c r="G144" s="111">
        <f t="shared" si="4"/>
        <v>411500</v>
      </c>
      <c r="H144" s="107"/>
      <c r="I144" s="107"/>
      <c r="K144" s="107"/>
    </row>
    <row r="145" spans="1:11" s="99" customFormat="1" ht="27.75" customHeight="1">
      <c r="A145" s="66"/>
      <c r="B145" s="62">
        <v>85214</v>
      </c>
      <c r="C145" s="236" t="s">
        <v>66</v>
      </c>
      <c r="D145" s="106">
        <v>9814344</v>
      </c>
      <c r="E145" s="106">
        <f>E146</f>
        <v>114344</v>
      </c>
      <c r="F145" s="106"/>
      <c r="G145" s="106">
        <f t="shared" si="4"/>
        <v>9700000</v>
      </c>
      <c r="H145" s="107"/>
      <c r="I145" s="107"/>
      <c r="K145" s="107"/>
    </row>
    <row r="146" spans="1:11" s="99" customFormat="1" ht="19.5" customHeight="1">
      <c r="A146" s="65"/>
      <c r="B146" s="55"/>
      <c r="C146" s="1400" t="s">
        <v>69</v>
      </c>
      <c r="D146" s="714">
        <v>9814344</v>
      </c>
      <c r="E146" s="714">
        <v>114344</v>
      </c>
      <c r="F146" s="714"/>
      <c r="G146" s="714">
        <f t="shared" si="4"/>
        <v>9700000</v>
      </c>
      <c r="H146" s="107"/>
      <c r="I146" s="107"/>
      <c r="K146" s="107"/>
    </row>
    <row r="147" spans="1:11" s="99" customFormat="1" ht="19.5" customHeight="1">
      <c r="A147" s="66"/>
      <c r="B147" s="63">
        <v>85219</v>
      </c>
      <c r="C147" s="63" t="s">
        <v>813</v>
      </c>
      <c r="D147" s="405">
        <v>13479565</v>
      </c>
      <c r="E147" s="405">
        <f>SUM(E148:E150)</f>
        <v>1831</v>
      </c>
      <c r="F147" s="405">
        <f>SUM(F148:F150)</f>
        <v>15350</v>
      </c>
      <c r="G147" s="405">
        <f t="shared" si="4"/>
        <v>13493084</v>
      </c>
      <c r="H147" s="107"/>
      <c r="I147" s="107"/>
      <c r="K147" s="107"/>
    </row>
    <row r="148" spans="1:11" s="99" customFormat="1" ht="19.5" customHeight="1">
      <c r="A148" s="65"/>
      <c r="B148" s="52"/>
      <c r="C148" s="80" t="s">
        <v>127</v>
      </c>
      <c r="D148" s="112">
        <v>9351910</v>
      </c>
      <c r="E148" s="112"/>
      <c r="F148" s="112">
        <v>10000</v>
      </c>
      <c r="G148" s="112">
        <f t="shared" si="4"/>
        <v>9361910</v>
      </c>
      <c r="H148" s="107"/>
      <c r="I148" s="107"/>
      <c r="K148" s="107"/>
    </row>
    <row r="149" spans="1:11" s="99" customFormat="1" ht="19.5" customHeight="1">
      <c r="A149" s="65"/>
      <c r="B149" s="52"/>
      <c r="C149" s="80" t="s">
        <v>667</v>
      </c>
      <c r="D149" s="1408">
        <v>1617244</v>
      </c>
      <c r="E149" s="1408">
        <v>1831</v>
      </c>
      <c r="F149" s="1408"/>
      <c r="G149" s="1408">
        <f t="shared" si="4"/>
        <v>1615413</v>
      </c>
      <c r="H149" s="107"/>
      <c r="I149" s="107"/>
      <c r="K149" s="107"/>
    </row>
    <row r="150" spans="1:11" s="99" customFormat="1" ht="43.5" customHeight="1">
      <c r="A150" s="65"/>
      <c r="B150" s="55"/>
      <c r="C150" s="1400" t="s">
        <v>814</v>
      </c>
      <c r="D150" s="1413">
        <v>57307</v>
      </c>
      <c r="E150" s="1413"/>
      <c r="F150" s="1413">
        <v>5350</v>
      </c>
      <c r="G150" s="1413">
        <f t="shared" si="4"/>
        <v>62657</v>
      </c>
      <c r="H150" s="107"/>
      <c r="I150" s="107"/>
      <c r="K150" s="107"/>
    </row>
    <row r="151" spans="1:11" s="99" customFormat="1" ht="27" customHeight="1">
      <c r="A151" s="66"/>
      <c r="B151" s="63">
        <v>85220</v>
      </c>
      <c r="C151" s="1343" t="s">
        <v>586</v>
      </c>
      <c r="D151" s="405">
        <v>562224</v>
      </c>
      <c r="E151" s="405">
        <f>E152+E154</f>
        <v>24500</v>
      </c>
      <c r="F151" s="405">
        <f>F152+F154</f>
        <v>26250</v>
      </c>
      <c r="G151" s="405">
        <f t="shared" si="4"/>
        <v>563974</v>
      </c>
      <c r="H151" s="107"/>
      <c r="I151" s="107"/>
      <c r="K151" s="107"/>
    </row>
    <row r="152" spans="1:11" s="99" customFormat="1" ht="21.75" customHeight="1">
      <c r="A152" s="65"/>
      <c r="B152" s="52"/>
      <c r="C152" s="1201" t="s">
        <v>65</v>
      </c>
      <c r="D152" s="1203">
        <v>200000</v>
      </c>
      <c r="E152" s="1203"/>
      <c r="F152" s="1203">
        <f>F153</f>
        <v>1750</v>
      </c>
      <c r="G152" s="1203">
        <f t="shared" si="4"/>
        <v>201750</v>
      </c>
      <c r="H152" s="107"/>
      <c r="I152" s="107"/>
      <c r="K152" s="107"/>
    </row>
    <row r="153" spans="1:11" s="120" customFormat="1" ht="21.75" customHeight="1">
      <c r="A153" s="144"/>
      <c r="B153" s="66"/>
      <c r="C153" s="1202" t="s">
        <v>127</v>
      </c>
      <c r="D153" s="1204">
        <v>124000</v>
      </c>
      <c r="E153" s="1204"/>
      <c r="F153" s="1204">
        <v>1750</v>
      </c>
      <c r="G153" s="1204">
        <f t="shared" si="4"/>
        <v>125750</v>
      </c>
      <c r="H153" s="119"/>
      <c r="I153" s="119"/>
      <c r="K153" s="119"/>
    </row>
    <row r="154" spans="1:11" s="120" customFormat="1" ht="21.75" customHeight="1">
      <c r="A154" s="144"/>
      <c r="B154" s="66"/>
      <c r="C154" s="905" t="s">
        <v>839</v>
      </c>
      <c r="D154" s="1421">
        <v>257724</v>
      </c>
      <c r="E154" s="1421">
        <f>SUM(E155:E156)</f>
        <v>24500</v>
      </c>
      <c r="F154" s="1421">
        <f>SUM(F155:F156)</f>
        <v>24500</v>
      </c>
      <c r="G154" s="1421">
        <f t="shared" si="4"/>
        <v>257724</v>
      </c>
      <c r="H154" s="119"/>
      <c r="I154" s="119"/>
      <c r="K154" s="119"/>
    </row>
    <row r="155" spans="1:11" s="120" customFormat="1" ht="21.75" customHeight="1">
      <c r="A155" s="144"/>
      <c r="B155" s="66"/>
      <c r="C155" s="1422" t="s">
        <v>348</v>
      </c>
      <c r="D155" s="1423">
        <v>68360</v>
      </c>
      <c r="E155" s="1423">
        <v>24500</v>
      </c>
      <c r="F155" s="1423"/>
      <c r="G155" s="1423">
        <f t="shared" si="4"/>
        <v>43860</v>
      </c>
      <c r="H155" s="119"/>
      <c r="I155" s="119"/>
      <c r="K155" s="119"/>
    </row>
    <row r="156" spans="1:11" s="120" customFormat="1" ht="21.75" customHeight="1">
      <c r="A156" s="144"/>
      <c r="B156" s="67"/>
      <c r="C156" s="1400" t="s">
        <v>667</v>
      </c>
      <c r="D156" s="1540">
        <v>176324</v>
      </c>
      <c r="E156" s="1540"/>
      <c r="F156" s="1540">
        <v>24500</v>
      </c>
      <c r="G156" s="1540">
        <f t="shared" si="4"/>
        <v>200824</v>
      </c>
      <c r="H156" s="119"/>
      <c r="I156" s="119"/>
      <c r="K156" s="119"/>
    </row>
    <row r="157" spans="1:11" s="99" customFormat="1" ht="19.5" customHeight="1">
      <c r="A157" s="66"/>
      <c r="B157" s="63">
        <v>85228</v>
      </c>
      <c r="C157" s="62" t="s">
        <v>432</v>
      </c>
      <c r="D157" s="405">
        <v>9075336</v>
      </c>
      <c r="E157" s="405">
        <f>E158</f>
        <v>9110</v>
      </c>
      <c r="F157" s="405"/>
      <c r="G157" s="405">
        <f t="shared" si="4"/>
        <v>9066226</v>
      </c>
      <c r="H157" s="107"/>
      <c r="I157" s="107"/>
      <c r="K157" s="107"/>
    </row>
    <row r="158" spans="1:11" s="99" customFormat="1" ht="19.5" customHeight="1">
      <c r="A158" s="65"/>
      <c r="B158" s="52"/>
      <c r="C158" s="80" t="s">
        <v>433</v>
      </c>
      <c r="D158" s="112">
        <v>9075336</v>
      </c>
      <c r="E158" s="112">
        <v>9110</v>
      </c>
      <c r="F158" s="112"/>
      <c r="G158" s="112">
        <f t="shared" si="4"/>
        <v>9066226</v>
      </c>
      <c r="H158" s="107"/>
      <c r="I158" s="107"/>
      <c r="K158" s="107"/>
    </row>
    <row r="159" spans="1:11" s="99" customFormat="1" ht="21.75" customHeight="1">
      <c r="A159" s="66"/>
      <c r="B159" s="62">
        <v>85295</v>
      </c>
      <c r="C159" s="62" t="s">
        <v>646</v>
      </c>
      <c r="D159" s="106">
        <v>4535675</v>
      </c>
      <c r="E159" s="106"/>
      <c r="F159" s="106">
        <f>F160</f>
        <v>1939</v>
      </c>
      <c r="G159" s="106">
        <f t="shared" si="4"/>
        <v>4537614</v>
      </c>
      <c r="H159" s="107"/>
      <c r="I159" s="107"/>
      <c r="K159" s="107"/>
    </row>
    <row r="160" spans="1:11" s="99" customFormat="1" ht="24.75" customHeight="1">
      <c r="A160" s="65"/>
      <c r="B160" s="52"/>
      <c r="C160" s="905" t="s">
        <v>818</v>
      </c>
      <c r="D160" s="112">
        <v>14675</v>
      </c>
      <c r="E160" s="112"/>
      <c r="F160" s="112">
        <v>1939</v>
      </c>
      <c r="G160" s="112">
        <f t="shared" si="4"/>
        <v>16614</v>
      </c>
      <c r="H160" s="107"/>
      <c r="I160" s="107"/>
      <c r="K160" s="107"/>
    </row>
    <row r="161" spans="1:11" s="99" customFormat="1" ht="24.75" customHeight="1">
      <c r="A161" s="1332"/>
      <c r="B161" s="1333"/>
      <c r="C161" s="1431"/>
      <c r="D161" s="1432"/>
      <c r="E161" s="1432"/>
      <c r="F161" s="1432"/>
      <c r="G161" s="1432"/>
      <c r="H161" s="107"/>
      <c r="I161" s="107"/>
      <c r="K161" s="107"/>
    </row>
    <row r="162" spans="1:11" ht="19.5" customHeight="1">
      <c r="A162" s="58">
        <v>853</v>
      </c>
      <c r="B162" s="58"/>
      <c r="C162" s="58" t="s">
        <v>691</v>
      </c>
      <c r="D162" s="59">
        <v>9945267</v>
      </c>
      <c r="E162" s="60">
        <f>E163+E166</f>
        <v>26500</v>
      </c>
      <c r="F162" s="60">
        <f>F163</f>
        <v>26500</v>
      </c>
      <c r="G162" s="60">
        <f>D162+F162-E162</f>
        <v>9945267</v>
      </c>
      <c r="H162" s="47"/>
      <c r="I162" s="47"/>
      <c r="K162" s="47"/>
    </row>
    <row r="163" spans="1:11" s="99" customFormat="1" ht="19.5" customHeight="1">
      <c r="A163" s="383"/>
      <c r="B163" s="62">
        <v>85321</v>
      </c>
      <c r="C163" s="62" t="s">
        <v>434</v>
      </c>
      <c r="D163" s="106">
        <v>100000</v>
      </c>
      <c r="E163" s="106">
        <f>SUM(E164:E165)</f>
        <v>6500</v>
      </c>
      <c r="F163" s="106">
        <f>SUM(F164:F165)</f>
        <v>26500</v>
      </c>
      <c r="G163" s="106">
        <f>D163+F163-E163</f>
        <v>120000</v>
      </c>
      <c r="H163" s="107"/>
      <c r="I163" s="107"/>
      <c r="K163" s="107"/>
    </row>
    <row r="164" spans="1:11" s="99" customFormat="1" ht="19.5" customHeight="1">
      <c r="A164" s="65"/>
      <c r="B164" s="52"/>
      <c r="C164" s="80" t="s">
        <v>127</v>
      </c>
      <c r="D164" s="112">
        <v>37915</v>
      </c>
      <c r="E164" s="112"/>
      <c r="F164" s="112">
        <v>26500</v>
      </c>
      <c r="G164" s="112">
        <f>D164+F164-E164</f>
        <v>64415</v>
      </c>
      <c r="H164" s="107"/>
      <c r="I164" s="107"/>
      <c r="K164" s="107"/>
    </row>
    <row r="165" spans="1:11" s="99" customFormat="1" ht="19.5" customHeight="1">
      <c r="A165" s="65"/>
      <c r="B165" s="52"/>
      <c r="C165" s="1424" t="s">
        <v>667</v>
      </c>
      <c r="D165" s="1413">
        <v>62085</v>
      </c>
      <c r="E165" s="1413">
        <v>6500</v>
      </c>
      <c r="F165" s="1413"/>
      <c r="G165" s="1413">
        <f>D165+F165-E165</f>
        <v>55585</v>
      </c>
      <c r="H165" s="107"/>
      <c r="I165" s="107"/>
      <c r="K165" s="107"/>
    </row>
    <row r="166" spans="1:11" s="99" customFormat="1" ht="19.5" customHeight="1">
      <c r="A166" s="66"/>
      <c r="B166" s="62">
        <v>85334</v>
      </c>
      <c r="C166" s="62" t="s">
        <v>908</v>
      </c>
      <c r="D166" s="106">
        <v>20000</v>
      </c>
      <c r="E166" s="106">
        <f>E167</f>
        <v>20000</v>
      </c>
      <c r="F166" s="106"/>
      <c r="G166" s="106">
        <v>55585</v>
      </c>
      <c r="H166" s="107"/>
      <c r="I166" s="107"/>
      <c r="K166" s="107"/>
    </row>
    <row r="167" spans="1:11" s="99" customFormat="1" ht="19.5" customHeight="1">
      <c r="A167" s="65"/>
      <c r="B167" s="52"/>
      <c r="C167" s="80" t="s">
        <v>435</v>
      </c>
      <c r="D167" s="714">
        <v>20000</v>
      </c>
      <c r="E167" s="714">
        <v>20000</v>
      </c>
      <c r="F167" s="714"/>
      <c r="G167" s="714">
        <v>55585</v>
      </c>
      <c r="H167" s="107"/>
      <c r="I167" s="107"/>
      <c r="K167" s="107"/>
    </row>
    <row r="168" spans="1:11" ht="21.75" customHeight="1">
      <c r="A168" s="74">
        <v>854</v>
      </c>
      <c r="B168" s="74"/>
      <c r="C168" s="74" t="s">
        <v>649</v>
      </c>
      <c r="D168" s="59">
        <v>43785133</v>
      </c>
      <c r="E168" s="60">
        <f>E169+E173+E177+E180+E185+E188+E193+E197+E200</f>
        <v>76708</v>
      </c>
      <c r="F168" s="60">
        <f>F169+F173+F177+F180+F185+F188+F193+F197+F200</f>
        <v>119908</v>
      </c>
      <c r="G168" s="60">
        <f t="shared" si="4"/>
        <v>43828333</v>
      </c>
      <c r="H168" s="47"/>
      <c r="I168" s="47"/>
      <c r="K168" s="47"/>
    </row>
    <row r="169" spans="1:11" s="99" customFormat="1" ht="21.75" customHeight="1">
      <c r="A169" s="66"/>
      <c r="B169" s="62">
        <v>85401</v>
      </c>
      <c r="C169" s="62" t="s">
        <v>291</v>
      </c>
      <c r="D169" s="106">
        <v>6985118</v>
      </c>
      <c r="E169" s="106">
        <f>SUM(E170:E172)</f>
        <v>16769</v>
      </c>
      <c r="F169" s="106">
        <f>SUM(F170:F172)</f>
        <v>6430</v>
      </c>
      <c r="G169" s="106">
        <f t="shared" si="4"/>
        <v>6974779</v>
      </c>
      <c r="H169" s="107"/>
      <c r="I169" s="107"/>
      <c r="K169" s="107"/>
    </row>
    <row r="170" spans="1:11" s="99" customFormat="1" ht="21.75" customHeight="1">
      <c r="A170" s="65"/>
      <c r="B170" s="52"/>
      <c r="C170" s="80" t="s">
        <v>127</v>
      </c>
      <c r="D170" s="112">
        <v>5478460</v>
      </c>
      <c r="E170" s="112">
        <v>14696</v>
      </c>
      <c r="F170" s="112"/>
      <c r="G170" s="112">
        <f aca="true" t="shared" si="5" ref="G170:G203">D170+F170-E170</f>
        <v>5463764</v>
      </c>
      <c r="H170" s="107"/>
      <c r="I170" s="107"/>
      <c r="K170" s="107"/>
    </row>
    <row r="171" spans="1:11" s="79" customFormat="1" ht="21.75" customHeight="1">
      <c r="A171" s="65"/>
      <c r="B171" s="52"/>
      <c r="C171" s="438" t="s">
        <v>667</v>
      </c>
      <c r="D171" s="1408">
        <v>453830</v>
      </c>
      <c r="E171" s="1409">
        <v>2073</v>
      </c>
      <c r="F171" s="1409"/>
      <c r="G171" s="1409">
        <f t="shared" si="5"/>
        <v>451757</v>
      </c>
      <c r="H171" s="107"/>
      <c r="I171" s="107"/>
      <c r="K171" s="78"/>
    </row>
    <row r="172" spans="1:11" s="79" customFormat="1" ht="21.75" customHeight="1">
      <c r="A172" s="65"/>
      <c r="B172" s="52"/>
      <c r="C172" s="438" t="s">
        <v>692</v>
      </c>
      <c r="D172" s="576">
        <v>1052828</v>
      </c>
      <c r="E172" s="439"/>
      <c r="F172" s="439">
        <f>7030-600</f>
        <v>6430</v>
      </c>
      <c r="G172" s="439">
        <f t="shared" si="5"/>
        <v>1059258</v>
      </c>
      <c r="H172" s="107"/>
      <c r="I172" s="107"/>
      <c r="K172" s="78"/>
    </row>
    <row r="173" spans="1:11" s="99" customFormat="1" ht="21.75" customHeight="1">
      <c r="A173" s="66"/>
      <c r="B173" s="62">
        <v>85403</v>
      </c>
      <c r="C173" s="62" t="s">
        <v>0</v>
      </c>
      <c r="D173" s="106">
        <v>10839606</v>
      </c>
      <c r="E173" s="106">
        <f>SUM(E174:E176)</f>
        <v>19000</v>
      </c>
      <c r="F173" s="106">
        <f>SUM(F174:F176)</f>
        <v>57860</v>
      </c>
      <c r="G173" s="106">
        <f t="shared" si="5"/>
        <v>10878466</v>
      </c>
      <c r="H173" s="107"/>
      <c r="I173" s="107"/>
      <c r="K173" s="107"/>
    </row>
    <row r="174" spans="1:11" s="99" customFormat="1" ht="21.75" customHeight="1">
      <c r="A174" s="65"/>
      <c r="B174" s="52"/>
      <c r="C174" s="80" t="s">
        <v>127</v>
      </c>
      <c r="D174" s="112">
        <v>5515400</v>
      </c>
      <c r="E174" s="112"/>
      <c r="F174" s="112">
        <f>52160-100</f>
        <v>52060</v>
      </c>
      <c r="G174" s="112">
        <f t="shared" si="5"/>
        <v>5567460</v>
      </c>
      <c r="H174" s="107"/>
      <c r="I174" s="107"/>
      <c r="K174" s="107"/>
    </row>
    <row r="175" spans="1:11" s="79" customFormat="1" ht="21.75" customHeight="1">
      <c r="A175" s="65"/>
      <c r="B175" s="52"/>
      <c r="C175" s="438" t="s">
        <v>667</v>
      </c>
      <c r="D175" s="1408">
        <v>1315264</v>
      </c>
      <c r="E175" s="1409">
        <v>19000</v>
      </c>
      <c r="F175" s="1409"/>
      <c r="G175" s="1409">
        <f t="shared" si="5"/>
        <v>1296264</v>
      </c>
      <c r="H175" s="107"/>
      <c r="I175" s="107"/>
      <c r="K175" s="78"/>
    </row>
    <row r="176" spans="1:11" s="79" customFormat="1" ht="21.75" customHeight="1">
      <c r="A176" s="65"/>
      <c r="B176" s="55"/>
      <c r="C176" s="872" t="s">
        <v>692</v>
      </c>
      <c r="D176" s="1010">
        <v>1069700</v>
      </c>
      <c r="E176" s="1344"/>
      <c r="F176" s="1344">
        <v>5800</v>
      </c>
      <c r="G176" s="1344">
        <f t="shared" si="5"/>
        <v>1075500</v>
      </c>
      <c r="H176" s="107"/>
      <c r="I176" s="107"/>
      <c r="K176" s="78"/>
    </row>
    <row r="177" spans="1:11" s="99" customFormat="1" ht="26.25" customHeight="1">
      <c r="A177" s="66"/>
      <c r="B177" s="63">
        <v>85406</v>
      </c>
      <c r="C177" s="1343" t="s">
        <v>6</v>
      </c>
      <c r="D177" s="405">
        <v>5608700</v>
      </c>
      <c r="E177" s="405">
        <f>SUM(E178:E179)</f>
        <v>21000</v>
      </c>
      <c r="F177" s="405"/>
      <c r="G177" s="405">
        <f t="shared" si="5"/>
        <v>5587700</v>
      </c>
      <c r="H177" s="107"/>
      <c r="I177" s="107"/>
      <c r="K177" s="107"/>
    </row>
    <row r="178" spans="1:11" s="99" customFormat="1" ht="21.75" customHeight="1">
      <c r="A178" s="65"/>
      <c r="B178" s="52"/>
      <c r="C178" s="80" t="s">
        <v>127</v>
      </c>
      <c r="D178" s="111">
        <v>4213300</v>
      </c>
      <c r="E178" s="111">
        <v>18000</v>
      </c>
      <c r="F178" s="111"/>
      <c r="G178" s="111">
        <f t="shared" si="5"/>
        <v>4195300</v>
      </c>
      <c r="H178" s="107"/>
      <c r="I178" s="107"/>
      <c r="K178" s="107"/>
    </row>
    <row r="179" spans="1:11" s="79" customFormat="1" ht="21.75" customHeight="1">
      <c r="A179" s="65"/>
      <c r="B179" s="52"/>
      <c r="C179" s="438" t="s">
        <v>692</v>
      </c>
      <c r="D179" s="576">
        <v>817700</v>
      </c>
      <c r="E179" s="439">
        <v>3000</v>
      </c>
      <c r="F179" s="439"/>
      <c r="G179" s="439">
        <f t="shared" si="5"/>
        <v>814700</v>
      </c>
      <c r="H179" s="107"/>
      <c r="I179" s="107"/>
      <c r="K179" s="78"/>
    </row>
    <row r="180" spans="1:11" s="99" customFormat="1" ht="21.75" customHeight="1">
      <c r="A180" s="66"/>
      <c r="B180" s="62">
        <v>85407</v>
      </c>
      <c r="C180" s="62" t="s">
        <v>205</v>
      </c>
      <c r="D180" s="106">
        <v>2447254</v>
      </c>
      <c r="E180" s="106">
        <f>E181+E182+E183</f>
        <v>4230</v>
      </c>
      <c r="F180" s="106">
        <f>F181+F182+F183</f>
        <v>1500</v>
      </c>
      <c r="G180" s="106">
        <f t="shared" si="5"/>
        <v>2444524</v>
      </c>
      <c r="H180" s="107"/>
      <c r="I180" s="107"/>
      <c r="K180" s="107"/>
    </row>
    <row r="181" spans="1:11" s="99" customFormat="1" ht="21.75" customHeight="1">
      <c r="A181" s="65"/>
      <c r="B181" s="52"/>
      <c r="C181" s="80" t="s">
        <v>127</v>
      </c>
      <c r="D181" s="111">
        <v>1712044</v>
      </c>
      <c r="E181" s="111">
        <v>1670</v>
      </c>
      <c r="F181" s="111"/>
      <c r="G181" s="111">
        <f t="shared" si="5"/>
        <v>1710374</v>
      </c>
      <c r="H181" s="107"/>
      <c r="I181" s="107"/>
      <c r="K181" s="107"/>
    </row>
    <row r="182" spans="1:11" s="99" customFormat="1" ht="21.75" customHeight="1">
      <c r="A182" s="65"/>
      <c r="B182" s="52"/>
      <c r="C182" s="80" t="s">
        <v>667</v>
      </c>
      <c r="D182" s="1408">
        <v>400910</v>
      </c>
      <c r="E182" s="1408"/>
      <c r="F182" s="1408">
        <v>1500</v>
      </c>
      <c r="G182" s="1408">
        <f t="shared" si="5"/>
        <v>402410</v>
      </c>
      <c r="H182" s="107"/>
      <c r="I182" s="107"/>
      <c r="K182" s="107"/>
    </row>
    <row r="183" spans="1:11" s="79" customFormat="1" ht="21.75" customHeight="1">
      <c r="A183" s="595"/>
      <c r="B183" s="55"/>
      <c r="C183" s="872" t="s">
        <v>692</v>
      </c>
      <c r="D183" s="1010">
        <v>324300</v>
      </c>
      <c r="E183" s="1344">
        <v>2560</v>
      </c>
      <c r="F183" s="1344"/>
      <c r="G183" s="1344">
        <f t="shared" si="5"/>
        <v>321740</v>
      </c>
      <c r="H183" s="107"/>
      <c r="I183" s="107"/>
      <c r="K183" s="78"/>
    </row>
    <row r="184" spans="1:11" s="79" customFormat="1" ht="21.75" customHeight="1">
      <c r="A184" s="1332"/>
      <c r="B184" s="1333"/>
      <c r="C184" s="1437"/>
      <c r="D184" s="1432"/>
      <c r="E184" s="1438"/>
      <c r="F184" s="1438"/>
      <c r="G184" s="1438"/>
      <c r="H184" s="107"/>
      <c r="I184" s="107"/>
      <c r="K184" s="78"/>
    </row>
    <row r="185" spans="1:11" s="99" customFormat="1" ht="21.75" customHeight="1">
      <c r="A185" s="66"/>
      <c r="B185" s="63">
        <v>85410</v>
      </c>
      <c r="C185" s="63" t="s">
        <v>230</v>
      </c>
      <c r="D185" s="405">
        <v>7449646</v>
      </c>
      <c r="E185" s="405"/>
      <c r="F185" s="405">
        <f>SUM(F186:F187)</f>
        <v>10918</v>
      </c>
      <c r="G185" s="405">
        <f t="shared" si="5"/>
        <v>7460564</v>
      </c>
      <c r="H185" s="107"/>
      <c r="I185" s="107"/>
      <c r="K185" s="107"/>
    </row>
    <row r="186" spans="1:11" s="99" customFormat="1" ht="21.75" customHeight="1">
      <c r="A186" s="65"/>
      <c r="B186" s="52"/>
      <c r="C186" s="80" t="s">
        <v>127</v>
      </c>
      <c r="D186" s="111">
        <v>4293506</v>
      </c>
      <c r="E186" s="111"/>
      <c r="F186" s="111">
        <v>10880</v>
      </c>
      <c r="G186" s="111">
        <f t="shared" si="5"/>
        <v>4304386</v>
      </c>
      <c r="H186" s="107"/>
      <c r="I186" s="107"/>
      <c r="K186" s="107"/>
    </row>
    <row r="187" spans="1:11" s="79" customFormat="1" ht="21.75" customHeight="1">
      <c r="A187" s="65"/>
      <c r="B187" s="52"/>
      <c r="C187" s="438" t="s">
        <v>692</v>
      </c>
      <c r="D187" s="576">
        <v>819770</v>
      </c>
      <c r="E187" s="439"/>
      <c r="F187" s="439">
        <v>38</v>
      </c>
      <c r="G187" s="439">
        <f t="shared" si="5"/>
        <v>819808</v>
      </c>
      <c r="H187" s="107"/>
      <c r="I187" s="107"/>
      <c r="K187" s="78"/>
    </row>
    <row r="188" spans="1:11" s="99" customFormat="1" ht="21.75" customHeight="1">
      <c r="A188" s="66"/>
      <c r="B188" s="62">
        <v>85415</v>
      </c>
      <c r="C188" s="62" t="s">
        <v>201</v>
      </c>
      <c r="D188" s="106">
        <v>2644631</v>
      </c>
      <c r="E188" s="106"/>
      <c r="F188" s="106">
        <f>F189+F191</f>
        <v>43200</v>
      </c>
      <c r="G188" s="106">
        <f t="shared" si="5"/>
        <v>2687831</v>
      </c>
      <c r="H188" s="107"/>
      <c r="I188" s="107"/>
      <c r="K188" s="107"/>
    </row>
    <row r="189" spans="1:11" s="99" customFormat="1" ht="21.75" customHeight="1">
      <c r="A189" s="65"/>
      <c r="B189" s="52"/>
      <c r="C189" s="80" t="s">
        <v>562</v>
      </c>
      <c r="D189" s="188">
        <v>140000</v>
      </c>
      <c r="E189" s="188"/>
      <c r="F189" s="188"/>
      <c r="G189" s="188">
        <f t="shared" si="5"/>
        <v>140000</v>
      </c>
      <c r="H189" s="107"/>
      <c r="I189" s="107"/>
      <c r="K189" s="107"/>
    </row>
    <row r="190" spans="1:11" s="120" customFormat="1" ht="21.75" customHeight="1">
      <c r="A190" s="144"/>
      <c r="B190" s="66"/>
      <c r="C190" s="1411" t="s">
        <v>853</v>
      </c>
      <c r="D190" s="1051">
        <v>114300</v>
      </c>
      <c r="E190" s="1051"/>
      <c r="F190" s="1051">
        <v>65</v>
      </c>
      <c r="G190" s="1051">
        <f t="shared" si="5"/>
        <v>114365</v>
      </c>
      <c r="H190" s="119"/>
      <c r="I190" s="119"/>
      <c r="K190" s="119"/>
    </row>
    <row r="191" spans="1:11" s="99" customFormat="1" ht="27.75" customHeight="1">
      <c r="A191" s="65"/>
      <c r="B191" s="52"/>
      <c r="C191" s="905" t="s">
        <v>916</v>
      </c>
      <c r="D191" s="188">
        <v>68400</v>
      </c>
      <c r="E191" s="188"/>
      <c r="F191" s="188">
        <v>43200</v>
      </c>
      <c r="G191" s="188">
        <f t="shared" si="5"/>
        <v>111600</v>
      </c>
      <c r="H191" s="107"/>
      <c r="I191" s="107"/>
      <c r="K191" s="107"/>
    </row>
    <row r="192" spans="1:11" s="120" customFormat="1" ht="21.75" customHeight="1">
      <c r="A192" s="144"/>
      <c r="B192" s="67"/>
      <c r="C192" s="1622" t="s">
        <v>239</v>
      </c>
      <c r="D192" s="1264"/>
      <c r="E192" s="1264"/>
      <c r="F192" s="1264">
        <v>2600</v>
      </c>
      <c r="G192" s="1264">
        <f>F192</f>
        <v>2600</v>
      </c>
      <c r="H192" s="119"/>
      <c r="I192" s="119"/>
      <c r="K192" s="119"/>
    </row>
    <row r="193" spans="1:11" s="99" customFormat="1" ht="21.75" customHeight="1">
      <c r="A193" s="66"/>
      <c r="B193" s="63">
        <v>85421</v>
      </c>
      <c r="C193" s="63" t="s">
        <v>295</v>
      </c>
      <c r="D193" s="405">
        <v>559500</v>
      </c>
      <c r="E193" s="405">
        <f>E194+E195+E196</f>
        <v>4800</v>
      </c>
      <c r="F193" s="405"/>
      <c r="G193" s="405">
        <f t="shared" si="5"/>
        <v>554700</v>
      </c>
      <c r="H193" s="107"/>
      <c r="I193" s="107"/>
      <c r="K193" s="107"/>
    </row>
    <row r="194" spans="1:11" s="99" customFormat="1" ht="21.75" customHeight="1">
      <c r="A194" s="65"/>
      <c r="B194" s="52"/>
      <c r="C194" s="905" t="s">
        <v>127</v>
      </c>
      <c r="D194" s="112">
        <v>417750</v>
      </c>
      <c r="E194" s="112">
        <v>2000</v>
      </c>
      <c r="F194" s="112"/>
      <c r="G194" s="112">
        <f t="shared" si="5"/>
        <v>415750</v>
      </c>
      <c r="H194" s="107"/>
      <c r="I194" s="107"/>
      <c r="K194" s="107"/>
    </row>
    <row r="195" spans="1:11" s="99" customFormat="1" ht="21.75" customHeight="1">
      <c r="A195" s="65"/>
      <c r="B195" s="52"/>
      <c r="C195" s="1424" t="s">
        <v>667</v>
      </c>
      <c r="D195" s="1408">
        <v>59050</v>
      </c>
      <c r="E195" s="1408">
        <v>800</v>
      </c>
      <c r="F195" s="1408"/>
      <c r="G195" s="1408">
        <f t="shared" si="5"/>
        <v>58250</v>
      </c>
      <c r="H195" s="107"/>
      <c r="I195" s="107"/>
      <c r="K195" s="107"/>
    </row>
    <row r="196" spans="1:11" s="79" customFormat="1" ht="21.75" customHeight="1">
      <c r="A196" s="65"/>
      <c r="B196" s="55"/>
      <c r="C196" s="872" t="s">
        <v>692</v>
      </c>
      <c r="D196" s="1010">
        <v>82700</v>
      </c>
      <c r="E196" s="1344">
        <v>2000</v>
      </c>
      <c r="F196" s="1344"/>
      <c r="G196" s="1344">
        <f t="shared" si="5"/>
        <v>80700</v>
      </c>
      <c r="H196" s="107"/>
      <c r="I196" s="107"/>
      <c r="K196" s="78"/>
    </row>
    <row r="197" spans="1:11" s="99" customFormat="1" ht="21.75" customHeight="1">
      <c r="A197" s="66"/>
      <c r="B197" s="63">
        <v>85446</v>
      </c>
      <c r="C197" s="63" t="s">
        <v>206</v>
      </c>
      <c r="D197" s="405">
        <v>178000</v>
      </c>
      <c r="E197" s="405"/>
      <c r="F197" s="405"/>
      <c r="G197" s="405">
        <f t="shared" si="5"/>
        <v>178000</v>
      </c>
      <c r="H197" s="107"/>
      <c r="I197" s="107"/>
      <c r="K197" s="107"/>
    </row>
    <row r="198" spans="1:11" s="99" customFormat="1" ht="21.75" customHeight="1">
      <c r="A198" s="65"/>
      <c r="B198" s="52"/>
      <c r="C198" s="80" t="s">
        <v>269</v>
      </c>
      <c r="D198" s="112">
        <v>178000</v>
      </c>
      <c r="E198" s="112"/>
      <c r="F198" s="112"/>
      <c r="G198" s="112">
        <f t="shared" si="5"/>
        <v>178000</v>
      </c>
      <c r="H198" s="107"/>
      <c r="I198" s="107"/>
      <c r="K198" s="107"/>
    </row>
    <row r="199" spans="1:11" s="120" customFormat="1" ht="21.75" customHeight="1">
      <c r="A199" s="144"/>
      <c r="B199" s="66"/>
      <c r="C199" s="68" t="s">
        <v>853</v>
      </c>
      <c r="D199" s="1264">
        <v>60005</v>
      </c>
      <c r="E199" s="1264"/>
      <c r="F199" s="1264">
        <v>1400</v>
      </c>
      <c r="G199" s="1264">
        <f t="shared" si="5"/>
        <v>61405</v>
      </c>
      <c r="H199" s="119"/>
      <c r="I199" s="119"/>
      <c r="K199" s="119"/>
    </row>
    <row r="200" spans="1:11" s="99" customFormat="1" ht="21.75" customHeight="1">
      <c r="A200" s="66"/>
      <c r="B200" s="62">
        <v>85495</v>
      </c>
      <c r="C200" s="62" t="s">
        <v>646</v>
      </c>
      <c r="D200" s="106">
        <v>6600297</v>
      </c>
      <c r="E200" s="106">
        <f>E201</f>
        <v>10909</v>
      </c>
      <c r="F200" s="106"/>
      <c r="G200" s="106">
        <f t="shared" si="5"/>
        <v>6589388</v>
      </c>
      <c r="H200" s="107"/>
      <c r="I200" s="107"/>
      <c r="K200" s="107"/>
    </row>
    <row r="201" spans="1:11" s="99" customFormat="1" ht="21.75" customHeight="1">
      <c r="A201" s="65"/>
      <c r="B201" s="52"/>
      <c r="C201" s="1258" t="s">
        <v>2</v>
      </c>
      <c r="D201" s="1259">
        <v>6386639</v>
      </c>
      <c r="E201" s="1259">
        <f>SUM(E202:E205)</f>
        <v>10909</v>
      </c>
      <c r="F201" s="1259"/>
      <c r="G201" s="1259">
        <f t="shared" si="5"/>
        <v>6375730</v>
      </c>
      <c r="H201" s="107"/>
      <c r="I201" s="107"/>
      <c r="K201" s="107"/>
    </row>
    <row r="202" spans="1:11" s="99" customFormat="1" ht="21.75" customHeight="1">
      <c r="A202" s="65"/>
      <c r="B202" s="52"/>
      <c r="C202" s="1422" t="s">
        <v>127</v>
      </c>
      <c r="D202" s="1425">
        <v>4164034</v>
      </c>
      <c r="E202" s="1425">
        <v>441</v>
      </c>
      <c r="F202" s="1425"/>
      <c r="G202" s="1425">
        <f t="shared" si="5"/>
        <v>4163593</v>
      </c>
      <c r="H202" s="107"/>
      <c r="I202" s="107"/>
      <c r="K202" s="107"/>
    </row>
    <row r="203" spans="1:11" s="99" customFormat="1" ht="21.75" customHeight="1">
      <c r="A203" s="65"/>
      <c r="B203" s="52"/>
      <c r="C203" s="80" t="s">
        <v>667</v>
      </c>
      <c r="D203" s="1408">
        <v>1410838</v>
      </c>
      <c r="E203" s="1408">
        <f>10819-874</f>
        <v>9945</v>
      </c>
      <c r="F203" s="1408"/>
      <c r="G203" s="1408">
        <f t="shared" si="5"/>
        <v>1400893</v>
      </c>
      <c r="H203" s="107"/>
      <c r="I203" s="107"/>
      <c r="K203" s="107"/>
    </row>
    <row r="204" spans="1:11" s="79" customFormat="1" ht="21.75" customHeight="1">
      <c r="A204" s="65"/>
      <c r="B204" s="52"/>
      <c r="C204" s="438" t="s">
        <v>692</v>
      </c>
      <c r="D204" s="1408">
        <v>796267</v>
      </c>
      <c r="E204" s="1409">
        <f>1648-1215</f>
        <v>433</v>
      </c>
      <c r="F204" s="1409"/>
      <c r="G204" s="1409">
        <f aca="true" t="shared" si="6" ref="G204:G232">D204+F204-E204</f>
        <v>795834</v>
      </c>
      <c r="H204" s="107"/>
      <c r="I204" s="107"/>
      <c r="K204" s="78"/>
    </row>
    <row r="205" spans="1:11" s="79" customFormat="1" ht="21.75" customHeight="1">
      <c r="A205" s="595"/>
      <c r="B205" s="55"/>
      <c r="C205" s="872" t="s">
        <v>854</v>
      </c>
      <c r="D205" s="1413">
        <v>15500</v>
      </c>
      <c r="E205" s="1414">
        <v>90</v>
      </c>
      <c r="F205" s="1414"/>
      <c r="G205" s="1414">
        <f t="shared" si="6"/>
        <v>15410</v>
      </c>
      <c r="H205" s="107"/>
      <c r="I205" s="107"/>
      <c r="K205" s="78"/>
    </row>
    <row r="206" spans="1:11" s="79" customFormat="1" ht="21.75" customHeight="1">
      <c r="A206" s="1332"/>
      <c r="B206" s="1333"/>
      <c r="C206" s="1437"/>
      <c r="D206" s="1432"/>
      <c r="E206" s="1438"/>
      <c r="F206" s="1438"/>
      <c r="G206" s="1438"/>
      <c r="H206" s="107"/>
      <c r="I206" s="107"/>
      <c r="K206" s="78"/>
    </row>
    <row r="207" spans="1:11" s="79" customFormat="1" ht="21.75" customHeight="1">
      <c r="A207" s="1433"/>
      <c r="B207" s="33"/>
      <c r="C207" s="1444"/>
      <c r="D207" s="1434"/>
      <c r="E207" s="1445"/>
      <c r="F207" s="1445"/>
      <c r="G207" s="1445"/>
      <c r="H207" s="107"/>
      <c r="I207" s="107"/>
      <c r="K207" s="78"/>
    </row>
    <row r="208" spans="1:11" ht="21.75" customHeight="1">
      <c r="A208" s="58">
        <v>900</v>
      </c>
      <c r="B208" s="58"/>
      <c r="C208" s="58" t="s">
        <v>801</v>
      </c>
      <c r="D208" s="59">
        <v>64062445</v>
      </c>
      <c r="E208" s="60">
        <f>E209+E216</f>
        <v>803000</v>
      </c>
      <c r="F208" s="60">
        <f>F209+F216+F211+F213</f>
        <v>803000</v>
      </c>
      <c r="G208" s="60">
        <f t="shared" si="6"/>
        <v>64062445</v>
      </c>
      <c r="H208" s="47"/>
      <c r="I208" s="47"/>
      <c r="K208" s="47"/>
    </row>
    <row r="209" spans="1:11" s="99" customFormat="1" ht="21.75" customHeight="1">
      <c r="A209" s="383"/>
      <c r="B209" s="62">
        <v>90001</v>
      </c>
      <c r="C209" s="62" t="s">
        <v>263</v>
      </c>
      <c r="D209" s="106">
        <v>9687000</v>
      </c>
      <c r="E209" s="106">
        <f>E210</f>
        <v>803000</v>
      </c>
      <c r="F209" s="106"/>
      <c r="G209" s="106">
        <f t="shared" si="6"/>
        <v>8884000</v>
      </c>
      <c r="H209" s="107"/>
      <c r="I209" s="107"/>
      <c r="K209" s="107"/>
    </row>
    <row r="210" spans="1:11" s="79" customFormat="1" ht="21.75" customHeight="1">
      <c r="A210" s="65"/>
      <c r="B210" s="52"/>
      <c r="C210" s="387" t="s">
        <v>854</v>
      </c>
      <c r="D210" s="111">
        <v>7270000</v>
      </c>
      <c r="E210" s="406">
        <f>818000-15000</f>
        <v>803000</v>
      </c>
      <c r="F210" s="406"/>
      <c r="G210" s="406">
        <f t="shared" si="6"/>
        <v>6467000</v>
      </c>
      <c r="H210" s="107"/>
      <c r="I210" s="107"/>
      <c r="K210" s="78"/>
    </row>
    <row r="211" spans="1:11" s="99" customFormat="1" ht="21.75" customHeight="1">
      <c r="A211" s="66"/>
      <c r="B211" s="62">
        <v>90004</v>
      </c>
      <c r="C211" s="62" t="s">
        <v>438</v>
      </c>
      <c r="D211" s="106">
        <v>3640000</v>
      </c>
      <c r="E211" s="106"/>
      <c r="F211" s="106">
        <f>F212</f>
        <v>100000</v>
      </c>
      <c r="G211" s="106">
        <f t="shared" si="6"/>
        <v>3740000</v>
      </c>
      <c r="H211" s="107"/>
      <c r="I211" s="107"/>
      <c r="K211" s="107"/>
    </row>
    <row r="212" spans="1:11" s="79" customFormat="1" ht="21.75" customHeight="1">
      <c r="A212" s="65"/>
      <c r="B212" s="52"/>
      <c r="C212" s="80" t="s">
        <v>854</v>
      </c>
      <c r="D212" s="111">
        <v>500000</v>
      </c>
      <c r="E212" s="406"/>
      <c r="F212" s="406">
        <v>100000</v>
      </c>
      <c r="G212" s="406">
        <f t="shared" si="6"/>
        <v>600000</v>
      </c>
      <c r="H212" s="107"/>
      <c r="I212" s="107"/>
      <c r="K212" s="78"/>
    </row>
    <row r="213" spans="1:11" s="99" customFormat="1" ht="21.75" customHeight="1">
      <c r="A213" s="66"/>
      <c r="B213" s="62">
        <v>90015</v>
      </c>
      <c r="C213" s="62" t="s">
        <v>440</v>
      </c>
      <c r="D213" s="106">
        <v>7950000</v>
      </c>
      <c r="E213" s="106"/>
      <c r="F213" s="106">
        <f>SUM(F214:F215)</f>
        <v>83000</v>
      </c>
      <c r="G213" s="106">
        <f t="shared" si="6"/>
        <v>8033000</v>
      </c>
      <c r="H213" s="107"/>
      <c r="I213" s="107"/>
      <c r="K213" s="107"/>
    </row>
    <row r="214" spans="1:11" s="99" customFormat="1" ht="21.75" customHeight="1">
      <c r="A214" s="65"/>
      <c r="B214" s="52"/>
      <c r="C214" s="1422" t="s">
        <v>441</v>
      </c>
      <c r="D214" s="1425">
        <v>4400000</v>
      </c>
      <c r="E214" s="1425"/>
      <c r="F214" s="1425">
        <v>19000</v>
      </c>
      <c r="G214" s="1425">
        <f t="shared" si="6"/>
        <v>4419000</v>
      </c>
      <c r="H214" s="107"/>
      <c r="I214" s="107"/>
      <c r="K214" s="107"/>
    </row>
    <row r="215" spans="1:11" s="99" customFormat="1" ht="21.75" customHeight="1">
      <c r="A215" s="65"/>
      <c r="B215" s="52"/>
      <c r="C215" s="80" t="s">
        <v>442</v>
      </c>
      <c r="D215" s="1408">
        <v>3100000</v>
      </c>
      <c r="E215" s="1408"/>
      <c r="F215" s="1408">
        <v>64000</v>
      </c>
      <c r="G215" s="1408">
        <f t="shared" si="6"/>
        <v>3164000</v>
      </c>
      <c r="H215" s="107"/>
      <c r="I215" s="107"/>
      <c r="K215" s="107"/>
    </row>
    <row r="216" spans="1:11" s="99" customFormat="1" ht="21.75" customHeight="1">
      <c r="A216" s="66"/>
      <c r="B216" s="62">
        <v>90095</v>
      </c>
      <c r="C216" s="62" t="s">
        <v>646</v>
      </c>
      <c r="D216" s="106">
        <v>17201000</v>
      </c>
      <c r="E216" s="106"/>
      <c r="F216" s="106">
        <f>F217</f>
        <v>620000</v>
      </c>
      <c r="G216" s="106">
        <f t="shared" si="6"/>
        <v>17821000</v>
      </c>
      <c r="H216" s="107"/>
      <c r="I216" s="107"/>
      <c r="K216" s="107"/>
    </row>
    <row r="217" spans="1:11" s="79" customFormat="1" ht="21.75" customHeight="1">
      <c r="A217" s="595"/>
      <c r="B217" s="55"/>
      <c r="C217" s="872" t="s">
        <v>854</v>
      </c>
      <c r="D217" s="1010">
        <v>17071000</v>
      </c>
      <c r="E217" s="1344"/>
      <c r="F217" s="1344">
        <f>890000-270000</f>
        <v>620000</v>
      </c>
      <c r="G217" s="1344">
        <f t="shared" si="6"/>
        <v>17691000</v>
      </c>
      <c r="H217" s="107"/>
      <c r="I217" s="107"/>
      <c r="K217" s="78"/>
    </row>
    <row r="218" spans="1:11" ht="21.75" customHeight="1">
      <c r="A218" s="74">
        <v>921</v>
      </c>
      <c r="B218" s="74"/>
      <c r="C218" s="74" t="s">
        <v>265</v>
      </c>
      <c r="D218" s="59">
        <v>15515412</v>
      </c>
      <c r="E218" s="60"/>
      <c r="F218" s="60"/>
      <c r="G218" s="60">
        <f t="shared" si="6"/>
        <v>15515412</v>
      </c>
      <c r="H218" s="47"/>
      <c r="I218" s="47"/>
      <c r="K218" s="47"/>
    </row>
    <row r="219" spans="1:11" s="99" customFormat="1" ht="21.75" customHeight="1">
      <c r="A219" s="383"/>
      <c r="B219" s="62">
        <v>92105</v>
      </c>
      <c r="C219" s="62" t="s">
        <v>883</v>
      </c>
      <c r="D219" s="106">
        <v>852786</v>
      </c>
      <c r="E219" s="106"/>
      <c r="F219" s="106"/>
      <c r="G219" s="106">
        <f t="shared" si="6"/>
        <v>852786</v>
      </c>
      <c r="H219" s="107"/>
      <c r="I219" s="107"/>
      <c r="K219" s="107"/>
    </row>
    <row r="220" spans="1:11" s="99" customFormat="1" ht="27" customHeight="1">
      <c r="A220" s="65"/>
      <c r="B220" s="52"/>
      <c r="C220" s="80" t="s">
        <v>240</v>
      </c>
      <c r="D220" s="112">
        <v>10000</v>
      </c>
      <c r="E220" s="112"/>
      <c r="F220" s="112"/>
      <c r="G220" s="112">
        <f t="shared" si="6"/>
        <v>10000</v>
      </c>
      <c r="H220" s="107"/>
      <c r="I220" s="107"/>
      <c r="K220" s="107"/>
    </row>
    <row r="221" spans="1:11" s="120" customFormat="1" ht="19.5" customHeight="1">
      <c r="A221" s="144"/>
      <c r="B221" s="66"/>
      <c r="C221" s="68" t="s">
        <v>853</v>
      </c>
      <c r="D221" s="1264">
        <v>8000</v>
      </c>
      <c r="E221" s="1264"/>
      <c r="F221" s="1264">
        <v>878</v>
      </c>
      <c r="G221" s="1264">
        <f t="shared" si="6"/>
        <v>8878</v>
      </c>
      <c r="H221" s="119"/>
      <c r="I221" s="119"/>
      <c r="K221" s="119"/>
    </row>
    <row r="222" spans="1:11" ht="30" customHeight="1" thickBot="1">
      <c r="A222" s="52"/>
      <c r="B222" s="52"/>
      <c r="C222" s="873" t="s">
        <v>602</v>
      </c>
      <c r="D222" s="1427">
        <v>5983097</v>
      </c>
      <c r="E222" s="1427"/>
      <c r="F222" s="1427"/>
      <c r="G222" s="1427">
        <f t="shared" si="6"/>
        <v>5983097</v>
      </c>
      <c r="H222" s="47"/>
      <c r="I222" s="47"/>
      <c r="K222" s="47"/>
    </row>
    <row r="223" spans="1:11" s="45" customFormat="1" ht="21.75" customHeight="1" thickTop="1">
      <c r="A223" s="57">
        <v>854</v>
      </c>
      <c r="B223" s="74"/>
      <c r="C223" s="58" t="s">
        <v>649</v>
      </c>
      <c r="D223" s="432">
        <v>1705051</v>
      </c>
      <c r="E223" s="432"/>
      <c r="F223" s="432"/>
      <c r="G223" s="432">
        <f t="shared" si="6"/>
        <v>1705051</v>
      </c>
      <c r="H223" s="95"/>
      <c r="I223" s="95"/>
      <c r="K223" s="95"/>
    </row>
    <row r="224" spans="1:11" s="45" customFormat="1" ht="21.75" customHeight="1">
      <c r="A224" s="109"/>
      <c r="B224" s="1026">
        <v>85415</v>
      </c>
      <c r="C224" s="75" t="s">
        <v>201</v>
      </c>
      <c r="D224" s="1260">
        <v>1705051</v>
      </c>
      <c r="E224" s="1260"/>
      <c r="F224" s="1260"/>
      <c r="G224" s="1260">
        <f t="shared" si="6"/>
        <v>1705051</v>
      </c>
      <c r="H224" s="95"/>
      <c r="I224" s="95"/>
      <c r="K224" s="95"/>
    </row>
    <row r="225" spans="1:11" ht="27" customHeight="1">
      <c r="A225" s="52"/>
      <c r="B225" s="52"/>
      <c r="C225" s="1340" t="s">
        <v>850</v>
      </c>
      <c r="D225" s="1428">
        <v>465813</v>
      </c>
      <c r="E225" s="1428"/>
      <c r="F225" s="1429"/>
      <c r="G225" s="1429">
        <f t="shared" si="6"/>
        <v>465813</v>
      </c>
      <c r="H225" s="47"/>
      <c r="I225" s="47"/>
      <c r="K225" s="47"/>
    </row>
    <row r="226" spans="1:11" s="120" customFormat="1" ht="21.75" customHeight="1">
      <c r="A226" s="144"/>
      <c r="B226" s="66"/>
      <c r="C226" s="1411" t="s">
        <v>853</v>
      </c>
      <c r="D226" s="1051">
        <f>16060+7540</f>
        <v>23600</v>
      </c>
      <c r="E226" s="1051">
        <f>7702+3616</f>
        <v>11318</v>
      </c>
      <c r="F226" s="1051"/>
      <c r="G226" s="1051">
        <f t="shared" si="6"/>
        <v>12282</v>
      </c>
      <c r="H226" s="119"/>
      <c r="I226" s="119"/>
      <c r="K226" s="119"/>
    </row>
    <row r="227" spans="1:11" s="120" customFormat="1" ht="21.75" customHeight="1">
      <c r="A227" s="144"/>
      <c r="B227" s="66"/>
      <c r="C227" s="68" t="s">
        <v>36</v>
      </c>
      <c r="D227" s="114">
        <f>6297+2956</f>
        <v>9253</v>
      </c>
      <c r="E227" s="114">
        <f>261+122</f>
        <v>383</v>
      </c>
      <c r="F227" s="114"/>
      <c r="G227" s="114">
        <f t="shared" si="6"/>
        <v>8870</v>
      </c>
      <c r="H227" s="119"/>
      <c r="I227" s="119"/>
      <c r="K227" s="119"/>
    </row>
    <row r="228" spans="1:11" ht="21.75" customHeight="1" thickBot="1">
      <c r="A228" s="52"/>
      <c r="B228" s="52"/>
      <c r="C228" s="1628" t="s">
        <v>676</v>
      </c>
      <c r="D228" s="1629">
        <v>100084707</v>
      </c>
      <c r="E228" s="1629">
        <f>E229+E245</f>
        <v>3410558</v>
      </c>
      <c r="F228" s="1629">
        <f>F229+F245</f>
        <v>432143</v>
      </c>
      <c r="G228" s="1629">
        <f t="shared" si="6"/>
        <v>97106292</v>
      </c>
      <c r="H228" s="47"/>
      <c r="I228" s="47"/>
      <c r="K228" s="47"/>
    </row>
    <row r="229" spans="1:11" s="45" customFormat="1" ht="21.75" customHeight="1" thickTop="1">
      <c r="A229" s="67"/>
      <c r="B229" s="67"/>
      <c r="C229" s="1321" t="s">
        <v>677</v>
      </c>
      <c r="D229" s="1543">
        <v>77529936</v>
      </c>
      <c r="E229" s="1543">
        <f>E230+E237+E233</f>
        <v>3343500</v>
      </c>
      <c r="F229" s="1543">
        <f>F230+F237+F233</f>
        <v>188638</v>
      </c>
      <c r="G229" s="1543">
        <f t="shared" si="6"/>
        <v>74375074</v>
      </c>
      <c r="H229" s="95"/>
      <c r="I229" s="95"/>
      <c r="K229" s="95"/>
    </row>
    <row r="230" spans="1:11" s="45" customFormat="1" ht="21.75" customHeight="1">
      <c r="A230" s="573" t="s">
        <v>862</v>
      </c>
      <c r="B230" s="58"/>
      <c r="C230" s="58" t="s">
        <v>863</v>
      </c>
      <c r="D230" s="432"/>
      <c r="E230" s="432"/>
      <c r="F230" s="432">
        <v>4573</v>
      </c>
      <c r="G230" s="432">
        <f t="shared" si="6"/>
        <v>4573</v>
      </c>
      <c r="H230" s="95"/>
      <c r="I230" s="95"/>
      <c r="K230" s="95"/>
    </row>
    <row r="231" spans="1:11" s="45" customFormat="1" ht="21.75" customHeight="1">
      <c r="A231" s="109"/>
      <c r="B231" s="1026" t="s">
        <v>896</v>
      </c>
      <c r="C231" s="75" t="s">
        <v>646</v>
      </c>
      <c r="D231" s="1260"/>
      <c r="E231" s="1260"/>
      <c r="F231" s="1260">
        <v>4573</v>
      </c>
      <c r="G231" s="1260">
        <f t="shared" si="6"/>
        <v>4573</v>
      </c>
      <c r="H231" s="95"/>
      <c r="I231" s="95"/>
      <c r="K231" s="95"/>
    </row>
    <row r="232" spans="1:11" ht="26.25" customHeight="1">
      <c r="A232" s="52"/>
      <c r="B232" s="52"/>
      <c r="C232" s="860" t="s">
        <v>450</v>
      </c>
      <c r="D232" s="1426"/>
      <c r="E232" s="1426"/>
      <c r="F232" s="1426">
        <v>4573</v>
      </c>
      <c r="G232" s="1426">
        <f t="shared" si="6"/>
        <v>4573</v>
      </c>
      <c r="H232" s="47"/>
      <c r="I232" s="47"/>
      <c r="K232" s="47"/>
    </row>
    <row r="233" spans="1:11" s="45" customFormat="1" ht="21.75" customHeight="1">
      <c r="A233" s="57">
        <v>851</v>
      </c>
      <c r="B233" s="74"/>
      <c r="C233" s="74" t="s">
        <v>650</v>
      </c>
      <c r="D233" s="432">
        <v>3682</v>
      </c>
      <c r="E233" s="432"/>
      <c r="F233" s="432">
        <f>F234</f>
        <v>3297</v>
      </c>
      <c r="G233" s="432">
        <f aca="true" t="shared" si="7" ref="G233:G279">D233+F233-E233</f>
        <v>6979</v>
      </c>
      <c r="H233" s="95"/>
      <c r="I233" s="95"/>
      <c r="K233" s="95"/>
    </row>
    <row r="234" spans="1:11" s="45" customFormat="1" ht="21.75" customHeight="1">
      <c r="A234" s="109"/>
      <c r="B234" s="1026">
        <v>85195</v>
      </c>
      <c r="C234" s="75" t="s">
        <v>646</v>
      </c>
      <c r="D234" s="1260">
        <v>3682</v>
      </c>
      <c r="E234" s="1260"/>
      <c r="F234" s="1260">
        <f>F235</f>
        <v>3297</v>
      </c>
      <c r="G234" s="1260">
        <f t="shared" si="7"/>
        <v>6979</v>
      </c>
      <c r="H234" s="95"/>
      <c r="I234" s="95"/>
      <c r="K234" s="95"/>
    </row>
    <row r="235" spans="1:11" ht="21.75" customHeight="1">
      <c r="A235" s="52"/>
      <c r="B235" s="52"/>
      <c r="C235" s="860" t="s">
        <v>72</v>
      </c>
      <c r="D235" s="1428">
        <v>3682</v>
      </c>
      <c r="E235" s="1428"/>
      <c r="F235" s="1429">
        <v>3297</v>
      </c>
      <c r="G235" s="1429">
        <f t="shared" si="7"/>
        <v>6979</v>
      </c>
      <c r="H235" s="47"/>
      <c r="I235" s="47"/>
      <c r="K235" s="47"/>
    </row>
    <row r="236" spans="1:11" s="120" customFormat="1" ht="21.75" customHeight="1">
      <c r="A236" s="144"/>
      <c r="B236" s="66"/>
      <c r="C236" s="68" t="s">
        <v>853</v>
      </c>
      <c r="D236" s="114">
        <v>3070</v>
      </c>
      <c r="E236" s="114"/>
      <c r="F236" s="1264">
        <v>2749</v>
      </c>
      <c r="G236" s="1264">
        <f t="shared" si="7"/>
        <v>5819</v>
      </c>
      <c r="H236" s="119"/>
      <c r="I236" s="119"/>
      <c r="K236" s="119"/>
    </row>
    <row r="237" spans="1:11" s="45" customFormat="1" ht="21.75" customHeight="1">
      <c r="A237" s="57">
        <v>852</v>
      </c>
      <c r="B237" s="74"/>
      <c r="C237" s="74" t="s">
        <v>648</v>
      </c>
      <c r="D237" s="432">
        <v>75015600</v>
      </c>
      <c r="E237" s="432">
        <f>E238+E241+E243</f>
        <v>3343500</v>
      </c>
      <c r="F237" s="432">
        <f>F238+F241+F243</f>
        <v>180768</v>
      </c>
      <c r="G237" s="432">
        <f t="shared" si="7"/>
        <v>71852868</v>
      </c>
      <c r="H237" s="95"/>
      <c r="I237" s="95"/>
      <c r="K237" s="95"/>
    </row>
    <row r="238" spans="1:11" s="45" customFormat="1" ht="36.75" customHeight="1">
      <c r="A238" s="109"/>
      <c r="B238" s="1026">
        <v>85212</v>
      </c>
      <c r="C238" s="413" t="s">
        <v>415</v>
      </c>
      <c r="D238" s="1260">
        <v>63922000</v>
      </c>
      <c r="E238" s="1260">
        <f>SUM(E239:E240)</f>
        <v>2643500</v>
      </c>
      <c r="F238" s="1260"/>
      <c r="G238" s="1260">
        <f t="shared" si="7"/>
        <v>61278500</v>
      </c>
      <c r="H238" s="95"/>
      <c r="I238" s="95"/>
      <c r="K238" s="95"/>
    </row>
    <row r="239" spans="1:11" ht="21.75" customHeight="1">
      <c r="A239" s="52"/>
      <c r="B239" s="52"/>
      <c r="C239" s="905" t="s">
        <v>667</v>
      </c>
      <c r="D239" s="1429">
        <v>462400</v>
      </c>
      <c r="E239" s="1429">
        <v>93185</v>
      </c>
      <c r="F239" s="1429"/>
      <c r="G239" s="1429">
        <f t="shared" si="7"/>
        <v>369215</v>
      </c>
      <c r="H239" s="47"/>
      <c r="I239" s="47"/>
      <c r="K239" s="47"/>
    </row>
    <row r="240" spans="1:11" ht="21.75" customHeight="1">
      <c r="A240" s="52"/>
      <c r="B240" s="52"/>
      <c r="C240" s="1541" t="s">
        <v>453</v>
      </c>
      <c r="D240" s="1542">
        <v>62044000</v>
      </c>
      <c r="E240" s="1542">
        <v>2550315</v>
      </c>
      <c r="F240" s="1542"/>
      <c r="G240" s="1542">
        <f t="shared" si="7"/>
        <v>59493685</v>
      </c>
      <c r="H240" s="47"/>
      <c r="I240" s="47"/>
      <c r="K240" s="47"/>
    </row>
    <row r="241" spans="1:11" s="45" customFormat="1" ht="28.5" customHeight="1">
      <c r="A241" s="109"/>
      <c r="B241" s="1026">
        <v>85214</v>
      </c>
      <c r="C241" s="1106" t="s">
        <v>66</v>
      </c>
      <c r="D241" s="1260">
        <v>8122000</v>
      </c>
      <c r="E241" s="1260">
        <v>700000</v>
      </c>
      <c r="F241" s="1260"/>
      <c r="G241" s="1260">
        <f t="shared" si="7"/>
        <v>7422000</v>
      </c>
      <c r="H241" s="95"/>
      <c r="I241" s="95"/>
      <c r="K241" s="95"/>
    </row>
    <row r="242" spans="1:11" ht="21.75" customHeight="1">
      <c r="A242" s="52"/>
      <c r="B242" s="1415"/>
      <c r="C242" s="712" t="s">
        <v>69</v>
      </c>
      <c r="D242" s="1426">
        <v>8122000</v>
      </c>
      <c r="E242" s="1426">
        <v>700000</v>
      </c>
      <c r="F242" s="1426"/>
      <c r="G242" s="1426">
        <f t="shared" si="7"/>
        <v>7422000</v>
      </c>
      <c r="H242" s="47"/>
      <c r="I242" s="47"/>
      <c r="K242" s="47"/>
    </row>
    <row r="243" spans="1:11" s="45" customFormat="1" ht="18" customHeight="1">
      <c r="A243" s="109"/>
      <c r="B243" s="1389">
        <v>85278</v>
      </c>
      <c r="C243" s="75" t="s">
        <v>74</v>
      </c>
      <c r="D243" s="1260">
        <v>69500</v>
      </c>
      <c r="E243" s="1260"/>
      <c r="F243" s="1260">
        <f>F244</f>
        <v>180768</v>
      </c>
      <c r="G243" s="1260">
        <f t="shared" si="7"/>
        <v>250268</v>
      </c>
      <c r="H243" s="95"/>
      <c r="I243" s="95"/>
      <c r="K243" s="95"/>
    </row>
    <row r="244" spans="1:11" ht="21" customHeight="1">
      <c r="A244" s="52"/>
      <c r="B244" s="52"/>
      <c r="C244" s="712" t="s">
        <v>452</v>
      </c>
      <c r="D244" s="1426">
        <v>69500</v>
      </c>
      <c r="E244" s="1426"/>
      <c r="F244" s="1426">
        <v>180768</v>
      </c>
      <c r="G244" s="1426">
        <f t="shared" si="7"/>
        <v>250268</v>
      </c>
      <c r="H244" s="47"/>
      <c r="I244" s="47"/>
      <c r="K244" s="47"/>
    </row>
    <row r="245" spans="1:11" s="45" customFormat="1" ht="29.25" customHeight="1" thickBot="1">
      <c r="A245" s="67"/>
      <c r="B245" s="67"/>
      <c r="C245" s="873" t="s">
        <v>678</v>
      </c>
      <c r="D245" s="1427">
        <v>22554771</v>
      </c>
      <c r="E245" s="1427">
        <f>E246+E253+E258+E262+E277+E268+E272</f>
        <v>67058</v>
      </c>
      <c r="F245" s="1427">
        <f>F246+F253+F258+F262+F277+F268+F272</f>
        <v>243505</v>
      </c>
      <c r="G245" s="1427">
        <f t="shared" si="7"/>
        <v>22731218</v>
      </c>
      <c r="H245" s="95"/>
      <c r="I245" s="95"/>
      <c r="K245" s="95"/>
    </row>
    <row r="246" spans="1:11" s="45" customFormat="1" ht="18" customHeight="1" thickTop="1">
      <c r="A246" s="57">
        <v>710</v>
      </c>
      <c r="B246" s="74"/>
      <c r="C246" s="74" t="s">
        <v>258</v>
      </c>
      <c r="D246" s="432">
        <v>614235</v>
      </c>
      <c r="E246" s="432">
        <v>11337</v>
      </c>
      <c r="F246" s="432">
        <f>F247+F251</f>
        <v>14337</v>
      </c>
      <c r="G246" s="432">
        <f t="shared" si="7"/>
        <v>617235</v>
      </c>
      <c r="H246" s="95"/>
      <c r="I246" s="95"/>
      <c r="K246" s="95"/>
    </row>
    <row r="247" spans="1:11" s="45" customFormat="1" ht="18" customHeight="1">
      <c r="A247" s="109"/>
      <c r="B247" s="105">
        <v>71015</v>
      </c>
      <c r="C247" s="75" t="s">
        <v>79</v>
      </c>
      <c r="D247" s="1260">
        <v>502898</v>
      </c>
      <c r="E247" s="1260"/>
      <c r="F247" s="1283">
        <f>SUM(F248:F250)</f>
        <v>14337</v>
      </c>
      <c r="G247" s="1260">
        <f t="shared" si="7"/>
        <v>517235</v>
      </c>
      <c r="H247" s="95"/>
      <c r="I247" s="95"/>
      <c r="K247" s="95"/>
    </row>
    <row r="248" spans="1:11" ht="18" customHeight="1">
      <c r="A248" s="52"/>
      <c r="B248" s="52"/>
      <c r="C248" s="860" t="s">
        <v>127</v>
      </c>
      <c r="D248" s="864">
        <v>320613</v>
      </c>
      <c r="E248" s="864"/>
      <c r="F248" s="864">
        <v>4370</v>
      </c>
      <c r="G248" s="864">
        <f t="shared" si="7"/>
        <v>324983</v>
      </c>
      <c r="H248" s="47"/>
      <c r="I248" s="47"/>
      <c r="K248" s="47"/>
    </row>
    <row r="249" spans="1:11" ht="18" customHeight="1">
      <c r="A249" s="52"/>
      <c r="B249" s="52"/>
      <c r="C249" s="80" t="s">
        <v>667</v>
      </c>
      <c r="D249" s="380">
        <v>120085</v>
      </c>
      <c r="E249" s="380"/>
      <c r="F249" s="380">
        <v>8287</v>
      </c>
      <c r="G249" s="380">
        <f t="shared" si="7"/>
        <v>128372</v>
      </c>
      <c r="H249" s="47"/>
      <c r="I249" s="47"/>
      <c r="K249" s="47"/>
    </row>
    <row r="250" spans="1:11" ht="18" customHeight="1">
      <c r="A250" s="52"/>
      <c r="B250" s="55"/>
      <c r="C250" s="1400" t="s">
        <v>692</v>
      </c>
      <c r="D250" s="1430">
        <v>62200</v>
      </c>
      <c r="E250" s="1430"/>
      <c r="F250" s="1430">
        <v>1680</v>
      </c>
      <c r="G250" s="1430">
        <f t="shared" si="7"/>
        <v>63880</v>
      </c>
      <c r="H250" s="47"/>
      <c r="I250" s="47"/>
      <c r="K250" s="47"/>
    </row>
    <row r="251" spans="1:11" s="45" customFormat="1" ht="18" customHeight="1">
      <c r="A251" s="109"/>
      <c r="B251" s="110">
        <v>71095</v>
      </c>
      <c r="C251" s="75" t="s">
        <v>646</v>
      </c>
      <c r="D251" s="1260">
        <v>11337</v>
      </c>
      <c r="E251" s="1260">
        <f>E252</f>
        <v>11337</v>
      </c>
      <c r="F251" s="1260"/>
      <c r="G251" s="1260">
        <f t="shared" si="7"/>
        <v>0</v>
      </c>
      <c r="H251" s="95"/>
      <c r="I251" s="95"/>
      <c r="K251" s="95"/>
    </row>
    <row r="252" spans="1:11" ht="18" customHeight="1">
      <c r="A252" s="55"/>
      <c r="B252" s="55"/>
      <c r="C252" s="712" t="s">
        <v>82</v>
      </c>
      <c r="D252" s="1426">
        <v>11337</v>
      </c>
      <c r="E252" s="1426">
        <v>11337</v>
      </c>
      <c r="F252" s="1426"/>
      <c r="G252" s="1426">
        <f t="shared" si="7"/>
        <v>0</v>
      </c>
      <c r="H252" s="47"/>
      <c r="I252" s="47"/>
      <c r="K252" s="47"/>
    </row>
    <row r="253" spans="1:11" s="45" customFormat="1" ht="19.5" customHeight="1">
      <c r="A253" s="57">
        <v>750</v>
      </c>
      <c r="B253" s="74"/>
      <c r="C253" s="74" t="s">
        <v>651</v>
      </c>
      <c r="D253" s="432">
        <v>916641</v>
      </c>
      <c r="E253" s="432">
        <f>E254+E256</f>
        <v>15269</v>
      </c>
      <c r="F253" s="432">
        <f>F254+F256</f>
        <v>15269</v>
      </c>
      <c r="G253" s="432">
        <f t="shared" si="7"/>
        <v>916641</v>
      </c>
      <c r="H253" s="95"/>
      <c r="I253" s="95"/>
      <c r="K253" s="95"/>
    </row>
    <row r="254" spans="1:11" s="45" customFormat="1" ht="19.5" customHeight="1">
      <c r="A254" s="109"/>
      <c r="B254" s="105">
        <v>75011</v>
      </c>
      <c r="C254" s="75" t="s">
        <v>77</v>
      </c>
      <c r="D254" s="1260">
        <v>810641</v>
      </c>
      <c r="E254" s="1260"/>
      <c r="F254" s="1260">
        <f>F255</f>
        <v>15269</v>
      </c>
      <c r="G254" s="1260">
        <f t="shared" si="7"/>
        <v>825910</v>
      </c>
      <c r="H254" s="95"/>
      <c r="I254" s="95"/>
      <c r="K254" s="95"/>
    </row>
    <row r="255" spans="1:11" ht="19.5" customHeight="1">
      <c r="A255" s="52"/>
      <c r="B255" s="1415"/>
      <c r="C255" s="712" t="s">
        <v>667</v>
      </c>
      <c r="D255" s="1426">
        <v>35017</v>
      </c>
      <c r="E255" s="1426"/>
      <c r="F255" s="1426">
        <v>15269</v>
      </c>
      <c r="G255" s="1426">
        <f t="shared" si="7"/>
        <v>50286</v>
      </c>
      <c r="H255" s="47"/>
      <c r="I255" s="47"/>
      <c r="K255" s="47"/>
    </row>
    <row r="256" spans="1:11" s="45" customFormat="1" ht="19.5" customHeight="1">
      <c r="A256" s="109"/>
      <c r="B256" s="110">
        <v>75045</v>
      </c>
      <c r="C256" s="75" t="s">
        <v>886</v>
      </c>
      <c r="D256" s="1260">
        <v>106000</v>
      </c>
      <c r="E256" s="1260">
        <f>E257</f>
        <v>15269</v>
      </c>
      <c r="F256" s="1260"/>
      <c r="G256" s="1260">
        <f t="shared" si="7"/>
        <v>90731</v>
      </c>
      <c r="H256" s="95"/>
      <c r="I256" s="95"/>
      <c r="K256" s="95"/>
    </row>
    <row r="257" spans="1:11" ht="19.5" customHeight="1">
      <c r="A257" s="52"/>
      <c r="B257" s="52"/>
      <c r="C257" s="860" t="s">
        <v>889</v>
      </c>
      <c r="D257" s="1426">
        <v>106000</v>
      </c>
      <c r="E257" s="1426">
        <v>15269</v>
      </c>
      <c r="F257" s="1426"/>
      <c r="G257" s="1426">
        <f t="shared" si="7"/>
        <v>90731</v>
      </c>
      <c r="H257" s="47"/>
      <c r="I257" s="47"/>
      <c r="K257" s="47"/>
    </row>
    <row r="258" spans="1:11" s="45" customFormat="1" ht="19.5" customHeight="1">
      <c r="A258" s="57">
        <v>752</v>
      </c>
      <c r="B258" s="74"/>
      <c r="C258" s="74" t="s">
        <v>828</v>
      </c>
      <c r="D258" s="432">
        <v>3400</v>
      </c>
      <c r="E258" s="432"/>
      <c r="F258" s="432"/>
      <c r="G258" s="432">
        <f t="shared" si="7"/>
        <v>3400</v>
      </c>
      <c r="H258" s="95"/>
      <c r="I258" s="95"/>
      <c r="K258" s="95"/>
    </row>
    <row r="259" spans="1:11" s="45" customFormat="1" ht="19.5" customHeight="1">
      <c r="A259" s="109"/>
      <c r="B259" s="105">
        <v>75212</v>
      </c>
      <c r="C259" s="75" t="s">
        <v>829</v>
      </c>
      <c r="D259" s="1260">
        <v>3400</v>
      </c>
      <c r="E259" s="1260"/>
      <c r="F259" s="1260"/>
      <c r="G259" s="1260">
        <f t="shared" si="7"/>
        <v>3400</v>
      </c>
      <c r="H259" s="95"/>
      <c r="I259" s="95"/>
      <c r="K259" s="95"/>
    </row>
    <row r="260" spans="1:11" ht="19.5" customHeight="1">
      <c r="A260" s="52"/>
      <c r="B260" s="52"/>
      <c r="C260" s="860" t="s">
        <v>830</v>
      </c>
      <c r="D260" s="1428">
        <v>3400</v>
      </c>
      <c r="E260" s="1429"/>
      <c r="F260" s="1429"/>
      <c r="G260" s="1429">
        <f t="shared" si="7"/>
        <v>3400</v>
      </c>
      <c r="H260" s="47"/>
      <c r="I260" s="47"/>
      <c r="K260" s="47"/>
    </row>
    <row r="261" spans="1:11" s="120" customFormat="1" ht="19.5" customHeight="1">
      <c r="A261" s="144"/>
      <c r="B261" s="66"/>
      <c r="C261" s="68" t="s">
        <v>853</v>
      </c>
      <c r="D261" s="114">
        <v>1000</v>
      </c>
      <c r="E261" s="1264"/>
      <c r="F261" s="1264">
        <v>500</v>
      </c>
      <c r="G261" s="1264">
        <f t="shared" si="7"/>
        <v>1500</v>
      </c>
      <c r="H261" s="119"/>
      <c r="I261" s="119"/>
      <c r="K261" s="119"/>
    </row>
    <row r="262" spans="1:11" s="45" customFormat="1" ht="21.75" customHeight="1">
      <c r="A262" s="57">
        <v>754</v>
      </c>
      <c r="B262" s="74"/>
      <c r="C262" s="74" t="s">
        <v>641</v>
      </c>
      <c r="D262" s="432">
        <v>12959000</v>
      </c>
      <c r="E262" s="432">
        <f>E263</f>
        <v>40452</v>
      </c>
      <c r="F262" s="432">
        <f>F263</f>
        <v>61652</v>
      </c>
      <c r="G262" s="432">
        <f t="shared" si="7"/>
        <v>12980200</v>
      </c>
      <c r="H262" s="95"/>
      <c r="I262" s="95"/>
      <c r="K262" s="95"/>
    </row>
    <row r="263" spans="1:11" s="45" customFormat="1" ht="21.75" customHeight="1">
      <c r="A263" s="109"/>
      <c r="B263" s="105">
        <v>75411</v>
      </c>
      <c r="C263" s="75" t="s">
        <v>806</v>
      </c>
      <c r="D263" s="1260">
        <v>12959000</v>
      </c>
      <c r="E263" s="1260">
        <f>E264+E265</f>
        <v>40452</v>
      </c>
      <c r="F263" s="1260">
        <f>F264+F265+F267</f>
        <v>61652</v>
      </c>
      <c r="G263" s="1260">
        <f t="shared" si="7"/>
        <v>12980200</v>
      </c>
      <c r="H263" s="95"/>
      <c r="I263" s="95"/>
      <c r="K263" s="95"/>
    </row>
    <row r="264" spans="1:11" ht="21.75" customHeight="1">
      <c r="A264" s="52"/>
      <c r="B264" s="52"/>
      <c r="C264" s="860" t="s">
        <v>127</v>
      </c>
      <c r="D264" s="1428">
        <v>9838800</v>
      </c>
      <c r="E264" s="1428">
        <v>40452</v>
      </c>
      <c r="F264" s="1428"/>
      <c r="G264" s="1428">
        <f t="shared" si="7"/>
        <v>9798348</v>
      </c>
      <c r="H264" s="47"/>
      <c r="I264" s="47"/>
      <c r="K264" s="47"/>
    </row>
    <row r="265" spans="1:11" ht="21.75" customHeight="1">
      <c r="A265" s="52"/>
      <c r="B265" s="52"/>
      <c r="C265" s="80" t="s">
        <v>667</v>
      </c>
      <c r="D265" s="1262">
        <v>3025386</v>
      </c>
      <c r="E265" s="1263"/>
      <c r="F265" s="1263">
        <v>61452</v>
      </c>
      <c r="G265" s="1263">
        <f t="shared" si="7"/>
        <v>3086838</v>
      </c>
      <c r="H265" s="47"/>
      <c r="I265" s="47"/>
      <c r="K265" s="47"/>
    </row>
    <row r="266" spans="1:11" s="120" customFormat="1" ht="21.75" customHeight="1">
      <c r="A266" s="144"/>
      <c r="B266" s="66"/>
      <c r="C266" s="1623" t="s">
        <v>852</v>
      </c>
      <c r="D266" s="399">
        <v>507300</v>
      </c>
      <c r="E266" s="1624"/>
      <c r="F266" s="1624">
        <f>10000+9400</f>
        <v>19400</v>
      </c>
      <c r="G266" s="1624">
        <f t="shared" si="7"/>
        <v>526700</v>
      </c>
      <c r="H266" s="119"/>
      <c r="I266" s="119"/>
      <c r="K266" s="119"/>
    </row>
    <row r="267" spans="1:11" ht="21.75" customHeight="1">
      <c r="A267" s="1625"/>
      <c r="B267" s="1625"/>
      <c r="C267" s="1626" t="s">
        <v>692</v>
      </c>
      <c r="D267" s="1627">
        <v>94814</v>
      </c>
      <c r="E267" s="1627"/>
      <c r="F267" s="1627">
        <v>200</v>
      </c>
      <c r="G267" s="1627">
        <f>D267+F267-E267</f>
        <v>95014</v>
      </c>
      <c r="H267" s="47"/>
      <c r="I267" s="47"/>
      <c r="K267" s="47"/>
    </row>
    <row r="268" spans="1:11" ht="21.75" customHeight="1">
      <c r="A268" s="58">
        <v>851</v>
      </c>
      <c r="B268" s="58"/>
      <c r="C268" s="58" t="s">
        <v>650</v>
      </c>
      <c r="D268" s="59">
        <v>6195000</v>
      </c>
      <c r="E268" s="60"/>
      <c r="F268" s="60">
        <f>F269</f>
        <v>120000</v>
      </c>
      <c r="G268" s="60">
        <f t="shared" si="7"/>
        <v>6315000</v>
      </c>
      <c r="H268" s="47"/>
      <c r="I268" s="47"/>
      <c r="K268" s="47"/>
    </row>
    <row r="269" spans="1:11" s="99" customFormat="1" ht="19.5" customHeight="1">
      <c r="A269" s="66"/>
      <c r="B269" s="62">
        <v>85141</v>
      </c>
      <c r="C269" s="62" t="s">
        <v>891</v>
      </c>
      <c r="D269" s="106">
        <v>120000</v>
      </c>
      <c r="E269" s="106"/>
      <c r="F269" s="106">
        <v>120000</v>
      </c>
      <c r="G269" s="106">
        <f t="shared" si="7"/>
        <v>240000</v>
      </c>
      <c r="H269" s="107"/>
      <c r="I269" s="107"/>
      <c r="K269" s="107"/>
    </row>
    <row r="270" spans="1:11" s="99" customFormat="1" ht="19.5" customHeight="1">
      <c r="A270" s="65"/>
      <c r="B270" s="52"/>
      <c r="C270" s="860" t="s">
        <v>838</v>
      </c>
      <c r="D270" s="111">
        <v>120000</v>
      </c>
      <c r="E270" s="111"/>
      <c r="F270" s="111">
        <v>120000</v>
      </c>
      <c r="G270" s="111">
        <f t="shared" si="7"/>
        <v>240000</v>
      </c>
      <c r="H270" s="107"/>
      <c r="I270" s="107"/>
      <c r="K270" s="107"/>
    </row>
    <row r="271" spans="1:11" s="120" customFormat="1" ht="21" customHeight="1">
      <c r="A271" s="144"/>
      <c r="B271" s="66"/>
      <c r="C271" s="1420" t="s">
        <v>36</v>
      </c>
      <c r="D271" s="1264"/>
      <c r="E271" s="1264"/>
      <c r="F271" s="1264">
        <v>120000</v>
      </c>
      <c r="G271" s="1264">
        <f t="shared" si="7"/>
        <v>120000</v>
      </c>
      <c r="H271" s="119"/>
      <c r="I271" s="119"/>
      <c r="K271" s="119"/>
    </row>
    <row r="272" spans="1:11" s="45" customFormat="1" ht="21.75" customHeight="1">
      <c r="A272" s="57">
        <v>852</v>
      </c>
      <c r="B272" s="74"/>
      <c r="C272" s="74" t="s">
        <v>648</v>
      </c>
      <c r="D272" s="432">
        <v>3411590</v>
      </c>
      <c r="E272" s="432"/>
      <c r="F272" s="432">
        <f>F273</f>
        <v>3000</v>
      </c>
      <c r="G272" s="432">
        <f>D272+F272-E272</f>
        <v>3414590</v>
      </c>
      <c r="H272" s="95"/>
      <c r="I272" s="95"/>
      <c r="K272" s="95"/>
    </row>
    <row r="273" spans="1:11" s="45" customFormat="1" ht="21.75" customHeight="1">
      <c r="A273" s="109"/>
      <c r="B273" s="1026">
        <v>85203</v>
      </c>
      <c r="C273" s="75" t="s">
        <v>261</v>
      </c>
      <c r="D273" s="1260">
        <v>3147590</v>
      </c>
      <c r="E273" s="1260"/>
      <c r="F273" s="1260">
        <f>F274</f>
        <v>3000</v>
      </c>
      <c r="G273" s="1260">
        <f>D273+F273-E273</f>
        <v>3150590</v>
      </c>
      <c r="H273" s="95"/>
      <c r="I273" s="95"/>
      <c r="K273" s="95"/>
    </row>
    <row r="274" spans="1:11" ht="29.25" customHeight="1">
      <c r="A274" s="52"/>
      <c r="B274" s="52"/>
      <c r="C274" s="1258" t="s">
        <v>241</v>
      </c>
      <c r="D274" s="1261">
        <v>310000</v>
      </c>
      <c r="E274" s="1261"/>
      <c r="F274" s="1261">
        <f>F275</f>
        <v>3000</v>
      </c>
      <c r="G274" s="1261">
        <f>D274+F274-E274</f>
        <v>313000</v>
      </c>
      <c r="H274" s="47"/>
      <c r="I274" s="47"/>
      <c r="K274" s="47"/>
    </row>
    <row r="275" spans="1:11" ht="19.5" customHeight="1">
      <c r="A275" s="52"/>
      <c r="B275" s="52"/>
      <c r="C275" s="905" t="s">
        <v>127</v>
      </c>
      <c r="D275" s="1263">
        <v>58787</v>
      </c>
      <c r="E275" s="1263"/>
      <c r="F275" s="1263">
        <v>3000</v>
      </c>
      <c r="G275" s="1263">
        <f>D275+F275-E275</f>
        <v>61787</v>
      </c>
      <c r="H275" s="47"/>
      <c r="I275" s="47"/>
      <c r="K275" s="47"/>
    </row>
    <row r="276" spans="1:11" ht="19.5" customHeight="1">
      <c r="A276" s="1333"/>
      <c r="B276" s="1333"/>
      <c r="C276" s="1431"/>
      <c r="D276" s="1544"/>
      <c r="E276" s="1544"/>
      <c r="F276" s="1544"/>
      <c r="G276" s="1544"/>
      <c r="H276" s="47"/>
      <c r="I276" s="47"/>
      <c r="K276" s="47"/>
    </row>
    <row r="277" spans="1:11" s="45" customFormat="1" ht="21.75" customHeight="1">
      <c r="A277" s="317">
        <v>853</v>
      </c>
      <c r="B277" s="58"/>
      <c r="C277" s="58" t="s">
        <v>691</v>
      </c>
      <c r="D277" s="432">
        <v>633654</v>
      </c>
      <c r="E277" s="432"/>
      <c r="F277" s="432">
        <f>F278</f>
        <v>29247</v>
      </c>
      <c r="G277" s="432">
        <f t="shared" si="7"/>
        <v>662901</v>
      </c>
      <c r="H277" s="95"/>
      <c r="I277" s="95"/>
      <c r="K277" s="95"/>
    </row>
    <row r="278" spans="1:11" s="45" customFormat="1" ht="21.75" customHeight="1">
      <c r="A278" s="109"/>
      <c r="B278" s="105">
        <v>85334</v>
      </c>
      <c r="C278" s="75" t="s">
        <v>908</v>
      </c>
      <c r="D278" s="1260">
        <v>64654</v>
      </c>
      <c r="E278" s="1260"/>
      <c r="F278" s="1260">
        <f>F279</f>
        <v>29247</v>
      </c>
      <c r="G278" s="1260">
        <f t="shared" si="7"/>
        <v>93901</v>
      </c>
      <c r="H278" s="95"/>
      <c r="I278" s="95"/>
      <c r="K278" s="95"/>
    </row>
    <row r="279" spans="1:11" ht="21.75" customHeight="1">
      <c r="A279" s="55"/>
      <c r="B279" s="55"/>
      <c r="C279" s="712" t="s">
        <v>910</v>
      </c>
      <c r="D279" s="1426">
        <v>64654</v>
      </c>
      <c r="E279" s="1426"/>
      <c r="F279" s="1426">
        <v>29247</v>
      </c>
      <c r="G279" s="1426">
        <f t="shared" si="7"/>
        <v>93901</v>
      </c>
      <c r="H279" s="47"/>
      <c r="I279" s="47"/>
      <c r="K279" s="47"/>
    </row>
    <row r="280" ht="26.25" customHeight="1"/>
    <row r="281" ht="19.5" customHeight="1"/>
    <row r="282" spans="3:7" ht="19.5" customHeight="1">
      <c r="C282" s="1" t="s">
        <v>446</v>
      </c>
      <c r="D282" s="127"/>
      <c r="E282" s="127"/>
      <c r="F282" s="1" t="s">
        <v>447</v>
      </c>
      <c r="G282" s="1"/>
    </row>
    <row r="283" spans="3:7" ht="12.75" customHeight="1">
      <c r="C283" s="1634" t="s">
        <v>449</v>
      </c>
      <c r="D283" s="127"/>
      <c r="E283" s="127"/>
      <c r="F283" s="48" t="s">
        <v>448</v>
      </c>
      <c r="G283" s="1"/>
    </row>
    <row r="284" ht="18.75" customHeight="1"/>
    <row r="285" ht="28.5" customHeight="1"/>
    <row r="286" spans="1:8" s="33" customFormat="1" ht="18.75" customHeight="1">
      <c r="A286" s="22"/>
      <c r="B286" s="22"/>
      <c r="C286" s="22"/>
      <c r="D286" s="22"/>
      <c r="E286" s="22"/>
      <c r="F286" s="22"/>
      <c r="G286" s="22"/>
      <c r="H286" s="96"/>
    </row>
    <row r="287" spans="1:8" s="33" customFormat="1" ht="18.75" customHeight="1">
      <c r="A287" s="22"/>
      <c r="B287" s="22"/>
      <c r="C287" s="22"/>
      <c r="D287" s="22"/>
      <c r="E287" s="22"/>
      <c r="F287" s="22"/>
      <c r="G287" s="22"/>
      <c r="H287" s="96"/>
    </row>
    <row r="288" spans="1:8" s="33" customFormat="1" ht="18.75" customHeight="1">
      <c r="A288" s="22"/>
      <c r="B288" s="22"/>
      <c r="C288" s="22"/>
      <c r="D288" s="22"/>
      <c r="E288" s="22"/>
      <c r="F288" s="22"/>
      <c r="G288" s="22"/>
      <c r="H288" s="96"/>
    </row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spans="1:8" s="33" customFormat="1" ht="19.5" customHeight="1">
      <c r="A297" s="22"/>
      <c r="B297" s="22"/>
      <c r="C297" s="22"/>
      <c r="D297" s="22"/>
      <c r="E297" s="22"/>
      <c r="F297" s="22"/>
      <c r="G297" s="22"/>
      <c r="H297" s="97"/>
    </row>
    <row r="298" spans="1:8" s="33" customFormat="1" ht="18.75" customHeight="1">
      <c r="A298" s="22"/>
      <c r="B298" s="22"/>
      <c r="C298" s="22"/>
      <c r="D298" s="22"/>
      <c r="E298" s="22"/>
      <c r="F298" s="22"/>
      <c r="G298" s="22"/>
      <c r="H298" s="96"/>
    </row>
    <row r="299" spans="1:8" s="33" customFormat="1" ht="18.75" customHeight="1">
      <c r="A299" s="22"/>
      <c r="B299" s="22"/>
      <c r="C299" s="22"/>
      <c r="D299" s="22"/>
      <c r="E299" s="22"/>
      <c r="F299" s="22"/>
      <c r="G299" s="22"/>
      <c r="H299" s="96"/>
    </row>
    <row r="300" spans="1:8" s="33" customFormat="1" ht="18.75" customHeight="1">
      <c r="A300" s="22"/>
      <c r="B300" s="22"/>
      <c r="C300" s="22"/>
      <c r="D300" s="22"/>
      <c r="E300" s="22"/>
      <c r="F300" s="22"/>
      <c r="G300" s="22"/>
      <c r="H300" s="96"/>
    </row>
    <row r="301" ht="19.5" customHeight="1"/>
    <row r="302" ht="18.75" customHeight="1"/>
    <row r="303" spans="1:8" s="33" customFormat="1" ht="18.75" customHeight="1">
      <c r="A303" s="22"/>
      <c r="B303" s="22"/>
      <c r="C303" s="22"/>
      <c r="D303" s="22"/>
      <c r="E303" s="22"/>
      <c r="F303" s="22"/>
      <c r="G303" s="22"/>
      <c r="H303" s="96"/>
    </row>
    <row r="304" ht="18.75" customHeight="1"/>
    <row r="305" spans="1:8" s="33" customFormat="1" ht="18.75" customHeight="1">
      <c r="A305" s="22"/>
      <c r="B305" s="22"/>
      <c r="C305" s="22"/>
      <c r="D305" s="22"/>
      <c r="E305" s="22"/>
      <c r="F305" s="22"/>
      <c r="G305" s="22"/>
      <c r="H305" s="96"/>
    </row>
    <row r="306" spans="1:8" s="33" customFormat="1" ht="27" customHeight="1">
      <c r="A306" s="22"/>
      <c r="B306" s="22"/>
      <c r="C306" s="22"/>
      <c r="D306" s="22"/>
      <c r="E306" s="22"/>
      <c r="F306" s="22"/>
      <c r="G306" s="22"/>
      <c r="H306" s="96"/>
    </row>
    <row r="307" spans="1:8" s="33" customFormat="1" ht="18.75" customHeight="1">
      <c r="A307" s="22"/>
      <c r="B307" s="22"/>
      <c r="C307" s="22"/>
      <c r="D307" s="22"/>
      <c r="E307" s="22"/>
      <c r="F307" s="22"/>
      <c r="G307" s="22"/>
      <c r="H307" s="96"/>
    </row>
    <row r="308" spans="1:8" s="33" customFormat="1" ht="19.5" customHeight="1">
      <c r="A308" s="22"/>
      <c r="B308" s="22"/>
      <c r="C308" s="22"/>
      <c r="D308" s="22"/>
      <c r="E308" s="22"/>
      <c r="F308" s="22"/>
      <c r="G308" s="22"/>
      <c r="H308" s="96"/>
    </row>
    <row r="309" ht="19.5" customHeight="1"/>
    <row r="310" ht="19.5" customHeight="1"/>
    <row r="311" ht="19.5" customHeight="1"/>
    <row r="312" ht="19.5" customHeight="1"/>
    <row r="313" ht="19.5" customHeight="1"/>
    <row r="314" spans="1:8" s="33" customFormat="1" ht="18.75" customHeight="1">
      <c r="A314" s="22"/>
      <c r="B314" s="22"/>
      <c r="C314" s="22"/>
      <c r="D314" s="22"/>
      <c r="E314" s="22"/>
      <c r="F314" s="22"/>
      <c r="G314" s="22"/>
      <c r="H314" s="96"/>
    </row>
    <row r="315" spans="1:8" s="33" customFormat="1" ht="19.5" customHeight="1">
      <c r="A315" s="22"/>
      <c r="B315" s="22"/>
      <c r="C315" s="22"/>
      <c r="D315" s="22"/>
      <c r="E315" s="22"/>
      <c r="F315" s="22"/>
      <c r="G315" s="22"/>
      <c r="H315" s="96"/>
    </row>
    <row r="316" ht="19.5" customHeight="1"/>
    <row r="317" ht="18.75" customHeight="1"/>
    <row r="318" ht="18" customHeight="1"/>
    <row r="319" ht="28.5" customHeight="1"/>
    <row r="320" ht="20.25" customHeight="1"/>
    <row r="321" ht="18" customHeight="1"/>
    <row r="322" ht="19.5" customHeight="1"/>
    <row r="323" ht="20.25" customHeight="1"/>
    <row r="324" ht="20.25" customHeight="1"/>
    <row r="325" ht="20.25" customHeight="1"/>
    <row r="326" spans="1:7" s="33" customFormat="1" ht="27" customHeight="1">
      <c r="A326" s="22"/>
      <c r="B326" s="22"/>
      <c r="C326" s="22"/>
      <c r="D326" s="22"/>
      <c r="E326" s="22"/>
      <c r="F326" s="22"/>
      <c r="G326" s="22"/>
    </row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27.75" customHeight="1"/>
    <row r="347" ht="20.25" customHeight="1"/>
    <row r="348" ht="20.25" customHeight="1"/>
    <row r="349" ht="19.5" customHeight="1"/>
    <row r="350" ht="25.5" customHeight="1"/>
    <row r="351" ht="26.25" customHeight="1"/>
    <row r="352" ht="19.5" customHeight="1"/>
    <row r="353" ht="18.75" customHeight="1"/>
    <row r="354" ht="18" customHeight="1"/>
    <row r="355" ht="19.5" customHeight="1"/>
    <row r="356" ht="19.5" customHeight="1"/>
    <row r="357" ht="20.25" customHeight="1"/>
    <row r="358" ht="19.5" customHeight="1"/>
    <row r="359" ht="19.5" customHeight="1"/>
    <row r="360" ht="20.25" customHeight="1"/>
    <row r="361" ht="18" customHeight="1"/>
    <row r="362" ht="19.5" customHeight="1"/>
    <row r="363" ht="19.5" customHeight="1"/>
  </sheetData>
  <printOptions horizontalCentered="1"/>
  <pageMargins left="0.3937007874015748" right="0.3937007874015748" top="0.5905511811023623" bottom="0.4724409448818898" header="0.5118110236220472" footer="0.31496062992125984"/>
  <pageSetup firstPageNumber="8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O95"/>
  <sheetViews>
    <sheetView zoomScale="90" zoomScaleNormal="90" zoomScaleSheetLayoutView="75" workbookViewId="0" topLeftCell="A79">
      <selection activeCell="C94" sqref="C94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41.875" style="283" customWidth="1"/>
    <col min="4" max="4" width="17.75390625" style="0" customWidth="1"/>
    <col min="5" max="5" width="14.625" style="0" customWidth="1"/>
    <col min="6" max="6" width="13.875" style="0" customWidth="1"/>
    <col min="7" max="7" width="16.375" style="0" customWidth="1"/>
    <col min="8" max="8" width="12.25390625" style="0" customWidth="1"/>
    <col min="9" max="9" width="15.625" style="0" customWidth="1"/>
    <col min="10" max="10" width="15.375" style="0" customWidth="1"/>
    <col min="11" max="11" width="13.75390625" style="0" customWidth="1"/>
    <col min="12" max="12" width="16.00390625" style="0" customWidth="1"/>
    <col min="13" max="13" width="14.875" style="0" customWidth="1"/>
    <col min="14" max="14" width="12.75390625" style="0" customWidth="1"/>
  </cols>
  <sheetData>
    <row r="1" spans="3:11" s="22" customFormat="1" ht="16.5" customHeight="1">
      <c r="C1" s="237"/>
      <c r="J1" s="49"/>
      <c r="K1" s="49" t="s">
        <v>232</v>
      </c>
    </row>
    <row r="2" spans="3:11" s="22" customFormat="1" ht="16.5" customHeight="1">
      <c r="C2" s="237"/>
      <c r="H2" s="47"/>
      <c r="K2" s="22" t="s">
        <v>14</v>
      </c>
    </row>
    <row r="3" spans="3:11" s="22" customFormat="1" ht="16.5" customHeight="1">
      <c r="C3" s="238" t="s">
        <v>235</v>
      </c>
      <c r="G3" s="47"/>
      <c r="H3" s="47"/>
      <c r="K3" s="22" t="s">
        <v>605</v>
      </c>
    </row>
    <row r="4" spans="3:11" s="22" customFormat="1" ht="16.5" customHeight="1">
      <c r="C4" s="237"/>
      <c r="G4" s="47"/>
      <c r="K4" s="22" t="s">
        <v>15</v>
      </c>
    </row>
    <row r="5" spans="3:7" s="22" customFormat="1" ht="16.5" customHeight="1">
      <c r="C5" s="237"/>
      <c r="G5" s="47"/>
    </row>
    <row r="6" spans="3:7" s="22" customFormat="1" ht="16.5" customHeight="1">
      <c r="C6" s="237"/>
      <c r="G6" s="47"/>
    </row>
    <row r="7" spans="2:12" s="22" customFormat="1" ht="16.5" customHeight="1" thickBot="1">
      <c r="B7" s="163"/>
      <c r="C7" s="237"/>
      <c r="G7" s="47"/>
      <c r="K7" s="99"/>
      <c r="L7" s="239" t="s">
        <v>606</v>
      </c>
    </row>
    <row r="8" spans="1:12" s="22" customFormat="1" ht="42" customHeight="1" thickBot="1" thickTop="1">
      <c r="A8" s="240"/>
      <c r="B8" s="240"/>
      <c r="C8" s="241"/>
      <c r="D8" s="1648" t="s">
        <v>242</v>
      </c>
      <c r="E8" s="1650" t="s">
        <v>243</v>
      </c>
      <c r="F8" s="1651"/>
      <c r="G8" s="1652"/>
      <c r="H8" s="242"/>
      <c r="I8" s="243" t="s">
        <v>608</v>
      </c>
      <c r="J8" s="1650" t="s">
        <v>243</v>
      </c>
      <c r="K8" s="1651"/>
      <c r="L8" s="1652"/>
    </row>
    <row r="9" spans="1:12" s="22" customFormat="1" ht="96.75" customHeight="1" thickBot="1" thickTop="1">
      <c r="A9" s="244" t="s">
        <v>669</v>
      </c>
      <c r="B9" s="245" t="s">
        <v>244</v>
      </c>
      <c r="C9" s="245" t="s">
        <v>245</v>
      </c>
      <c r="D9" s="1649"/>
      <c r="E9" s="87" t="s">
        <v>246</v>
      </c>
      <c r="F9" s="87" t="s">
        <v>247</v>
      </c>
      <c r="G9" s="87" t="s">
        <v>248</v>
      </c>
      <c r="H9" s="246" t="s">
        <v>684</v>
      </c>
      <c r="I9" s="245" t="s">
        <v>249</v>
      </c>
      <c r="J9" s="87" t="s">
        <v>246</v>
      </c>
      <c r="K9" s="87" t="s">
        <v>247</v>
      </c>
      <c r="L9" s="87" t="s">
        <v>248</v>
      </c>
    </row>
    <row r="10" spans="1:12" s="18" customFormat="1" ht="18" customHeight="1" thickBot="1" thickTop="1">
      <c r="A10" s="247">
        <v>1</v>
      </c>
      <c r="B10" s="247">
        <v>2</v>
      </c>
      <c r="C10" s="248">
        <v>3</v>
      </c>
      <c r="D10" s="247">
        <v>4</v>
      </c>
      <c r="E10" s="247">
        <v>5</v>
      </c>
      <c r="F10" s="249">
        <v>6</v>
      </c>
      <c r="G10" s="247">
        <v>7</v>
      </c>
      <c r="H10" s="247">
        <v>8</v>
      </c>
      <c r="I10" s="247">
        <v>9</v>
      </c>
      <c r="J10" s="247">
        <v>10</v>
      </c>
      <c r="K10" s="249">
        <v>11</v>
      </c>
      <c r="L10" s="249">
        <v>12</v>
      </c>
    </row>
    <row r="11" spans="1:14" s="166" customFormat="1" ht="21" customHeight="1" thickBot="1" thickTop="1">
      <c r="A11" s="250"/>
      <c r="B11" s="250"/>
      <c r="C11" s="251" t="s">
        <v>250</v>
      </c>
      <c r="D11" s="252">
        <f>E11+F11+G11</f>
        <v>218272863</v>
      </c>
      <c r="E11" s="252">
        <v>141677371</v>
      </c>
      <c r="F11" s="252">
        <v>53754525</v>
      </c>
      <c r="G11" s="252">
        <v>22840967</v>
      </c>
      <c r="H11" s="253">
        <f>H13+H80+H84</f>
        <v>-963336</v>
      </c>
      <c r="I11" s="254">
        <f>D11+H11</f>
        <v>217309527</v>
      </c>
      <c r="J11" s="255">
        <f>E11+H11-242680+261+122</f>
        <v>140471738</v>
      </c>
      <c r="K11" s="255">
        <f>F11-261</f>
        <v>53754264</v>
      </c>
      <c r="L11" s="255">
        <f>G11+47680+19050+10950+24000+21000+120000-122</f>
        <v>23083525</v>
      </c>
      <c r="M11" s="256"/>
      <c r="N11" s="93"/>
    </row>
    <row r="12" spans="1:14" s="102" customFormat="1" ht="12.75" customHeight="1">
      <c r="A12" s="53"/>
      <c r="B12" s="53"/>
      <c r="C12" s="257" t="s">
        <v>626</v>
      </c>
      <c r="D12" s="150"/>
      <c r="E12" s="150"/>
      <c r="F12" s="150"/>
      <c r="G12" s="258"/>
      <c r="H12" s="259"/>
      <c r="I12" s="260"/>
      <c r="J12" s="261"/>
      <c r="K12" s="261"/>
      <c r="L12" s="262"/>
      <c r="M12" s="256"/>
      <c r="N12" s="93"/>
    </row>
    <row r="13" spans="1:14" ht="21" customHeight="1" thickBot="1">
      <c r="A13" s="303"/>
      <c r="B13" s="303"/>
      <c r="C13" s="175" t="s">
        <v>640</v>
      </c>
      <c r="D13" s="132">
        <f aca="true" t="shared" si="0" ref="D13:D76">E13+F13+G13</f>
        <v>216654300</v>
      </c>
      <c r="E13" s="263">
        <v>141097061</v>
      </c>
      <c r="F13" s="263">
        <v>53748228</v>
      </c>
      <c r="G13" s="263">
        <v>21809011</v>
      </c>
      <c r="H13" s="264">
        <f>H25+H32+H41+H14+H53+H70+H50+H28</f>
        <v>-1082953</v>
      </c>
      <c r="I13" s="265">
        <f>D13+H13</f>
        <v>215571347</v>
      </c>
      <c r="J13" s="266">
        <f>E13+H13-242680+120000</f>
        <v>139891428</v>
      </c>
      <c r="K13" s="266">
        <f>F13</f>
        <v>53748228</v>
      </c>
      <c r="L13" s="267">
        <f>G13+47680+30000+24000+21000</f>
        <v>21931691</v>
      </c>
      <c r="M13" s="256"/>
      <c r="N13" s="93"/>
    </row>
    <row r="14" spans="1:14" s="163" customFormat="1" ht="24.75" customHeight="1" thickBot="1" thickTop="1">
      <c r="A14" s="268">
        <v>600</v>
      </c>
      <c r="B14" s="268"/>
      <c r="C14" s="269" t="s">
        <v>644</v>
      </c>
      <c r="D14" s="270">
        <f t="shared" si="0"/>
        <v>106834701</v>
      </c>
      <c r="E14" s="270">
        <v>48769412</v>
      </c>
      <c r="F14" s="270">
        <v>41020789</v>
      </c>
      <c r="G14" s="270">
        <v>17044500</v>
      </c>
      <c r="H14" s="271">
        <f>H15+H21</f>
        <v>0</v>
      </c>
      <c r="I14" s="272">
        <f aca="true" t="shared" si="1" ref="I14:I85">D14+H14</f>
        <v>106834701</v>
      </c>
      <c r="J14" s="273">
        <f aca="true" t="shared" si="2" ref="J14:J21">E14+H14</f>
        <v>48769412</v>
      </c>
      <c r="K14" s="273">
        <f>F14</f>
        <v>41020789</v>
      </c>
      <c r="L14" s="274">
        <f>G14</f>
        <v>17044500</v>
      </c>
      <c r="M14" s="93"/>
      <c r="N14" s="93"/>
    </row>
    <row r="15" spans="1:14" s="163" customFormat="1" ht="24.75" customHeight="1">
      <c r="A15" s="275"/>
      <c r="B15" s="276">
        <v>60015</v>
      </c>
      <c r="C15" s="413" t="s">
        <v>208</v>
      </c>
      <c r="D15" s="277">
        <f t="shared" si="0"/>
        <v>78732641</v>
      </c>
      <c r="E15" s="277">
        <v>35564397</v>
      </c>
      <c r="F15" s="277">
        <v>40123744</v>
      </c>
      <c r="G15" s="277">
        <v>3044500</v>
      </c>
      <c r="H15" s="278">
        <f>SUM(H16:H20)</f>
        <v>518000</v>
      </c>
      <c r="I15" s="279">
        <f t="shared" si="1"/>
        <v>79250641</v>
      </c>
      <c r="J15" s="280">
        <f t="shared" si="2"/>
        <v>36082397</v>
      </c>
      <c r="K15" s="280">
        <f>F15</f>
        <v>40123744</v>
      </c>
      <c r="L15" s="281">
        <f>G15</f>
        <v>3044500</v>
      </c>
      <c r="M15" s="93"/>
      <c r="N15" s="93"/>
    </row>
    <row r="16" spans="1:14" s="163" customFormat="1" ht="34.5" customHeight="1">
      <c r="A16" s="275"/>
      <c r="B16" s="969"/>
      <c r="C16" s="1065" t="s">
        <v>906</v>
      </c>
      <c r="D16" s="1066">
        <f t="shared" si="0"/>
        <v>4257000</v>
      </c>
      <c r="E16" s="1066">
        <v>2757000</v>
      </c>
      <c r="F16" s="1066"/>
      <c r="G16" s="1066">
        <v>1500000</v>
      </c>
      <c r="H16" s="1067">
        <v>1248000</v>
      </c>
      <c r="I16" s="1068">
        <f t="shared" si="1"/>
        <v>5505000</v>
      </c>
      <c r="J16" s="1069">
        <f t="shared" si="2"/>
        <v>4005000</v>
      </c>
      <c r="K16" s="1069"/>
      <c r="L16" s="1070">
        <f>G16</f>
        <v>1500000</v>
      </c>
      <c r="M16" s="93"/>
      <c r="N16" s="93"/>
    </row>
    <row r="17" spans="1:14" s="163" customFormat="1" ht="34.5" customHeight="1">
      <c r="A17" s="275"/>
      <c r="B17" s="467"/>
      <c r="C17" s="1071" t="s">
        <v>907</v>
      </c>
      <c r="D17" s="1072">
        <f t="shared" si="0"/>
        <v>3400000</v>
      </c>
      <c r="E17" s="1072">
        <v>3400000</v>
      </c>
      <c r="F17" s="1072"/>
      <c r="G17" s="1072"/>
      <c r="H17" s="1073">
        <v>100000</v>
      </c>
      <c r="I17" s="1074">
        <f t="shared" si="1"/>
        <v>3500000</v>
      </c>
      <c r="J17" s="1075">
        <f t="shared" si="2"/>
        <v>3500000</v>
      </c>
      <c r="K17" s="1075"/>
      <c r="L17" s="1076"/>
      <c r="M17" s="93"/>
      <c r="N17" s="93"/>
    </row>
    <row r="18" spans="1:14" s="163" customFormat="1" ht="34.5" customHeight="1">
      <c r="A18" s="275"/>
      <c r="B18" s="467"/>
      <c r="C18" s="1071" t="s">
        <v>455</v>
      </c>
      <c r="D18" s="1072">
        <f t="shared" si="0"/>
        <v>1900000</v>
      </c>
      <c r="E18" s="1072">
        <v>1900000</v>
      </c>
      <c r="F18" s="1072"/>
      <c r="G18" s="1072"/>
      <c r="H18" s="1073">
        <v>-570000</v>
      </c>
      <c r="I18" s="1074">
        <f t="shared" si="1"/>
        <v>1330000</v>
      </c>
      <c r="J18" s="1075">
        <f t="shared" si="2"/>
        <v>1330000</v>
      </c>
      <c r="K18" s="1075"/>
      <c r="L18" s="1076"/>
      <c r="M18" s="93"/>
      <c r="N18" s="93"/>
    </row>
    <row r="19" spans="1:14" s="163" customFormat="1" ht="34.5" customHeight="1">
      <c r="A19" s="275"/>
      <c r="B19" s="467"/>
      <c r="C19" s="1071" t="s">
        <v>456</v>
      </c>
      <c r="D19" s="1072">
        <f t="shared" si="0"/>
        <v>80000</v>
      </c>
      <c r="E19" s="1072">
        <v>80000</v>
      </c>
      <c r="F19" s="1072"/>
      <c r="G19" s="1072"/>
      <c r="H19" s="1073">
        <v>-80000</v>
      </c>
      <c r="I19" s="1074">
        <f t="shared" si="1"/>
        <v>0</v>
      </c>
      <c r="J19" s="1075">
        <f t="shared" si="2"/>
        <v>0</v>
      </c>
      <c r="K19" s="1075"/>
      <c r="L19" s="1076"/>
      <c r="M19" s="93"/>
      <c r="N19" s="93"/>
    </row>
    <row r="20" spans="1:14" s="163" customFormat="1" ht="34.5" customHeight="1">
      <c r="A20" s="275"/>
      <c r="B20" s="467"/>
      <c r="C20" s="1071" t="s">
        <v>902</v>
      </c>
      <c r="D20" s="626">
        <f t="shared" si="0"/>
        <v>13545000</v>
      </c>
      <c r="E20" s="626">
        <v>5250000</v>
      </c>
      <c r="F20" s="626">
        <v>8295000</v>
      </c>
      <c r="G20" s="626"/>
      <c r="H20" s="627">
        <v>-180000</v>
      </c>
      <c r="I20" s="628">
        <f t="shared" si="1"/>
        <v>13365000</v>
      </c>
      <c r="J20" s="625">
        <f t="shared" si="2"/>
        <v>5070000</v>
      </c>
      <c r="K20" s="625">
        <f>F20</f>
        <v>8295000</v>
      </c>
      <c r="L20" s="629"/>
      <c r="M20" s="93"/>
      <c r="N20" s="93"/>
    </row>
    <row r="21" spans="1:14" s="163" customFormat="1" ht="27.75" customHeight="1">
      <c r="A21" s="275"/>
      <c r="B21" s="276">
        <v>60016</v>
      </c>
      <c r="C21" s="413" t="s">
        <v>257</v>
      </c>
      <c r="D21" s="277">
        <f t="shared" si="0"/>
        <v>6588000</v>
      </c>
      <c r="E21" s="277">
        <v>6588000</v>
      </c>
      <c r="F21" s="277"/>
      <c r="G21" s="277"/>
      <c r="H21" s="278">
        <f>SUM(H22:H24)</f>
        <v>-518000</v>
      </c>
      <c r="I21" s="279">
        <f t="shared" si="1"/>
        <v>6070000</v>
      </c>
      <c r="J21" s="280">
        <f t="shared" si="2"/>
        <v>6070000</v>
      </c>
      <c r="K21" s="280"/>
      <c r="L21" s="281"/>
      <c r="M21" s="93"/>
      <c r="N21" s="93"/>
    </row>
    <row r="22" spans="1:14" s="163" customFormat="1" ht="34.5" customHeight="1">
      <c r="A22" s="275"/>
      <c r="B22" s="969"/>
      <c r="C22" s="1065" t="s">
        <v>904</v>
      </c>
      <c r="D22" s="1066">
        <f t="shared" si="0"/>
        <v>50000</v>
      </c>
      <c r="E22" s="1066">
        <v>50000</v>
      </c>
      <c r="F22" s="1066"/>
      <c r="G22" s="1066"/>
      <c r="H22" s="1067">
        <v>-14000</v>
      </c>
      <c r="I22" s="1068">
        <f t="shared" si="1"/>
        <v>36000</v>
      </c>
      <c r="J22" s="1069">
        <f aca="true" t="shared" si="3" ref="J22:J40">E22+H22</f>
        <v>36000</v>
      </c>
      <c r="K22" s="1069"/>
      <c r="L22" s="1070"/>
      <c r="M22" s="93"/>
      <c r="N22" s="93"/>
    </row>
    <row r="23" spans="1:14" s="163" customFormat="1" ht="24.75" customHeight="1">
      <c r="A23" s="275"/>
      <c r="B23" s="467"/>
      <c r="C23" s="1071" t="s">
        <v>903</v>
      </c>
      <c r="D23" s="1072">
        <f t="shared" si="0"/>
        <v>1100000</v>
      </c>
      <c r="E23" s="1072">
        <v>1100000</v>
      </c>
      <c r="F23" s="1072"/>
      <c r="G23" s="1072"/>
      <c r="H23" s="1073">
        <v>-495000</v>
      </c>
      <c r="I23" s="1074">
        <f t="shared" si="1"/>
        <v>605000</v>
      </c>
      <c r="J23" s="1075">
        <f t="shared" si="3"/>
        <v>605000</v>
      </c>
      <c r="K23" s="1075"/>
      <c r="L23" s="1076"/>
      <c r="M23" s="93"/>
      <c r="N23" s="93"/>
    </row>
    <row r="24" spans="1:14" s="163" customFormat="1" ht="24.75" customHeight="1">
      <c r="A24" s="275"/>
      <c r="B24" s="467"/>
      <c r="C24" s="1071" t="s">
        <v>905</v>
      </c>
      <c r="D24" s="1072">
        <f t="shared" si="0"/>
        <v>250000</v>
      </c>
      <c r="E24" s="1072">
        <v>250000</v>
      </c>
      <c r="F24" s="1072"/>
      <c r="G24" s="1072"/>
      <c r="H24" s="1073">
        <v>-9000</v>
      </c>
      <c r="I24" s="1074">
        <f t="shared" si="1"/>
        <v>241000</v>
      </c>
      <c r="J24" s="1075">
        <f t="shared" si="3"/>
        <v>241000</v>
      </c>
      <c r="K24" s="1075"/>
      <c r="L24" s="1076"/>
      <c r="M24" s="93"/>
      <c r="N24" s="93"/>
    </row>
    <row r="25" spans="1:14" s="163" customFormat="1" ht="24.75" customHeight="1" thickBot="1">
      <c r="A25" s="268">
        <v>710</v>
      </c>
      <c r="B25" s="268"/>
      <c r="C25" s="269" t="s">
        <v>258</v>
      </c>
      <c r="D25" s="270">
        <f t="shared" si="0"/>
        <v>750000</v>
      </c>
      <c r="E25" s="270">
        <v>750000</v>
      </c>
      <c r="F25" s="270"/>
      <c r="G25" s="270"/>
      <c r="H25" s="271">
        <f>H26</f>
        <v>26000</v>
      </c>
      <c r="I25" s="272">
        <f t="shared" si="1"/>
        <v>776000</v>
      </c>
      <c r="J25" s="273">
        <f t="shared" si="3"/>
        <v>776000</v>
      </c>
      <c r="K25" s="273"/>
      <c r="L25" s="274"/>
      <c r="M25" s="93"/>
      <c r="N25" s="93"/>
    </row>
    <row r="26" spans="1:14" s="163" customFormat="1" ht="24.75" customHeight="1">
      <c r="A26" s="275"/>
      <c r="B26" s="276">
        <v>71035</v>
      </c>
      <c r="C26" s="413" t="s">
        <v>600</v>
      </c>
      <c r="D26" s="277">
        <f t="shared" si="0"/>
        <v>750000</v>
      </c>
      <c r="E26" s="277">
        <v>750000</v>
      </c>
      <c r="F26" s="277"/>
      <c r="G26" s="277"/>
      <c r="H26" s="278">
        <f>H27</f>
        <v>26000</v>
      </c>
      <c r="I26" s="279">
        <f t="shared" si="1"/>
        <v>776000</v>
      </c>
      <c r="J26" s="280">
        <f t="shared" si="3"/>
        <v>776000</v>
      </c>
      <c r="K26" s="280"/>
      <c r="L26" s="281"/>
      <c r="M26" s="93"/>
      <c r="N26" s="93"/>
    </row>
    <row r="27" spans="1:14" s="163" customFormat="1" ht="24.75" customHeight="1">
      <c r="A27" s="1353"/>
      <c r="B27" s="276"/>
      <c r="C27" s="842" t="s">
        <v>799</v>
      </c>
      <c r="D27" s="843">
        <f t="shared" si="0"/>
        <v>750000</v>
      </c>
      <c r="E27" s="843">
        <v>750000</v>
      </c>
      <c r="F27" s="843"/>
      <c r="G27" s="843"/>
      <c r="H27" s="844">
        <v>26000</v>
      </c>
      <c r="I27" s="845">
        <f t="shared" si="1"/>
        <v>776000</v>
      </c>
      <c r="J27" s="846">
        <f t="shared" si="3"/>
        <v>776000</v>
      </c>
      <c r="K27" s="846"/>
      <c r="L27" s="847"/>
      <c r="M27" s="93"/>
      <c r="N27" s="93"/>
    </row>
    <row r="28" spans="1:14" s="163" customFormat="1" ht="24.75" customHeight="1" thickBot="1">
      <c r="A28" s="268">
        <v>750</v>
      </c>
      <c r="B28" s="268"/>
      <c r="C28" s="269" t="s">
        <v>651</v>
      </c>
      <c r="D28" s="270">
        <f t="shared" si="0"/>
        <v>6258715</v>
      </c>
      <c r="E28" s="270">
        <v>5283020</v>
      </c>
      <c r="F28" s="270">
        <v>973145</v>
      </c>
      <c r="G28" s="270">
        <v>2550</v>
      </c>
      <c r="H28" s="271">
        <f>H29</f>
        <v>-700000</v>
      </c>
      <c r="I28" s="272">
        <f>D28+H28</f>
        <v>5558715</v>
      </c>
      <c r="J28" s="273">
        <f t="shared" si="3"/>
        <v>4583020</v>
      </c>
      <c r="K28" s="273">
        <f>F28</f>
        <v>973145</v>
      </c>
      <c r="L28" s="274">
        <f>G28</f>
        <v>2550</v>
      </c>
      <c r="M28" s="93"/>
      <c r="N28" s="93"/>
    </row>
    <row r="29" spans="1:14" s="163" customFormat="1" ht="24.75" customHeight="1">
      <c r="A29" s="275"/>
      <c r="B29" s="276">
        <v>75023</v>
      </c>
      <c r="C29" s="413" t="s">
        <v>666</v>
      </c>
      <c r="D29" s="1090">
        <f t="shared" si="0"/>
        <v>6248515</v>
      </c>
      <c r="E29" s="1090">
        <v>5283020</v>
      </c>
      <c r="F29" s="1090">
        <v>965495</v>
      </c>
      <c r="G29" s="1090"/>
      <c r="H29" s="1091">
        <f>H30+H31</f>
        <v>-700000</v>
      </c>
      <c r="I29" s="1092">
        <f>D29+H29</f>
        <v>5548515</v>
      </c>
      <c r="J29" s="1093">
        <f t="shared" si="3"/>
        <v>4583020</v>
      </c>
      <c r="K29" s="1093">
        <f>F29</f>
        <v>965495</v>
      </c>
      <c r="L29" s="1094"/>
      <c r="M29" s="93"/>
      <c r="N29" s="93"/>
    </row>
    <row r="30" spans="1:14" s="163" customFormat="1" ht="24.75" customHeight="1">
      <c r="A30" s="275"/>
      <c r="B30" s="467"/>
      <c r="C30" s="1071" t="s">
        <v>835</v>
      </c>
      <c r="D30" s="1085">
        <f t="shared" si="0"/>
        <v>1262000</v>
      </c>
      <c r="E30" s="1085">
        <v>1262000</v>
      </c>
      <c r="F30" s="1085"/>
      <c r="G30" s="1085"/>
      <c r="H30" s="1086">
        <v>-22000</v>
      </c>
      <c r="I30" s="1087">
        <f>D30+H30</f>
        <v>1240000</v>
      </c>
      <c r="J30" s="1088">
        <f t="shared" si="3"/>
        <v>1240000</v>
      </c>
      <c r="K30" s="1088"/>
      <c r="L30" s="1089"/>
      <c r="M30" s="93"/>
      <c r="N30" s="93"/>
    </row>
    <row r="31" spans="1:14" s="163" customFormat="1" ht="24.75" customHeight="1">
      <c r="A31" s="1353"/>
      <c r="B31" s="1100"/>
      <c r="C31" s="1101" t="s">
        <v>836</v>
      </c>
      <c r="D31" s="626">
        <f t="shared" si="0"/>
        <v>708000</v>
      </c>
      <c r="E31" s="626">
        <v>708000</v>
      </c>
      <c r="F31" s="626"/>
      <c r="G31" s="626"/>
      <c r="H31" s="627">
        <v>-678000</v>
      </c>
      <c r="I31" s="628">
        <f>D31+H31</f>
        <v>30000</v>
      </c>
      <c r="J31" s="625">
        <f t="shared" si="3"/>
        <v>30000</v>
      </c>
      <c r="K31" s="625"/>
      <c r="L31" s="629"/>
      <c r="M31" s="93"/>
      <c r="N31" s="93"/>
    </row>
    <row r="32" spans="1:14" s="163" customFormat="1" ht="24.75" customHeight="1" thickBot="1">
      <c r="A32" s="1345">
        <v>801</v>
      </c>
      <c r="B32" s="1345"/>
      <c r="C32" s="1346" t="s">
        <v>647</v>
      </c>
      <c r="D32" s="1347">
        <f t="shared" si="0"/>
        <v>29527468</v>
      </c>
      <c r="E32" s="1347">
        <v>28627477</v>
      </c>
      <c r="F32" s="1347"/>
      <c r="G32" s="1347">
        <v>899991</v>
      </c>
      <c r="H32" s="1348">
        <f>H33+H36+H39</f>
        <v>-444729</v>
      </c>
      <c r="I32" s="1349">
        <f t="shared" si="1"/>
        <v>29082739</v>
      </c>
      <c r="J32" s="1350">
        <f t="shared" si="3"/>
        <v>28182748</v>
      </c>
      <c r="K32" s="1350"/>
      <c r="L32" s="1351">
        <f>G32</f>
        <v>899991</v>
      </c>
      <c r="M32" s="93"/>
      <c r="N32" s="93"/>
    </row>
    <row r="33" spans="1:14" s="163" customFormat="1" ht="24.75" customHeight="1">
      <c r="A33" s="275"/>
      <c r="B33" s="276">
        <v>80101</v>
      </c>
      <c r="C33" s="413" t="s">
        <v>202</v>
      </c>
      <c r="D33" s="1090">
        <f t="shared" si="0"/>
        <v>16120343</v>
      </c>
      <c r="E33" s="1090">
        <v>15220352</v>
      </c>
      <c r="F33" s="1090"/>
      <c r="G33" s="1090">
        <v>899991</v>
      </c>
      <c r="H33" s="1091">
        <f>H35+H34</f>
        <v>-465035</v>
      </c>
      <c r="I33" s="1092">
        <f t="shared" si="1"/>
        <v>15655308</v>
      </c>
      <c r="J33" s="1093">
        <f t="shared" si="3"/>
        <v>14755317</v>
      </c>
      <c r="K33" s="1093"/>
      <c r="L33" s="1094">
        <f>G33</f>
        <v>899991</v>
      </c>
      <c r="M33" s="93"/>
      <c r="N33" s="93"/>
    </row>
    <row r="34" spans="1:14" s="163" customFormat="1" ht="24.75" customHeight="1">
      <c r="A34" s="275"/>
      <c r="B34" s="467"/>
      <c r="C34" s="1071" t="s">
        <v>21</v>
      </c>
      <c r="D34" s="1085">
        <f t="shared" si="0"/>
        <v>3320000</v>
      </c>
      <c r="E34" s="1085">
        <v>3320000</v>
      </c>
      <c r="F34" s="1085"/>
      <c r="G34" s="1085"/>
      <c r="H34" s="1086">
        <v>5000</v>
      </c>
      <c r="I34" s="1087">
        <f t="shared" si="1"/>
        <v>3325000</v>
      </c>
      <c r="J34" s="1088">
        <f t="shared" si="3"/>
        <v>3325000</v>
      </c>
      <c r="K34" s="1088"/>
      <c r="L34" s="1089"/>
      <c r="M34" s="93"/>
      <c r="N34" s="93"/>
    </row>
    <row r="35" spans="1:14" s="163" customFormat="1" ht="24.75" customHeight="1">
      <c r="A35" s="275"/>
      <c r="B35" s="467"/>
      <c r="C35" s="1071" t="s">
        <v>871</v>
      </c>
      <c r="D35" s="626">
        <f t="shared" si="0"/>
        <v>2885202</v>
      </c>
      <c r="E35" s="626">
        <v>2885202</v>
      </c>
      <c r="F35" s="626"/>
      <c r="G35" s="626"/>
      <c r="H35" s="627">
        <v>-470035</v>
      </c>
      <c r="I35" s="628">
        <f t="shared" si="1"/>
        <v>2415167</v>
      </c>
      <c r="J35" s="625">
        <f t="shared" si="3"/>
        <v>2415167</v>
      </c>
      <c r="K35" s="625"/>
      <c r="L35" s="629"/>
      <c r="M35" s="93"/>
      <c r="N35" s="93"/>
    </row>
    <row r="36" spans="1:14" s="163" customFormat="1" ht="24.75" customHeight="1">
      <c r="A36" s="275"/>
      <c r="B36" s="276">
        <v>80104</v>
      </c>
      <c r="C36" s="413" t="s">
        <v>200</v>
      </c>
      <c r="D36" s="1496">
        <f t="shared" si="0"/>
        <v>1349155</v>
      </c>
      <c r="E36" s="1496">
        <f>466850+882305</f>
        <v>1349155</v>
      </c>
      <c r="F36" s="1496"/>
      <c r="G36" s="1496"/>
      <c r="H36" s="1497">
        <f>SUM(H37:H38)</f>
        <v>25306</v>
      </c>
      <c r="I36" s="1498">
        <f t="shared" si="1"/>
        <v>1374461</v>
      </c>
      <c r="J36" s="413">
        <f t="shared" si="3"/>
        <v>1374461</v>
      </c>
      <c r="K36" s="413"/>
      <c r="L36" s="1499"/>
      <c r="M36" s="93"/>
      <c r="N36" s="93"/>
    </row>
    <row r="37" spans="1:14" s="163" customFormat="1" ht="24.75" customHeight="1">
      <c r="A37" s="275"/>
      <c r="B37" s="467"/>
      <c r="C37" s="1071" t="s">
        <v>871</v>
      </c>
      <c r="D37" s="1085">
        <f t="shared" si="0"/>
        <v>944905</v>
      </c>
      <c r="E37" s="1085">
        <f>62600+882305</f>
        <v>944905</v>
      </c>
      <c r="F37" s="1085"/>
      <c r="G37" s="1085"/>
      <c r="H37" s="1086">
        <v>25456</v>
      </c>
      <c r="I37" s="1087">
        <f t="shared" si="1"/>
        <v>970361</v>
      </c>
      <c r="J37" s="1088">
        <f t="shared" si="3"/>
        <v>970361</v>
      </c>
      <c r="K37" s="1088"/>
      <c r="L37" s="1089"/>
      <c r="M37" s="93"/>
      <c r="N37" s="93"/>
    </row>
    <row r="38" spans="1:14" s="163" customFormat="1" ht="24.75" customHeight="1">
      <c r="A38" s="1353"/>
      <c r="B38" s="1100"/>
      <c r="C38" s="963" t="s">
        <v>894</v>
      </c>
      <c r="D38" s="626">
        <f t="shared" si="0"/>
        <v>6000</v>
      </c>
      <c r="E38" s="626">
        <v>6000</v>
      </c>
      <c r="F38" s="626"/>
      <c r="G38" s="626"/>
      <c r="H38" s="627">
        <v>-150</v>
      </c>
      <c r="I38" s="628">
        <f t="shared" si="1"/>
        <v>5850</v>
      </c>
      <c r="J38" s="625">
        <f>E38+H38</f>
        <v>5850</v>
      </c>
      <c r="K38" s="625"/>
      <c r="L38" s="629"/>
      <c r="M38" s="93"/>
      <c r="N38" s="93"/>
    </row>
    <row r="39" spans="1:14" s="163" customFormat="1" ht="24.75" customHeight="1">
      <c r="A39" s="275"/>
      <c r="B39" s="276">
        <v>80110</v>
      </c>
      <c r="C39" s="413" t="s">
        <v>203</v>
      </c>
      <c r="D39" s="277">
        <f t="shared" si="0"/>
        <v>2790561</v>
      </c>
      <c r="E39" s="277">
        <v>2790561</v>
      </c>
      <c r="F39" s="277"/>
      <c r="G39" s="277"/>
      <c r="H39" s="278">
        <f>H40</f>
        <v>-5000</v>
      </c>
      <c r="I39" s="279">
        <f t="shared" si="1"/>
        <v>2785561</v>
      </c>
      <c r="J39" s="280">
        <f t="shared" si="3"/>
        <v>2785561</v>
      </c>
      <c r="K39" s="280"/>
      <c r="L39" s="281"/>
      <c r="M39" s="93"/>
      <c r="N39" s="93"/>
    </row>
    <row r="40" spans="1:14" s="163" customFormat="1" ht="24.75" customHeight="1">
      <c r="A40" s="275"/>
      <c r="B40" s="276"/>
      <c r="C40" s="842" t="s">
        <v>20</v>
      </c>
      <c r="D40" s="843">
        <f t="shared" si="0"/>
        <v>2700000</v>
      </c>
      <c r="E40" s="843">
        <v>2700000</v>
      </c>
      <c r="F40" s="843"/>
      <c r="G40" s="843"/>
      <c r="H40" s="844">
        <v>-5000</v>
      </c>
      <c r="I40" s="845">
        <f t="shared" si="1"/>
        <v>2695000</v>
      </c>
      <c r="J40" s="846">
        <f t="shared" si="3"/>
        <v>2695000</v>
      </c>
      <c r="K40" s="846"/>
      <c r="L40" s="847"/>
      <c r="M40" s="93"/>
      <c r="N40" s="93"/>
    </row>
    <row r="41" spans="1:14" s="163" customFormat="1" ht="24.75" customHeight="1" thickBot="1">
      <c r="A41" s="268">
        <v>852</v>
      </c>
      <c r="B41" s="268"/>
      <c r="C41" s="269" t="s">
        <v>648</v>
      </c>
      <c r="D41" s="270">
        <f t="shared" si="0"/>
        <v>7485426</v>
      </c>
      <c r="E41" s="270">
        <v>5090556</v>
      </c>
      <c r="F41" s="270"/>
      <c r="G41" s="270">
        <v>2394870</v>
      </c>
      <c r="H41" s="271">
        <f>H45+H42</f>
        <v>118866</v>
      </c>
      <c r="I41" s="272">
        <f t="shared" si="1"/>
        <v>7604292</v>
      </c>
      <c r="J41" s="273">
        <f>E41+H41-47680-19050-10950-45000</f>
        <v>5086742</v>
      </c>
      <c r="K41" s="273"/>
      <c r="L41" s="274">
        <f>G41+47680+19050+10950+45000</f>
        <v>2517550</v>
      </c>
      <c r="M41" s="93"/>
      <c r="N41" s="93"/>
    </row>
    <row r="42" spans="1:14" s="163" customFormat="1" ht="24.75" customHeight="1">
      <c r="A42" s="275"/>
      <c r="B42" s="276">
        <v>85201</v>
      </c>
      <c r="C42" s="413" t="s">
        <v>298</v>
      </c>
      <c r="D42" s="277">
        <f t="shared" si="0"/>
        <v>2245223</v>
      </c>
      <c r="E42" s="277">
        <v>1449663</v>
      </c>
      <c r="F42" s="277"/>
      <c r="G42" s="277">
        <v>795560</v>
      </c>
      <c r="H42" s="278">
        <f>SUM(H43:H44)</f>
        <v>107680</v>
      </c>
      <c r="I42" s="279">
        <f t="shared" si="1"/>
        <v>2352903</v>
      </c>
      <c r="J42" s="280">
        <f>E42+H42-47680-19050-10950</f>
        <v>1479663</v>
      </c>
      <c r="K42" s="280"/>
      <c r="L42" s="281">
        <f>G42+77680</f>
        <v>873240</v>
      </c>
      <c r="M42" s="93"/>
      <c r="N42" s="93"/>
    </row>
    <row r="43" spans="1:14" s="163" customFormat="1" ht="24.75" customHeight="1">
      <c r="A43" s="275"/>
      <c r="B43" s="969"/>
      <c r="C43" s="970" t="s">
        <v>897</v>
      </c>
      <c r="D43" s="469">
        <f t="shared" si="0"/>
        <v>1356323</v>
      </c>
      <c r="E43" s="469">
        <v>619663</v>
      </c>
      <c r="F43" s="469"/>
      <c r="G43" s="469">
        <v>736660</v>
      </c>
      <c r="H43" s="470">
        <f>-8000+47680+38100</f>
        <v>77780</v>
      </c>
      <c r="I43" s="471">
        <f>D43+H43</f>
        <v>1434103</v>
      </c>
      <c r="J43" s="468">
        <f>E43-8000+19050</f>
        <v>630713</v>
      </c>
      <c r="K43" s="468"/>
      <c r="L43" s="472">
        <f>G43+19050+47680</f>
        <v>803390</v>
      </c>
      <c r="M43" s="93"/>
      <c r="N43" s="93"/>
    </row>
    <row r="44" spans="1:14" s="163" customFormat="1" ht="24.75" customHeight="1">
      <c r="A44" s="275"/>
      <c r="B44" s="467"/>
      <c r="C44" s="963" t="s">
        <v>894</v>
      </c>
      <c r="D44" s="964">
        <f t="shared" si="0"/>
        <v>88900</v>
      </c>
      <c r="E44" s="964">
        <v>30000</v>
      </c>
      <c r="F44" s="964"/>
      <c r="G44" s="964">
        <v>58900</v>
      </c>
      <c r="H44" s="965">
        <v>29900</v>
      </c>
      <c r="I44" s="966">
        <f t="shared" si="1"/>
        <v>118800</v>
      </c>
      <c r="J44" s="967">
        <f>E44+10950+8000</f>
        <v>48950</v>
      </c>
      <c r="K44" s="967"/>
      <c r="L44" s="968">
        <f>G44+10950</f>
        <v>69850</v>
      </c>
      <c r="M44" s="93"/>
      <c r="N44" s="93"/>
    </row>
    <row r="45" spans="1:15" s="163" customFormat="1" ht="24.75" customHeight="1">
      <c r="A45" s="275"/>
      <c r="B45" s="276">
        <v>85202</v>
      </c>
      <c r="C45" s="413" t="s">
        <v>220</v>
      </c>
      <c r="D45" s="277">
        <f t="shared" si="0"/>
        <v>4809203</v>
      </c>
      <c r="E45" s="277">
        <v>3247393</v>
      </c>
      <c r="F45" s="277"/>
      <c r="G45" s="277">
        <v>1561810</v>
      </c>
      <c r="H45" s="278">
        <f>SUM(H46:H49)</f>
        <v>11186</v>
      </c>
      <c r="I45" s="279">
        <f>D45+H45</f>
        <v>4820389</v>
      </c>
      <c r="J45" s="280">
        <f>E45-24000-21000+H45</f>
        <v>3213579</v>
      </c>
      <c r="K45" s="280"/>
      <c r="L45" s="281">
        <f>G45+21000+24000</f>
        <v>1606810</v>
      </c>
      <c r="M45" s="93"/>
      <c r="N45" s="93"/>
      <c r="O45" s="93"/>
    </row>
    <row r="46" spans="1:14" s="163" customFormat="1" ht="36" customHeight="1">
      <c r="A46" s="275"/>
      <c r="B46" s="969"/>
      <c r="C46" s="970" t="s">
        <v>878</v>
      </c>
      <c r="D46" s="469">
        <f t="shared" si="0"/>
        <v>143500</v>
      </c>
      <c r="E46" s="469">
        <v>121750</v>
      </c>
      <c r="F46" s="469"/>
      <c r="G46" s="469">
        <v>21750</v>
      </c>
      <c r="H46" s="470">
        <v>-86214</v>
      </c>
      <c r="I46" s="471">
        <f t="shared" si="1"/>
        <v>57286</v>
      </c>
      <c r="J46" s="468">
        <f>E46+H46</f>
        <v>35536</v>
      </c>
      <c r="K46" s="468"/>
      <c r="L46" s="472">
        <f>G46</f>
        <v>21750</v>
      </c>
      <c r="M46" s="93"/>
      <c r="N46" s="93"/>
    </row>
    <row r="47" spans="1:14" s="163" customFormat="1" ht="33" customHeight="1">
      <c r="A47" s="275"/>
      <c r="B47" s="467"/>
      <c r="C47" s="1071" t="s">
        <v>457</v>
      </c>
      <c r="D47" s="1072">
        <f t="shared" si="0"/>
        <v>424058</v>
      </c>
      <c r="E47" s="1072">
        <v>63658</v>
      </c>
      <c r="F47" s="1072"/>
      <c r="G47" s="1072">
        <v>360400</v>
      </c>
      <c r="H47" s="1073">
        <v>48000</v>
      </c>
      <c r="I47" s="1074">
        <f t="shared" si="1"/>
        <v>472058</v>
      </c>
      <c r="J47" s="1075">
        <f>E47+24000</f>
        <v>87658</v>
      </c>
      <c r="K47" s="1075"/>
      <c r="L47" s="1076">
        <f>G47+24000</f>
        <v>384400</v>
      </c>
      <c r="M47" s="93"/>
      <c r="N47" s="93"/>
    </row>
    <row r="48" spans="1:14" s="163" customFormat="1" ht="30" customHeight="1">
      <c r="A48" s="275"/>
      <c r="B48" s="467"/>
      <c r="C48" s="1071" t="s">
        <v>879</v>
      </c>
      <c r="D48" s="1072">
        <f t="shared" si="0"/>
        <v>2250845</v>
      </c>
      <c r="E48" s="1072">
        <f>1010000+1005695</f>
        <v>2015695</v>
      </c>
      <c r="F48" s="1072"/>
      <c r="G48" s="1072">
        <v>235150</v>
      </c>
      <c r="H48" s="1073">
        <f>7400</f>
        <v>7400</v>
      </c>
      <c r="I48" s="1074">
        <f t="shared" si="1"/>
        <v>2258245</v>
      </c>
      <c r="J48" s="1075">
        <f>E48+H48</f>
        <v>2023095</v>
      </c>
      <c r="K48" s="1075"/>
      <c r="L48" s="1076">
        <f>G48</f>
        <v>235150</v>
      </c>
      <c r="M48" s="93"/>
      <c r="N48" s="93"/>
    </row>
    <row r="49" spans="1:14" s="163" customFormat="1" ht="24.75" customHeight="1">
      <c r="A49" s="275"/>
      <c r="B49" s="467"/>
      <c r="C49" s="1077" t="s">
        <v>894</v>
      </c>
      <c r="D49" s="626">
        <v>572300</v>
      </c>
      <c r="E49" s="626">
        <v>248890</v>
      </c>
      <c r="F49" s="626"/>
      <c r="G49" s="626">
        <v>323410</v>
      </c>
      <c r="H49" s="627">
        <v>42000</v>
      </c>
      <c r="I49" s="628">
        <f t="shared" si="1"/>
        <v>614300</v>
      </c>
      <c r="J49" s="625">
        <f>E49+21000</f>
        <v>269890</v>
      </c>
      <c r="K49" s="625"/>
      <c r="L49" s="629">
        <f>G49+21000</f>
        <v>344410</v>
      </c>
      <c r="M49" s="93"/>
      <c r="N49" s="93"/>
    </row>
    <row r="50" spans="1:14" s="163" customFormat="1" ht="24.75" customHeight="1" thickBot="1">
      <c r="A50" s="268">
        <v>854</v>
      </c>
      <c r="B50" s="268"/>
      <c r="C50" s="269" t="s">
        <v>649</v>
      </c>
      <c r="D50" s="270">
        <f t="shared" si="0"/>
        <v>1283964</v>
      </c>
      <c r="E50" s="270">
        <v>382864</v>
      </c>
      <c r="F50" s="270"/>
      <c r="G50" s="270">
        <v>901100</v>
      </c>
      <c r="H50" s="271">
        <f>H51</f>
        <v>-90</v>
      </c>
      <c r="I50" s="272">
        <f t="shared" si="1"/>
        <v>1283874</v>
      </c>
      <c r="J50" s="273">
        <f>E50+H50</f>
        <v>382774</v>
      </c>
      <c r="K50" s="273"/>
      <c r="L50" s="274">
        <f>G50</f>
        <v>901100</v>
      </c>
      <c r="M50" s="93"/>
      <c r="N50" s="93"/>
    </row>
    <row r="51" spans="1:14" s="163" customFormat="1" ht="24.75" customHeight="1">
      <c r="A51" s="275"/>
      <c r="B51" s="276">
        <v>85495</v>
      </c>
      <c r="C51" s="413" t="s">
        <v>646</v>
      </c>
      <c r="D51" s="277">
        <f t="shared" si="0"/>
        <v>15500</v>
      </c>
      <c r="E51" s="277">
        <v>15500</v>
      </c>
      <c r="F51" s="277"/>
      <c r="G51" s="277"/>
      <c r="H51" s="278">
        <f>SUM(H52:H52)</f>
        <v>-90</v>
      </c>
      <c r="I51" s="279">
        <f t="shared" si="1"/>
        <v>15410</v>
      </c>
      <c r="J51" s="280">
        <f>E51+H51</f>
        <v>15410</v>
      </c>
      <c r="K51" s="280"/>
      <c r="L51" s="281"/>
      <c r="M51" s="93"/>
      <c r="N51" s="93"/>
    </row>
    <row r="52" spans="1:14" s="163" customFormat="1" ht="24.75" customHeight="1">
      <c r="A52" s="1353"/>
      <c r="B52" s="276"/>
      <c r="C52" s="842" t="s">
        <v>894</v>
      </c>
      <c r="D52" s="843">
        <f t="shared" si="0"/>
        <v>15500</v>
      </c>
      <c r="E52" s="843">
        <v>15500</v>
      </c>
      <c r="F52" s="843"/>
      <c r="G52" s="843"/>
      <c r="H52" s="844">
        <v>-90</v>
      </c>
      <c r="I52" s="845">
        <f t="shared" si="1"/>
        <v>15410</v>
      </c>
      <c r="J52" s="846">
        <f>E52+H52</f>
        <v>15410</v>
      </c>
      <c r="K52" s="846"/>
      <c r="L52" s="847"/>
      <c r="M52" s="93"/>
      <c r="N52" s="93"/>
    </row>
    <row r="53" spans="1:14" s="163" customFormat="1" ht="27.75" customHeight="1" thickBot="1">
      <c r="A53" s="268">
        <v>900</v>
      </c>
      <c r="B53" s="268"/>
      <c r="C53" s="269" t="s">
        <v>126</v>
      </c>
      <c r="D53" s="270">
        <f t="shared" si="0"/>
        <v>36843379</v>
      </c>
      <c r="E53" s="270">
        <v>31100769</v>
      </c>
      <c r="F53" s="270">
        <v>5242610</v>
      </c>
      <c r="G53" s="270">
        <v>500000</v>
      </c>
      <c r="H53" s="271">
        <f>H54+H65+H63</f>
        <v>-83000</v>
      </c>
      <c r="I53" s="272">
        <f t="shared" si="1"/>
        <v>36760379</v>
      </c>
      <c r="J53" s="273">
        <f>E53+H53</f>
        <v>31017769</v>
      </c>
      <c r="K53" s="273">
        <f>F53</f>
        <v>5242610</v>
      </c>
      <c r="L53" s="274">
        <f>G53</f>
        <v>500000</v>
      </c>
      <c r="M53" s="93"/>
      <c r="N53" s="93"/>
    </row>
    <row r="54" spans="1:14" s="163" customFormat="1" ht="19.5" customHeight="1">
      <c r="A54" s="275"/>
      <c r="B54" s="276">
        <v>90001</v>
      </c>
      <c r="C54" s="413" t="s">
        <v>263</v>
      </c>
      <c r="D54" s="277">
        <f t="shared" si="0"/>
        <v>7270000</v>
      </c>
      <c r="E54" s="277">
        <v>7270000</v>
      </c>
      <c r="F54" s="277"/>
      <c r="G54" s="277"/>
      <c r="H54" s="278">
        <f>SUM(H55:H62)</f>
        <v>-803000</v>
      </c>
      <c r="I54" s="279">
        <f t="shared" si="1"/>
        <v>6467000</v>
      </c>
      <c r="J54" s="280">
        <f aca="true" t="shared" si="4" ref="J54:J78">E54+H54</f>
        <v>6467000</v>
      </c>
      <c r="K54" s="280"/>
      <c r="L54" s="281"/>
      <c r="M54" s="93"/>
      <c r="N54" s="93"/>
    </row>
    <row r="55" spans="1:14" s="163" customFormat="1" ht="30" customHeight="1">
      <c r="A55" s="1353"/>
      <c r="B55" s="276"/>
      <c r="C55" s="842" t="s">
        <v>22</v>
      </c>
      <c r="D55" s="843">
        <f t="shared" si="0"/>
        <v>505000</v>
      </c>
      <c r="E55" s="843">
        <v>505000</v>
      </c>
      <c r="F55" s="843"/>
      <c r="G55" s="843"/>
      <c r="H55" s="844">
        <v>-70000</v>
      </c>
      <c r="I55" s="845">
        <f t="shared" si="1"/>
        <v>435000</v>
      </c>
      <c r="J55" s="846">
        <f t="shared" si="4"/>
        <v>435000</v>
      </c>
      <c r="K55" s="846"/>
      <c r="L55" s="847"/>
      <c r="M55" s="93"/>
      <c r="N55" s="93"/>
    </row>
    <row r="56" spans="1:14" s="163" customFormat="1" ht="30" customHeight="1">
      <c r="A56" s="275"/>
      <c r="B56" s="467"/>
      <c r="C56" s="1352" t="s">
        <v>23</v>
      </c>
      <c r="D56" s="1085">
        <f t="shared" si="0"/>
        <v>1160000</v>
      </c>
      <c r="E56" s="1085">
        <v>1160000</v>
      </c>
      <c r="F56" s="1085"/>
      <c r="G56" s="1085"/>
      <c r="H56" s="1086">
        <v>-130000</v>
      </c>
      <c r="I56" s="1087">
        <f t="shared" si="1"/>
        <v>1030000</v>
      </c>
      <c r="J56" s="1088">
        <f t="shared" si="4"/>
        <v>1030000</v>
      </c>
      <c r="K56" s="1088"/>
      <c r="L56" s="1089"/>
      <c r="M56" s="93"/>
      <c r="N56" s="93"/>
    </row>
    <row r="57" spans="1:14" s="163" customFormat="1" ht="30" customHeight="1">
      <c r="A57" s="275"/>
      <c r="B57" s="467"/>
      <c r="C57" s="1071" t="s">
        <v>30</v>
      </c>
      <c r="D57" s="1072">
        <f t="shared" si="0"/>
        <v>270000</v>
      </c>
      <c r="E57" s="1072">
        <v>270000</v>
      </c>
      <c r="F57" s="1072"/>
      <c r="G57" s="1072"/>
      <c r="H57" s="1073">
        <v>15000</v>
      </c>
      <c r="I57" s="1074">
        <f t="shared" si="1"/>
        <v>285000</v>
      </c>
      <c r="J57" s="1075">
        <f t="shared" si="4"/>
        <v>285000</v>
      </c>
      <c r="K57" s="1075"/>
      <c r="L57" s="1076"/>
      <c r="M57" s="93"/>
      <c r="N57" s="93"/>
    </row>
    <row r="58" spans="1:14" s="163" customFormat="1" ht="43.5" customHeight="1">
      <c r="A58" s="275"/>
      <c r="B58" s="467"/>
      <c r="C58" s="1352" t="s">
        <v>24</v>
      </c>
      <c r="D58" s="1085">
        <f t="shared" si="0"/>
        <v>300000</v>
      </c>
      <c r="E58" s="1085">
        <v>300000</v>
      </c>
      <c r="F58" s="1085"/>
      <c r="G58" s="1085"/>
      <c r="H58" s="1086">
        <v>-230000</v>
      </c>
      <c r="I58" s="1087">
        <f t="shared" si="1"/>
        <v>70000</v>
      </c>
      <c r="J58" s="1088">
        <f t="shared" si="4"/>
        <v>70000</v>
      </c>
      <c r="K58" s="1088"/>
      <c r="L58" s="1089"/>
      <c r="M58" s="93"/>
      <c r="N58" s="93"/>
    </row>
    <row r="59" spans="1:14" s="163" customFormat="1" ht="36" customHeight="1">
      <c r="A59" s="275"/>
      <c r="B59" s="467"/>
      <c r="C59" s="1071" t="s">
        <v>25</v>
      </c>
      <c r="D59" s="1072">
        <f t="shared" si="0"/>
        <v>100000</v>
      </c>
      <c r="E59" s="1072">
        <v>100000</v>
      </c>
      <c r="F59" s="1072"/>
      <c r="G59" s="1072"/>
      <c r="H59" s="1073">
        <v>-100000</v>
      </c>
      <c r="I59" s="1074">
        <f t="shared" si="1"/>
        <v>0</v>
      </c>
      <c r="J59" s="1075">
        <f t="shared" si="4"/>
        <v>0</v>
      </c>
      <c r="K59" s="1075"/>
      <c r="L59" s="1076"/>
      <c r="M59" s="93"/>
      <c r="N59" s="93"/>
    </row>
    <row r="60" spans="1:14" s="163" customFormat="1" ht="21.75" customHeight="1">
      <c r="A60" s="275"/>
      <c r="B60" s="467"/>
      <c r="C60" s="1071" t="s">
        <v>26</v>
      </c>
      <c r="D60" s="1072">
        <f t="shared" si="0"/>
        <v>220000</v>
      </c>
      <c r="E60" s="1072">
        <v>220000</v>
      </c>
      <c r="F60" s="1072"/>
      <c r="G60" s="1072"/>
      <c r="H60" s="1073">
        <v>-100000</v>
      </c>
      <c r="I60" s="1074">
        <f t="shared" si="1"/>
        <v>120000</v>
      </c>
      <c r="J60" s="1075">
        <f t="shared" si="4"/>
        <v>120000</v>
      </c>
      <c r="K60" s="1075"/>
      <c r="L60" s="1076"/>
      <c r="M60" s="93"/>
      <c r="N60" s="93"/>
    </row>
    <row r="61" spans="1:14" s="163" customFormat="1" ht="30" customHeight="1">
      <c r="A61" s="275"/>
      <c r="B61" s="467"/>
      <c r="C61" s="1071" t="s">
        <v>459</v>
      </c>
      <c r="D61" s="1500">
        <f t="shared" si="0"/>
        <v>195000</v>
      </c>
      <c r="E61" s="1500">
        <v>195000</v>
      </c>
      <c r="F61" s="1500"/>
      <c r="G61" s="1500"/>
      <c r="H61" s="1501">
        <v>-183000</v>
      </c>
      <c r="I61" s="1502">
        <f t="shared" si="1"/>
        <v>12000</v>
      </c>
      <c r="J61" s="1503">
        <f t="shared" si="4"/>
        <v>12000</v>
      </c>
      <c r="K61" s="1503"/>
      <c r="L61" s="1504"/>
      <c r="M61" s="93"/>
      <c r="N61" s="93"/>
    </row>
    <row r="62" spans="1:14" s="163" customFormat="1" ht="30" customHeight="1">
      <c r="A62" s="275"/>
      <c r="B62" s="467"/>
      <c r="C62" s="1071" t="s">
        <v>27</v>
      </c>
      <c r="D62" s="626">
        <f t="shared" si="0"/>
        <v>30000</v>
      </c>
      <c r="E62" s="626">
        <v>30000</v>
      </c>
      <c r="F62" s="626"/>
      <c r="G62" s="626"/>
      <c r="H62" s="627">
        <v>-5000</v>
      </c>
      <c r="I62" s="628">
        <f t="shared" si="1"/>
        <v>25000</v>
      </c>
      <c r="J62" s="625">
        <f t="shared" si="4"/>
        <v>25000</v>
      </c>
      <c r="K62" s="625"/>
      <c r="L62" s="629"/>
      <c r="M62" s="93"/>
      <c r="N62" s="93"/>
    </row>
    <row r="63" spans="1:14" s="163" customFormat="1" ht="25.5" customHeight="1">
      <c r="A63" s="275"/>
      <c r="B63" s="276">
        <v>90004</v>
      </c>
      <c r="C63" s="413" t="s">
        <v>460</v>
      </c>
      <c r="D63" s="277">
        <f t="shared" si="0"/>
        <v>500000</v>
      </c>
      <c r="E63" s="277">
        <v>500000</v>
      </c>
      <c r="F63" s="277"/>
      <c r="G63" s="277"/>
      <c r="H63" s="278">
        <f>H64</f>
        <v>100000</v>
      </c>
      <c r="I63" s="279">
        <f t="shared" si="1"/>
        <v>600000</v>
      </c>
      <c r="J63" s="280">
        <f>E63+H63</f>
        <v>600000</v>
      </c>
      <c r="K63" s="280"/>
      <c r="L63" s="281"/>
      <c r="M63" s="93"/>
      <c r="N63" s="93"/>
    </row>
    <row r="64" spans="1:14" s="163" customFormat="1" ht="21.75" customHeight="1">
      <c r="A64" s="275"/>
      <c r="B64" s="467"/>
      <c r="C64" s="1071" t="s">
        <v>458</v>
      </c>
      <c r="D64" s="843">
        <f t="shared" si="0"/>
        <v>500000</v>
      </c>
      <c r="E64" s="843">
        <v>500000</v>
      </c>
      <c r="F64" s="843"/>
      <c r="G64" s="843"/>
      <c r="H64" s="844">
        <v>100000</v>
      </c>
      <c r="I64" s="845">
        <f t="shared" si="1"/>
        <v>600000</v>
      </c>
      <c r="J64" s="846">
        <f>E64+H64</f>
        <v>600000</v>
      </c>
      <c r="K64" s="846"/>
      <c r="L64" s="847"/>
      <c r="M64" s="93"/>
      <c r="N64" s="93"/>
    </row>
    <row r="65" spans="1:14" s="163" customFormat="1" ht="25.5" customHeight="1">
      <c r="A65" s="275"/>
      <c r="B65" s="276">
        <v>90095</v>
      </c>
      <c r="C65" s="413" t="s">
        <v>646</v>
      </c>
      <c r="D65" s="277">
        <f t="shared" si="0"/>
        <v>17071000</v>
      </c>
      <c r="E65" s="277">
        <v>16571000</v>
      </c>
      <c r="F65" s="277"/>
      <c r="G65" s="277">
        <v>500000</v>
      </c>
      <c r="H65" s="278">
        <f>SUM(H66:H69)</f>
        <v>620000</v>
      </c>
      <c r="I65" s="279">
        <f t="shared" si="1"/>
        <v>17691000</v>
      </c>
      <c r="J65" s="280">
        <f t="shared" si="4"/>
        <v>17191000</v>
      </c>
      <c r="K65" s="280"/>
      <c r="L65" s="281">
        <f>G65</f>
        <v>500000</v>
      </c>
      <c r="M65" s="93"/>
      <c r="N65" s="93"/>
    </row>
    <row r="66" spans="1:14" s="163" customFormat="1" ht="34.5" customHeight="1">
      <c r="A66" s="275"/>
      <c r="B66" s="969"/>
      <c r="C66" s="1065" t="s">
        <v>31</v>
      </c>
      <c r="D66" s="1066">
        <f t="shared" si="0"/>
        <v>6546000</v>
      </c>
      <c r="E66" s="1066">
        <v>6046000</v>
      </c>
      <c r="F66" s="1066"/>
      <c r="G66" s="1066">
        <v>500000</v>
      </c>
      <c r="H66" s="1067">
        <v>787512</v>
      </c>
      <c r="I66" s="1068">
        <f t="shared" si="1"/>
        <v>7333512</v>
      </c>
      <c r="J66" s="1069">
        <f t="shared" si="4"/>
        <v>6833512</v>
      </c>
      <c r="K66" s="1069"/>
      <c r="L66" s="1070">
        <f>G66</f>
        <v>500000</v>
      </c>
      <c r="M66" s="93"/>
      <c r="N66" s="93"/>
    </row>
    <row r="67" spans="1:14" s="163" customFormat="1" ht="34.5" customHeight="1">
      <c r="A67" s="275"/>
      <c r="B67" s="467"/>
      <c r="C67" s="1071" t="s">
        <v>32</v>
      </c>
      <c r="D67" s="1072">
        <f t="shared" si="0"/>
        <v>2615000</v>
      </c>
      <c r="E67" s="1072">
        <v>2615000</v>
      </c>
      <c r="F67" s="1072"/>
      <c r="G67" s="1072"/>
      <c r="H67" s="1073">
        <v>102488</v>
      </c>
      <c r="I67" s="1074">
        <f t="shared" si="1"/>
        <v>2717488</v>
      </c>
      <c r="J67" s="1075">
        <f t="shared" si="4"/>
        <v>2717488</v>
      </c>
      <c r="K67" s="1075"/>
      <c r="L67" s="1076"/>
      <c r="M67" s="93"/>
      <c r="N67" s="93"/>
    </row>
    <row r="68" spans="1:14" s="163" customFormat="1" ht="34.5" customHeight="1">
      <c r="A68" s="275"/>
      <c r="B68" s="467"/>
      <c r="C68" s="1071" t="s">
        <v>29</v>
      </c>
      <c r="D68" s="1072">
        <f t="shared" si="0"/>
        <v>500000</v>
      </c>
      <c r="E68" s="1072">
        <v>500000</v>
      </c>
      <c r="F68" s="1072"/>
      <c r="G68" s="1072"/>
      <c r="H68" s="1073">
        <v>-179000</v>
      </c>
      <c r="I68" s="1074">
        <f t="shared" si="1"/>
        <v>321000</v>
      </c>
      <c r="J68" s="1075">
        <f t="shared" si="4"/>
        <v>321000</v>
      </c>
      <c r="K68" s="1075"/>
      <c r="L68" s="1076"/>
      <c r="M68" s="93"/>
      <c r="N68" s="93"/>
    </row>
    <row r="69" spans="1:14" s="163" customFormat="1" ht="41.25" customHeight="1">
      <c r="A69" s="275"/>
      <c r="B69" s="467"/>
      <c r="C69" s="1071" t="s">
        <v>28</v>
      </c>
      <c r="D69" s="1072">
        <f t="shared" si="0"/>
        <v>100000</v>
      </c>
      <c r="E69" s="1072">
        <v>100000</v>
      </c>
      <c r="F69" s="1072"/>
      <c r="G69" s="1072"/>
      <c r="H69" s="1073">
        <v>-91000</v>
      </c>
      <c r="I69" s="1074">
        <f t="shared" si="1"/>
        <v>9000</v>
      </c>
      <c r="J69" s="1075">
        <f t="shared" si="4"/>
        <v>9000</v>
      </c>
      <c r="K69" s="1075"/>
      <c r="L69" s="1076"/>
      <c r="M69" s="93"/>
      <c r="N69" s="93"/>
    </row>
    <row r="70" spans="1:14" s="163" customFormat="1" ht="27.75" customHeight="1" thickBot="1">
      <c r="A70" s="268">
        <v>926</v>
      </c>
      <c r="B70" s="268"/>
      <c r="C70" s="269" t="s">
        <v>266</v>
      </c>
      <c r="D70" s="270">
        <f t="shared" si="0"/>
        <v>14652114</v>
      </c>
      <c r="E70" s="270">
        <v>8526067</v>
      </c>
      <c r="F70" s="270">
        <v>6126047</v>
      </c>
      <c r="G70" s="270"/>
      <c r="H70" s="271">
        <f>H71+H76</f>
        <v>0</v>
      </c>
      <c r="I70" s="272">
        <f t="shared" si="1"/>
        <v>14652114</v>
      </c>
      <c r="J70" s="273">
        <f t="shared" si="4"/>
        <v>8526067</v>
      </c>
      <c r="K70" s="273">
        <f>F70</f>
        <v>6126047</v>
      </c>
      <c r="L70" s="274"/>
      <c r="M70" s="93"/>
      <c r="N70" s="93"/>
    </row>
    <row r="71" spans="1:14" s="163" customFormat="1" ht="25.5" customHeight="1">
      <c r="A71" s="275"/>
      <c r="B71" s="276">
        <v>92604</v>
      </c>
      <c r="C71" s="413" t="s">
        <v>268</v>
      </c>
      <c r="D71" s="277">
        <f t="shared" si="0"/>
        <v>14362114</v>
      </c>
      <c r="E71" s="277">
        <v>8236067</v>
      </c>
      <c r="F71" s="277">
        <v>6126047</v>
      </c>
      <c r="G71" s="277"/>
      <c r="H71" s="278">
        <f>SUM(H72:H75)</f>
        <v>0</v>
      </c>
      <c r="I71" s="279">
        <f t="shared" si="1"/>
        <v>14362114</v>
      </c>
      <c r="J71" s="280">
        <f t="shared" si="4"/>
        <v>8236067</v>
      </c>
      <c r="K71" s="280">
        <f>F71</f>
        <v>6126047</v>
      </c>
      <c r="L71" s="281"/>
      <c r="M71" s="93"/>
      <c r="N71" s="93"/>
    </row>
    <row r="72" spans="1:14" s="163" customFormat="1" ht="34.5" customHeight="1">
      <c r="A72" s="275"/>
      <c r="B72" s="969"/>
      <c r="C72" s="1065" t="s">
        <v>38</v>
      </c>
      <c r="D72" s="1066">
        <f t="shared" si="0"/>
        <v>2949114</v>
      </c>
      <c r="E72" s="1066">
        <v>1758567</v>
      </c>
      <c r="F72" s="1066">
        <v>1190547</v>
      </c>
      <c r="G72" s="1066"/>
      <c r="H72" s="1067">
        <v>-44000</v>
      </c>
      <c r="I72" s="1068">
        <f t="shared" si="1"/>
        <v>2905114</v>
      </c>
      <c r="J72" s="1069">
        <f t="shared" si="4"/>
        <v>1714567</v>
      </c>
      <c r="K72" s="1069">
        <f>F72</f>
        <v>1190547</v>
      </c>
      <c r="L72" s="1070"/>
      <c r="M72" s="93"/>
      <c r="N72" s="93"/>
    </row>
    <row r="73" spans="1:14" s="163" customFormat="1" ht="34.5" customHeight="1">
      <c r="A73" s="275"/>
      <c r="B73" s="467"/>
      <c r="C73" s="1071" t="s">
        <v>872</v>
      </c>
      <c r="D73" s="1072">
        <f t="shared" si="0"/>
        <v>150000</v>
      </c>
      <c r="E73" s="1072">
        <v>150000</v>
      </c>
      <c r="F73" s="1072"/>
      <c r="G73" s="1072"/>
      <c r="H73" s="1073">
        <v>44000</v>
      </c>
      <c r="I73" s="1074">
        <f t="shared" si="1"/>
        <v>194000</v>
      </c>
      <c r="J73" s="1075">
        <f t="shared" si="4"/>
        <v>194000</v>
      </c>
      <c r="K73" s="1075"/>
      <c r="L73" s="1076"/>
      <c r="M73" s="93"/>
      <c r="N73" s="93"/>
    </row>
    <row r="74" spans="1:14" s="163" customFormat="1" ht="34.5" customHeight="1">
      <c r="A74" s="275"/>
      <c r="B74" s="467"/>
      <c r="C74" s="1071" t="s">
        <v>39</v>
      </c>
      <c r="D74" s="1072">
        <f t="shared" si="0"/>
        <v>900000</v>
      </c>
      <c r="E74" s="1072">
        <v>900000</v>
      </c>
      <c r="F74" s="1072"/>
      <c r="G74" s="1072"/>
      <c r="H74" s="1073">
        <v>-50000</v>
      </c>
      <c r="I74" s="1074">
        <f t="shared" si="1"/>
        <v>850000</v>
      </c>
      <c r="J74" s="1075">
        <f t="shared" si="4"/>
        <v>850000</v>
      </c>
      <c r="K74" s="1075"/>
      <c r="L74" s="1076"/>
      <c r="M74" s="93"/>
      <c r="N74" s="93"/>
    </row>
    <row r="75" spans="1:14" s="163" customFormat="1" ht="34.5" customHeight="1">
      <c r="A75" s="275"/>
      <c r="B75" s="467"/>
      <c r="C75" s="1101" t="s">
        <v>873</v>
      </c>
      <c r="D75" s="626">
        <f t="shared" si="0"/>
        <v>600000</v>
      </c>
      <c r="E75" s="626">
        <v>600000</v>
      </c>
      <c r="F75" s="626"/>
      <c r="G75" s="626"/>
      <c r="H75" s="627">
        <v>50000</v>
      </c>
      <c r="I75" s="628">
        <f t="shared" si="1"/>
        <v>650000</v>
      </c>
      <c r="J75" s="625">
        <f t="shared" si="4"/>
        <v>650000</v>
      </c>
      <c r="K75" s="625"/>
      <c r="L75" s="629"/>
      <c r="M75" s="93"/>
      <c r="N75" s="93"/>
    </row>
    <row r="76" spans="1:14" s="163" customFormat="1" ht="24.75" customHeight="1">
      <c r="A76" s="275"/>
      <c r="B76" s="276">
        <v>92605</v>
      </c>
      <c r="C76" s="1106" t="s">
        <v>290</v>
      </c>
      <c r="D76" s="277">
        <f t="shared" si="0"/>
        <v>290000</v>
      </c>
      <c r="E76" s="277">
        <v>290000</v>
      </c>
      <c r="F76" s="277"/>
      <c r="G76" s="277"/>
      <c r="H76" s="278">
        <f>SUM(H77:H78)</f>
        <v>0</v>
      </c>
      <c r="I76" s="279">
        <f t="shared" si="1"/>
        <v>290000</v>
      </c>
      <c r="J76" s="280">
        <f t="shared" si="4"/>
        <v>290000</v>
      </c>
      <c r="K76" s="280"/>
      <c r="L76" s="281"/>
      <c r="M76" s="93"/>
      <c r="N76" s="93"/>
    </row>
    <row r="77" spans="1:14" s="163" customFormat="1" ht="27" customHeight="1">
      <c r="A77" s="275"/>
      <c r="B77" s="969"/>
      <c r="C77" s="1065" t="s">
        <v>33</v>
      </c>
      <c r="D77" s="1066">
        <f aca="true" t="shared" si="5" ref="D77:D86">E77+F77+G77</f>
        <v>63500</v>
      </c>
      <c r="E77" s="1066">
        <v>63500</v>
      </c>
      <c r="F77" s="1066"/>
      <c r="G77" s="1066"/>
      <c r="H77" s="1067">
        <v>-32000</v>
      </c>
      <c r="I77" s="1068">
        <f t="shared" si="1"/>
        <v>31500</v>
      </c>
      <c r="J77" s="1069">
        <f t="shared" si="4"/>
        <v>31500</v>
      </c>
      <c r="K77" s="1069"/>
      <c r="L77" s="1070"/>
      <c r="M77" s="93"/>
      <c r="N77" s="93"/>
    </row>
    <row r="78" spans="1:14" s="163" customFormat="1" ht="21.75" customHeight="1">
      <c r="A78" s="1353"/>
      <c r="B78" s="1100"/>
      <c r="C78" s="1101" t="s">
        <v>34</v>
      </c>
      <c r="D78" s="626">
        <f t="shared" si="5"/>
        <v>226500</v>
      </c>
      <c r="E78" s="626">
        <v>226500</v>
      </c>
      <c r="F78" s="626"/>
      <c r="G78" s="626"/>
      <c r="H78" s="627">
        <v>32000</v>
      </c>
      <c r="I78" s="628">
        <f>D78+H78</f>
        <v>258500</v>
      </c>
      <c r="J78" s="625">
        <f t="shared" si="4"/>
        <v>258500</v>
      </c>
      <c r="K78" s="625"/>
      <c r="L78" s="629"/>
      <c r="M78" s="93"/>
      <c r="N78" s="93"/>
    </row>
    <row r="79" spans="1:14" s="163" customFormat="1" ht="21.75" customHeight="1">
      <c r="A79" s="1521"/>
      <c r="B79" s="1522"/>
      <c r="C79" s="1523"/>
      <c r="D79" s="1524"/>
      <c r="E79" s="1524"/>
      <c r="F79" s="1524"/>
      <c r="G79" s="1524"/>
      <c r="H79" s="1524"/>
      <c r="I79" s="1524"/>
      <c r="J79" s="1524"/>
      <c r="K79" s="1524"/>
      <c r="L79" s="1524"/>
      <c r="M79" s="93"/>
      <c r="N79" s="93"/>
    </row>
    <row r="80" spans="1:14" s="603" customFormat="1" ht="32.25" customHeight="1" thickBot="1">
      <c r="A80" s="633"/>
      <c r="B80" s="634"/>
      <c r="C80" s="1354" t="s">
        <v>493</v>
      </c>
      <c r="D80" s="1355">
        <f t="shared" si="5"/>
        <v>1134563</v>
      </c>
      <c r="E80" s="1355">
        <v>580310</v>
      </c>
      <c r="F80" s="1355">
        <v>6297</v>
      </c>
      <c r="G80" s="1355">
        <v>547956</v>
      </c>
      <c r="H80" s="1356">
        <f>H81</f>
        <v>-383</v>
      </c>
      <c r="I80" s="1357">
        <f t="shared" si="1"/>
        <v>1134180</v>
      </c>
      <c r="J80" s="1354">
        <f>E80</f>
        <v>580310</v>
      </c>
      <c r="K80" s="1354">
        <f>F80-261</f>
        <v>6036</v>
      </c>
      <c r="L80" s="1358">
        <f>G80-122</f>
        <v>547834</v>
      </c>
      <c r="M80" s="602"/>
      <c r="N80" s="602"/>
    </row>
    <row r="81" spans="1:14" s="163" customFormat="1" ht="24.75" customHeight="1" thickBot="1" thickTop="1">
      <c r="A81" s="268">
        <v>854</v>
      </c>
      <c r="B81" s="268"/>
      <c r="C81" s="269" t="s">
        <v>649</v>
      </c>
      <c r="D81" s="270">
        <f t="shared" si="5"/>
        <v>9253</v>
      </c>
      <c r="E81" s="270"/>
      <c r="F81" s="270">
        <v>6297</v>
      </c>
      <c r="G81" s="270">
        <v>2956</v>
      </c>
      <c r="H81" s="271">
        <f>H82</f>
        <v>-383</v>
      </c>
      <c r="I81" s="272">
        <f>SUM(J81:L81)</f>
        <v>8870</v>
      </c>
      <c r="J81" s="273"/>
      <c r="K81" s="273">
        <f>F81-261</f>
        <v>6036</v>
      </c>
      <c r="L81" s="274">
        <f>G81-122</f>
        <v>2834</v>
      </c>
      <c r="M81" s="93"/>
      <c r="N81" s="93"/>
    </row>
    <row r="82" spans="1:14" s="163" customFormat="1" ht="24.75" customHeight="1">
      <c r="A82" s="275"/>
      <c r="B82" s="276">
        <v>85415</v>
      </c>
      <c r="C82" s="413" t="s">
        <v>201</v>
      </c>
      <c r="D82" s="277">
        <f t="shared" si="5"/>
        <v>9253</v>
      </c>
      <c r="E82" s="277"/>
      <c r="F82" s="277">
        <v>6297</v>
      </c>
      <c r="G82" s="277">
        <v>2956</v>
      </c>
      <c r="H82" s="278">
        <f>H83</f>
        <v>-383</v>
      </c>
      <c r="I82" s="279">
        <f>SUM(J82:L82)</f>
        <v>8870</v>
      </c>
      <c r="J82" s="280"/>
      <c r="K82" s="280">
        <f>F82-261</f>
        <v>6036</v>
      </c>
      <c r="L82" s="281">
        <f>G82-122</f>
        <v>2834</v>
      </c>
      <c r="M82" s="93"/>
      <c r="N82" s="93"/>
    </row>
    <row r="83" spans="1:14" s="163" customFormat="1" ht="39.75" customHeight="1" thickBot="1">
      <c r="A83" s="275"/>
      <c r="B83" s="969"/>
      <c r="C83" s="970" t="s">
        <v>454</v>
      </c>
      <c r="D83" s="469">
        <f t="shared" si="5"/>
        <v>9253</v>
      </c>
      <c r="E83" s="469"/>
      <c r="F83" s="469">
        <v>6297</v>
      </c>
      <c r="G83" s="469">
        <v>2956</v>
      </c>
      <c r="H83" s="470">
        <f>-261-122</f>
        <v>-383</v>
      </c>
      <c r="I83" s="471">
        <f>SUM(J83:L83)</f>
        <v>8870</v>
      </c>
      <c r="J83" s="468"/>
      <c r="K83" s="468">
        <f>F83-261</f>
        <v>6036</v>
      </c>
      <c r="L83" s="472">
        <f>G83-122</f>
        <v>2834</v>
      </c>
      <c r="M83" s="93"/>
      <c r="N83" s="93"/>
    </row>
    <row r="84" spans="1:14" s="282" customFormat="1" ht="21.75" customHeight="1" thickTop="1">
      <c r="A84" s="1505"/>
      <c r="B84" s="1506"/>
      <c r="C84" s="741" t="s">
        <v>676</v>
      </c>
      <c r="D84" s="742">
        <f t="shared" si="5"/>
        <v>484000</v>
      </c>
      <c r="E84" s="742"/>
      <c r="F84" s="742"/>
      <c r="G84" s="743">
        <v>484000</v>
      </c>
      <c r="H84" s="744">
        <f>H85+H86</f>
        <v>120000</v>
      </c>
      <c r="I84" s="745">
        <f t="shared" si="1"/>
        <v>604000</v>
      </c>
      <c r="J84" s="742"/>
      <c r="K84" s="742"/>
      <c r="L84" s="742">
        <f>G84+H84</f>
        <v>604000</v>
      </c>
      <c r="M84" s="93"/>
      <c r="N84" s="93"/>
    </row>
    <row r="85" spans="1:14" s="603" customFormat="1" ht="32.25" customHeight="1" thickBot="1">
      <c r="A85" s="633"/>
      <c r="B85" s="634"/>
      <c r="C85" s="1354" t="s">
        <v>677</v>
      </c>
      <c r="D85" s="1355">
        <f t="shared" si="5"/>
        <v>35000</v>
      </c>
      <c r="E85" s="1355"/>
      <c r="F85" s="1355"/>
      <c r="G85" s="1355">
        <v>35000</v>
      </c>
      <c r="H85" s="1356"/>
      <c r="I85" s="1357">
        <f t="shared" si="1"/>
        <v>35000</v>
      </c>
      <c r="J85" s="1354"/>
      <c r="K85" s="1354"/>
      <c r="L85" s="1358">
        <f>G85</f>
        <v>35000</v>
      </c>
      <c r="M85" s="93"/>
      <c r="N85" s="93"/>
    </row>
    <row r="86" spans="1:14" s="603" customFormat="1" ht="32.25" customHeight="1" thickBot="1" thickTop="1">
      <c r="A86" s="633"/>
      <c r="B86" s="634"/>
      <c r="C86" s="1354" t="s">
        <v>678</v>
      </c>
      <c r="D86" s="1355">
        <f t="shared" si="5"/>
        <v>449000</v>
      </c>
      <c r="E86" s="1355"/>
      <c r="F86" s="1355"/>
      <c r="G86" s="1355">
        <v>449000</v>
      </c>
      <c r="H86" s="1356">
        <f>H87</f>
        <v>120000</v>
      </c>
      <c r="I86" s="1357">
        <f>D86+H86</f>
        <v>569000</v>
      </c>
      <c r="J86" s="1354"/>
      <c r="K86" s="1354"/>
      <c r="L86" s="1358">
        <f>G86+H86</f>
        <v>569000</v>
      </c>
      <c r="M86" s="93"/>
      <c r="N86" s="93"/>
    </row>
    <row r="87" spans="1:14" s="163" customFormat="1" ht="24.75" customHeight="1" thickBot="1" thickTop="1">
      <c r="A87" s="268">
        <v>851</v>
      </c>
      <c r="B87" s="268"/>
      <c r="C87" s="269" t="s">
        <v>650</v>
      </c>
      <c r="D87" s="270"/>
      <c r="E87" s="270"/>
      <c r="F87" s="270"/>
      <c r="G87" s="270"/>
      <c r="H87" s="271">
        <f>H88</f>
        <v>120000</v>
      </c>
      <c r="I87" s="272">
        <f>D87+H87</f>
        <v>120000</v>
      </c>
      <c r="J87" s="273"/>
      <c r="K87" s="273"/>
      <c r="L87" s="274">
        <f>H87</f>
        <v>120000</v>
      </c>
      <c r="M87" s="93"/>
      <c r="N87" s="93"/>
    </row>
    <row r="88" spans="1:14" s="163" customFormat="1" ht="24.75" customHeight="1">
      <c r="A88" s="275"/>
      <c r="B88" s="276">
        <v>85141</v>
      </c>
      <c r="C88" s="413" t="s">
        <v>891</v>
      </c>
      <c r="D88" s="277"/>
      <c r="E88" s="277"/>
      <c r="F88" s="277"/>
      <c r="G88" s="277"/>
      <c r="H88" s="278">
        <f>SUM(H89:H90)</f>
        <v>120000</v>
      </c>
      <c r="I88" s="279">
        <f>D88+H88</f>
        <v>120000</v>
      </c>
      <c r="J88" s="280"/>
      <c r="K88" s="280"/>
      <c r="L88" s="281">
        <f>H88</f>
        <v>120000</v>
      </c>
      <c r="M88" s="93"/>
      <c r="N88" s="93"/>
    </row>
    <row r="89" spans="1:14" s="163" customFormat="1" ht="24.75" customHeight="1">
      <c r="A89" s="275"/>
      <c r="B89" s="969"/>
      <c r="C89" s="970" t="s">
        <v>893</v>
      </c>
      <c r="D89" s="469"/>
      <c r="E89" s="469"/>
      <c r="F89" s="469"/>
      <c r="G89" s="469"/>
      <c r="H89" s="470">
        <v>24000</v>
      </c>
      <c r="I89" s="471">
        <f>D89+H89</f>
        <v>24000</v>
      </c>
      <c r="J89" s="468"/>
      <c r="K89" s="468"/>
      <c r="L89" s="472">
        <f>H89</f>
        <v>24000</v>
      </c>
      <c r="M89" s="93"/>
      <c r="N89" s="93"/>
    </row>
    <row r="90" spans="1:14" s="163" customFormat="1" ht="24.75" customHeight="1">
      <c r="A90" s="1353"/>
      <c r="B90" s="1100"/>
      <c r="C90" s="963" t="s">
        <v>894</v>
      </c>
      <c r="D90" s="964"/>
      <c r="E90" s="964"/>
      <c r="F90" s="964"/>
      <c r="G90" s="964"/>
      <c r="H90" s="965">
        <v>96000</v>
      </c>
      <c r="I90" s="966">
        <f>D90+H90</f>
        <v>96000</v>
      </c>
      <c r="J90" s="967"/>
      <c r="K90" s="967"/>
      <c r="L90" s="968">
        <f>H90</f>
        <v>96000</v>
      </c>
      <c r="M90" s="93"/>
      <c r="N90" s="93"/>
    </row>
    <row r="91" ht="21.75" customHeight="1"/>
    <row r="92" ht="21" customHeight="1"/>
    <row r="94" spans="3:11" ht="18">
      <c r="C94" s="513" t="s">
        <v>446</v>
      </c>
      <c r="J94" s="513" t="s">
        <v>447</v>
      </c>
      <c r="K94" s="513"/>
    </row>
    <row r="95" spans="3:11" ht="15" customHeight="1">
      <c r="C95" s="1635" t="s">
        <v>449</v>
      </c>
      <c r="J95" s="519" t="s">
        <v>448</v>
      </c>
      <c r="K95" s="513"/>
    </row>
  </sheetData>
  <mergeCells count="3">
    <mergeCell ref="D8:D9"/>
    <mergeCell ref="E8:G8"/>
    <mergeCell ref="J8:L8"/>
  </mergeCells>
  <printOptions horizontalCentered="1"/>
  <pageMargins left="0.3937007874015748" right="0.3937007874015748" top="0.4330708661417323" bottom="0.3937007874015748" header="0.31496062992125984" footer="0.1968503937007874"/>
  <pageSetup firstPageNumber="17" useFirstPageNumber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6"/>
  <sheetViews>
    <sheetView zoomScale="75" zoomScaleNormal="75" workbookViewId="0" topLeftCell="A10">
      <selection activeCell="AC22" sqref="AC22:AI23"/>
    </sheetView>
  </sheetViews>
  <sheetFormatPr defaultColWidth="9.00390625" defaultRowHeight="12.75"/>
  <cols>
    <col min="1" max="1" width="7.375" style="0" customWidth="1"/>
    <col min="2" max="2" width="9.00390625" style="0" customWidth="1"/>
    <col min="3" max="3" width="39.625" style="283" customWidth="1"/>
    <col min="4" max="4" width="37.75390625" style="283" customWidth="1"/>
    <col min="5" max="5" width="16.875" style="283" customWidth="1"/>
    <col min="6" max="6" width="13.25390625" style="446" customWidth="1"/>
    <col min="7" max="7" width="16.875" style="446" customWidth="1"/>
    <col min="8" max="8" width="16.75390625" style="446" customWidth="1"/>
    <col min="9" max="9" width="16.625" style="0" customWidth="1"/>
    <col min="10" max="10" width="16.375" style="0" customWidth="1"/>
    <col min="11" max="11" width="15.875" style="0" customWidth="1"/>
    <col min="12" max="12" width="17.125" style="0" customWidth="1"/>
    <col min="13" max="13" width="11.75390625" style="0" hidden="1" customWidth="1"/>
    <col min="14" max="14" width="15.125" style="0" customWidth="1"/>
    <col min="15" max="15" width="15.375" style="0" customWidth="1"/>
    <col min="16" max="16" width="17.625" style="0" customWidth="1"/>
    <col min="17" max="17" width="11.75390625" style="0" hidden="1" customWidth="1"/>
    <col min="18" max="18" width="12.25390625" style="0" hidden="1" customWidth="1"/>
    <col min="19" max="19" width="3.00390625" style="0" hidden="1" customWidth="1"/>
    <col min="20" max="20" width="15.125" style="0" customWidth="1"/>
    <col min="21" max="21" width="15.375" style="0" customWidth="1"/>
    <col min="22" max="22" width="17.125" style="0" customWidth="1"/>
    <col min="23" max="23" width="16.75390625" style="446" customWidth="1"/>
    <col min="24" max="24" width="16.625" style="0" customWidth="1"/>
    <col min="25" max="25" width="16.375" style="0" customWidth="1"/>
    <col min="26" max="26" width="15.875" style="0" customWidth="1"/>
    <col min="27" max="27" width="16.625" style="0" customWidth="1"/>
    <col min="28" max="28" width="11.75390625" style="0" hidden="1" customWidth="1"/>
    <col min="29" max="29" width="15.125" style="0" customWidth="1"/>
    <col min="30" max="30" width="15.375" style="0" customWidth="1"/>
    <col min="31" max="31" width="17.625" style="0" customWidth="1"/>
    <col min="32" max="32" width="11.75390625" style="0" hidden="1" customWidth="1"/>
    <col min="33" max="33" width="12.25390625" style="0" hidden="1" customWidth="1"/>
    <col min="34" max="34" width="3.00390625" style="0" hidden="1" customWidth="1"/>
    <col min="35" max="35" width="15.125" style="0" customWidth="1"/>
    <col min="36" max="36" width="15.375" style="0" customWidth="1"/>
    <col min="37" max="37" width="17.625" style="0" customWidth="1"/>
  </cols>
  <sheetData>
    <row r="1" spans="3:35" s="523" customFormat="1" ht="21" customHeight="1">
      <c r="C1" s="524"/>
      <c r="D1" s="524"/>
      <c r="E1" s="524"/>
      <c r="F1" s="525"/>
      <c r="G1" s="525"/>
      <c r="H1" s="525"/>
      <c r="N1" s="572"/>
      <c r="T1" s="572"/>
      <c r="W1" s="525"/>
      <c r="AC1" s="572"/>
      <c r="AI1" s="572" t="s">
        <v>352</v>
      </c>
    </row>
    <row r="2" spans="7:35" s="523" customFormat="1" ht="21" customHeight="1">
      <c r="G2" s="526"/>
      <c r="H2" s="526"/>
      <c r="N2" s="572"/>
      <c r="T2" s="572"/>
      <c r="W2" s="526"/>
      <c r="AC2" s="572"/>
      <c r="AI2" s="572" t="s">
        <v>14</v>
      </c>
    </row>
    <row r="3" spans="3:35" s="523" customFormat="1" ht="21" customHeight="1">
      <c r="C3" s="1656" t="s">
        <v>353</v>
      </c>
      <c r="D3" s="1656"/>
      <c r="E3" s="1656"/>
      <c r="F3" s="1656"/>
      <c r="G3" s="1656"/>
      <c r="H3" s="1656"/>
      <c r="I3" s="1656"/>
      <c r="J3" s="1656"/>
      <c r="K3" s="1656"/>
      <c r="L3" s="1656"/>
      <c r="M3" s="1656"/>
      <c r="N3" s="1656"/>
      <c r="O3" s="1656"/>
      <c r="P3" s="1656"/>
      <c r="Q3" s="1656"/>
      <c r="R3" s="1656"/>
      <c r="S3" s="1656"/>
      <c r="T3" s="1656"/>
      <c r="U3" s="1656"/>
      <c r="V3" s="1656"/>
      <c r="W3" s="1656"/>
      <c r="X3" s="1657"/>
      <c r="Y3" s="1657"/>
      <c r="Z3" s="1657"/>
      <c r="AA3" s="1657"/>
      <c r="AC3" s="572"/>
      <c r="AI3" s="572" t="s">
        <v>605</v>
      </c>
    </row>
    <row r="4" spans="3:35" s="523" customFormat="1" ht="21" customHeight="1">
      <c r="C4" s="1658"/>
      <c r="D4" s="1658"/>
      <c r="E4" s="1658"/>
      <c r="F4" s="1658"/>
      <c r="G4" s="1658"/>
      <c r="H4" s="525"/>
      <c r="N4" s="572"/>
      <c r="T4" s="572"/>
      <c r="W4" s="525"/>
      <c r="AC4" s="572"/>
      <c r="AI4" s="572" t="s">
        <v>15</v>
      </c>
    </row>
    <row r="5" spans="3:23" s="523" customFormat="1" ht="21" customHeight="1">
      <c r="C5" s="527"/>
      <c r="D5" s="527"/>
      <c r="E5" s="527"/>
      <c r="F5" s="527"/>
      <c r="G5" s="527"/>
      <c r="H5" s="525"/>
      <c r="W5" s="525"/>
    </row>
    <row r="6" spans="2:37" s="523" customFormat="1" ht="21" customHeight="1" thickBot="1">
      <c r="B6" s="528"/>
      <c r="C6" s="524"/>
      <c r="D6" s="524"/>
      <c r="E6" s="524"/>
      <c r="F6" s="525"/>
      <c r="G6" s="525"/>
      <c r="H6" s="525"/>
      <c r="M6" s="529"/>
      <c r="P6" s="530"/>
      <c r="V6" s="530"/>
      <c r="W6" s="525"/>
      <c r="AB6" s="529"/>
      <c r="AE6" s="530"/>
      <c r="AK6" s="530" t="s">
        <v>606</v>
      </c>
    </row>
    <row r="7" spans="1:37" s="1" customFormat="1" ht="35.25" customHeight="1" thickBot="1" thickTop="1">
      <c r="A7" s="531"/>
      <c r="B7" s="531"/>
      <c r="C7" s="532"/>
      <c r="D7" s="532"/>
      <c r="E7" s="533" t="s">
        <v>312</v>
      </c>
      <c r="F7" s="533"/>
      <c r="G7" s="533"/>
      <c r="H7" s="533"/>
      <c r="I7" s="533"/>
      <c r="J7" s="1653" t="s">
        <v>512</v>
      </c>
      <c r="K7" s="1654"/>
      <c r="L7" s="1655"/>
      <c r="M7" s="533"/>
      <c r="N7" s="1653" t="s">
        <v>503</v>
      </c>
      <c r="O7" s="1654"/>
      <c r="P7" s="1655"/>
      <c r="Q7" s="1653" t="s">
        <v>354</v>
      </c>
      <c r="R7" s="1654"/>
      <c r="S7" s="1655"/>
      <c r="T7" s="1653" t="s">
        <v>504</v>
      </c>
      <c r="U7" s="1654"/>
      <c r="V7" s="1655"/>
      <c r="W7" s="533"/>
      <c r="X7" s="533"/>
      <c r="Y7" s="1653" t="s">
        <v>512</v>
      </c>
      <c r="Z7" s="1654"/>
      <c r="AA7" s="1655"/>
      <c r="AB7" s="533"/>
      <c r="AC7" s="1653" t="s">
        <v>505</v>
      </c>
      <c r="AD7" s="1654"/>
      <c r="AE7" s="1655"/>
      <c r="AF7" s="1653" t="s">
        <v>354</v>
      </c>
      <c r="AG7" s="1654"/>
      <c r="AH7" s="1655"/>
      <c r="AI7" s="1653" t="s">
        <v>506</v>
      </c>
      <c r="AJ7" s="1654"/>
      <c r="AK7" s="1655"/>
    </row>
    <row r="8" spans="1:37" s="1" customFormat="1" ht="121.5" customHeight="1" thickBot="1" thickTop="1">
      <c r="A8" s="534" t="s">
        <v>610</v>
      </c>
      <c r="B8" s="535" t="s">
        <v>244</v>
      </c>
      <c r="C8" s="535" t="s">
        <v>313</v>
      </c>
      <c r="D8" s="535" t="s">
        <v>314</v>
      </c>
      <c r="E8" s="535" t="s">
        <v>315</v>
      </c>
      <c r="F8" s="535" t="s">
        <v>316</v>
      </c>
      <c r="G8" s="535" t="s">
        <v>507</v>
      </c>
      <c r="H8" s="535" t="s">
        <v>508</v>
      </c>
      <c r="I8" s="535" t="s">
        <v>511</v>
      </c>
      <c r="J8" s="536" t="s">
        <v>246</v>
      </c>
      <c r="K8" s="536" t="s">
        <v>247</v>
      </c>
      <c r="L8" s="536" t="s">
        <v>317</v>
      </c>
      <c r="M8" s="535" t="s">
        <v>318</v>
      </c>
      <c r="N8" s="536" t="s">
        <v>246</v>
      </c>
      <c r="O8" s="536" t="s">
        <v>247</v>
      </c>
      <c r="P8" s="536" t="s">
        <v>317</v>
      </c>
      <c r="Q8" s="536" t="s">
        <v>246</v>
      </c>
      <c r="R8" s="536" t="s">
        <v>247</v>
      </c>
      <c r="S8" s="536" t="s">
        <v>317</v>
      </c>
      <c r="T8" s="536" t="s">
        <v>246</v>
      </c>
      <c r="U8" s="536" t="s">
        <v>247</v>
      </c>
      <c r="V8" s="536" t="s">
        <v>317</v>
      </c>
      <c r="W8" s="535" t="s">
        <v>684</v>
      </c>
      <c r="X8" s="535" t="s">
        <v>513</v>
      </c>
      <c r="Y8" s="536" t="s">
        <v>246</v>
      </c>
      <c r="Z8" s="536" t="s">
        <v>247</v>
      </c>
      <c r="AA8" s="536" t="s">
        <v>317</v>
      </c>
      <c r="AB8" s="535" t="s">
        <v>318</v>
      </c>
      <c r="AC8" s="536" t="s">
        <v>246</v>
      </c>
      <c r="AD8" s="536" t="s">
        <v>247</v>
      </c>
      <c r="AE8" s="536" t="s">
        <v>317</v>
      </c>
      <c r="AF8" s="536" t="s">
        <v>246</v>
      </c>
      <c r="AG8" s="536" t="s">
        <v>247</v>
      </c>
      <c r="AH8" s="536" t="s">
        <v>317</v>
      </c>
      <c r="AI8" s="536" t="s">
        <v>246</v>
      </c>
      <c r="AJ8" s="536" t="s">
        <v>247</v>
      </c>
      <c r="AK8" s="536" t="s">
        <v>317</v>
      </c>
    </row>
    <row r="9" spans="1:37" s="540" customFormat="1" ht="20.25" customHeight="1" thickBot="1" thickTop="1">
      <c r="A9" s="537">
        <v>1</v>
      </c>
      <c r="B9" s="537">
        <v>2</v>
      </c>
      <c r="C9" s="538">
        <v>3</v>
      </c>
      <c r="D9" s="539">
        <v>4</v>
      </c>
      <c r="E9" s="539">
        <v>5</v>
      </c>
      <c r="F9" s="539">
        <v>6</v>
      </c>
      <c r="G9" s="539">
        <v>7</v>
      </c>
      <c r="H9" s="539">
        <v>8</v>
      </c>
      <c r="I9" s="537">
        <v>9</v>
      </c>
      <c r="J9" s="537">
        <v>10</v>
      </c>
      <c r="K9" s="537">
        <v>11</v>
      </c>
      <c r="L9" s="537">
        <v>12</v>
      </c>
      <c r="M9" s="537">
        <v>14</v>
      </c>
      <c r="N9" s="537">
        <v>13</v>
      </c>
      <c r="O9" s="537">
        <v>14</v>
      </c>
      <c r="P9" s="537">
        <v>15</v>
      </c>
      <c r="Q9" s="537">
        <v>15</v>
      </c>
      <c r="R9" s="537">
        <v>16</v>
      </c>
      <c r="S9" s="537">
        <v>17</v>
      </c>
      <c r="T9" s="537">
        <v>16</v>
      </c>
      <c r="U9" s="537">
        <v>17</v>
      </c>
      <c r="V9" s="537">
        <v>18</v>
      </c>
      <c r="W9" s="539">
        <v>19</v>
      </c>
      <c r="X9" s="537">
        <v>20</v>
      </c>
      <c r="Y9" s="537">
        <v>21</v>
      </c>
      <c r="Z9" s="537">
        <v>22</v>
      </c>
      <c r="AA9" s="537">
        <v>23</v>
      </c>
      <c r="AB9" s="537">
        <v>14</v>
      </c>
      <c r="AC9" s="537">
        <v>24</v>
      </c>
      <c r="AD9" s="537">
        <v>25</v>
      </c>
      <c r="AE9" s="537">
        <v>26</v>
      </c>
      <c r="AF9" s="537">
        <v>15</v>
      </c>
      <c r="AG9" s="537">
        <v>16</v>
      </c>
      <c r="AH9" s="537">
        <v>17</v>
      </c>
      <c r="AI9" s="537">
        <v>27</v>
      </c>
      <c r="AJ9" s="537">
        <v>28</v>
      </c>
      <c r="AK9" s="537">
        <v>29</v>
      </c>
    </row>
    <row r="10" spans="1:37" s="546" customFormat="1" ht="24" customHeight="1" thickBot="1" thickTop="1">
      <c r="A10" s="541"/>
      <c r="B10" s="541"/>
      <c r="C10" s="542" t="s">
        <v>319</v>
      </c>
      <c r="D10" s="543"/>
      <c r="E10" s="543"/>
      <c r="F10" s="544"/>
      <c r="G10" s="545">
        <v>153508094</v>
      </c>
      <c r="H10" s="545">
        <v>40320275</v>
      </c>
      <c r="I10" s="545">
        <f>J10+K10+L10</f>
        <v>86565149</v>
      </c>
      <c r="J10" s="545">
        <v>24527371</v>
      </c>
      <c r="K10" s="545">
        <v>57128393</v>
      </c>
      <c r="L10" s="545">
        <v>4909385</v>
      </c>
      <c r="M10" s="545"/>
      <c r="N10" s="545">
        <v>5570196</v>
      </c>
      <c r="O10" s="545">
        <v>17880991</v>
      </c>
      <c r="P10" s="545">
        <v>546305</v>
      </c>
      <c r="Q10" s="545"/>
      <c r="R10" s="545"/>
      <c r="S10" s="545"/>
      <c r="T10" s="545">
        <v>5066</v>
      </c>
      <c r="U10" s="545">
        <v>62891</v>
      </c>
      <c r="V10" s="719"/>
      <c r="W10" s="729">
        <f>W11</f>
        <v>-180000</v>
      </c>
      <c r="X10" s="724">
        <f aca="true" t="shared" si="0" ref="X10:X18">Y10+Z10+AA10</f>
        <v>86390499</v>
      </c>
      <c r="Y10" s="545">
        <f>J10+W10</f>
        <v>24347371</v>
      </c>
      <c r="Z10" s="545">
        <f>K10+5350</f>
        <v>57133743</v>
      </c>
      <c r="AA10" s="545">
        <f>L10</f>
        <v>4909385</v>
      </c>
      <c r="AB10" s="545"/>
      <c r="AC10" s="545">
        <f>N10</f>
        <v>5570196</v>
      </c>
      <c r="AD10" s="545">
        <f>O10-5350</f>
        <v>17875641</v>
      </c>
      <c r="AE10" s="545">
        <f>P10</f>
        <v>546305</v>
      </c>
      <c r="AF10" s="545"/>
      <c r="AG10" s="545"/>
      <c r="AH10" s="545"/>
      <c r="AI10" s="545">
        <f>T10</f>
        <v>5066</v>
      </c>
      <c r="AJ10" s="545">
        <f>U10</f>
        <v>62891</v>
      </c>
      <c r="AK10" s="545"/>
    </row>
    <row r="11" spans="1:37" s="552" customFormat="1" ht="22.5" customHeight="1" thickBot="1" thickTop="1">
      <c r="A11" s="547"/>
      <c r="B11" s="547"/>
      <c r="C11" s="548" t="s">
        <v>640</v>
      </c>
      <c r="D11" s="549"/>
      <c r="E11" s="549"/>
      <c r="F11" s="550"/>
      <c r="G11" s="551">
        <v>150137989</v>
      </c>
      <c r="H11" s="551">
        <v>39552638</v>
      </c>
      <c r="I11" s="551">
        <f>J11+K11+L11</f>
        <v>84860311</v>
      </c>
      <c r="J11" s="551">
        <v>24527371</v>
      </c>
      <c r="K11" s="551">
        <v>55968251</v>
      </c>
      <c r="L11" s="551">
        <v>4364689</v>
      </c>
      <c r="M11" s="551"/>
      <c r="N11" s="551">
        <v>5570196</v>
      </c>
      <c r="O11" s="551">
        <v>17270154</v>
      </c>
      <c r="P11" s="551">
        <v>259512</v>
      </c>
      <c r="Q11" s="551"/>
      <c r="R11" s="551"/>
      <c r="S11" s="551"/>
      <c r="T11" s="551">
        <v>5066</v>
      </c>
      <c r="U11" s="551">
        <v>62891</v>
      </c>
      <c r="V11" s="720"/>
      <c r="W11" s="730">
        <f>W12+W15</f>
        <v>-180000</v>
      </c>
      <c r="X11" s="725">
        <f t="shared" si="0"/>
        <v>84685661</v>
      </c>
      <c r="Y11" s="551">
        <f>J11+W11</f>
        <v>24347371</v>
      </c>
      <c r="Z11" s="551">
        <f>K11+5350</f>
        <v>55973601</v>
      </c>
      <c r="AA11" s="551">
        <f>L11</f>
        <v>4364689</v>
      </c>
      <c r="AB11" s="551"/>
      <c r="AC11" s="551">
        <f>N11</f>
        <v>5570196</v>
      </c>
      <c r="AD11" s="551">
        <f>O11-5350</f>
        <v>17264804</v>
      </c>
      <c r="AE11" s="551">
        <f>P11</f>
        <v>259512</v>
      </c>
      <c r="AF11" s="551"/>
      <c r="AG11" s="551"/>
      <c r="AH11" s="551"/>
      <c r="AI11" s="551">
        <f>T11</f>
        <v>5066</v>
      </c>
      <c r="AJ11" s="551">
        <f>U11</f>
        <v>62891</v>
      </c>
      <c r="AK11" s="551"/>
    </row>
    <row r="12" spans="1:37" s="518" customFormat="1" ht="24" customHeight="1">
      <c r="A12" s="746">
        <v>600</v>
      </c>
      <c r="B12" s="747"/>
      <c r="C12" s="748" t="s">
        <v>644</v>
      </c>
      <c r="D12" s="748"/>
      <c r="E12" s="748"/>
      <c r="F12" s="749"/>
      <c r="G12" s="750">
        <v>94387189</v>
      </c>
      <c r="H12" s="750">
        <v>15059838</v>
      </c>
      <c r="I12" s="750">
        <f>SUM(J12:L12)</f>
        <v>57874421</v>
      </c>
      <c r="J12" s="750">
        <v>16853632</v>
      </c>
      <c r="K12" s="750">
        <v>41020789</v>
      </c>
      <c r="L12" s="750"/>
      <c r="M12" s="750"/>
      <c r="N12" s="750">
        <v>4870987</v>
      </c>
      <c r="O12" s="750">
        <v>14612965</v>
      </c>
      <c r="P12" s="750"/>
      <c r="Q12" s="750"/>
      <c r="R12" s="750"/>
      <c r="S12" s="750"/>
      <c r="T12" s="750"/>
      <c r="U12" s="750"/>
      <c r="V12" s="751"/>
      <c r="W12" s="752">
        <f>W13</f>
        <v>-180000</v>
      </c>
      <c r="X12" s="753">
        <f>SUM(Y12:AA12)</f>
        <v>57694421</v>
      </c>
      <c r="Y12" s="750">
        <f>J12+W12</f>
        <v>16673632</v>
      </c>
      <c r="Z12" s="750">
        <f>K12</f>
        <v>41020789</v>
      </c>
      <c r="AA12" s="750"/>
      <c r="AB12" s="750"/>
      <c r="AC12" s="750">
        <f>N12</f>
        <v>4870987</v>
      </c>
      <c r="AD12" s="750">
        <f>O12</f>
        <v>14612965</v>
      </c>
      <c r="AE12" s="750"/>
      <c r="AF12" s="750"/>
      <c r="AG12" s="750"/>
      <c r="AH12" s="750"/>
      <c r="AI12" s="750"/>
      <c r="AJ12" s="750"/>
      <c r="AK12" s="750"/>
    </row>
    <row r="13" spans="1:37" s="3" customFormat="1" ht="36">
      <c r="A13" s="553"/>
      <c r="B13" s="554">
        <v>60015</v>
      </c>
      <c r="C13" s="555" t="s">
        <v>208</v>
      </c>
      <c r="D13" s="555"/>
      <c r="E13" s="555"/>
      <c r="F13" s="556"/>
      <c r="G13" s="557">
        <v>88461580</v>
      </c>
      <c r="H13" s="557">
        <v>15059838</v>
      </c>
      <c r="I13" s="557">
        <f>SUM(J13:L13)</f>
        <v>56678361</v>
      </c>
      <c r="J13" s="557">
        <v>16554617</v>
      </c>
      <c r="K13" s="557">
        <v>40123744</v>
      </c>
      <c r="L13" s="557"/>
      <c r="M13" s="557"/>
      <c r="N13" s="557">
        <v>3688600</v>
      </c>
      <c r="O13" s="557">
        <v>11065803</v>
      </c>
      <c r="P13" s="557"/>
      <c r="Q13" s="557"/>
      <c r="R13" s="557"/>
      <c r="S13" s="557"/>
      <c r="T13" s="557"/>
      <c r="U13" s="557"/>
      <c r="V13" s="721"/>
      <c r="W13" s="731">
        <f>W14</f>
        <v>-180000</v>
      </c>
      <c r="X13" s="726">
        <f>SUM(Y13:AA13)</f>
        <v>56498361</v>
      </c>
      <c r="Y13" s="557">
        <f>J13+W13</f>
        <v>16374617</v>
      </c>
      <c r="Z13" s="557">
        <f>K13</f>
        <v>40123744</v>
      </c>
      <c r="AA13" s="557"/>
      <c r="AB13" s="557"/>
      <c r="AC13" s="557">
        <f>N13</f>
        <v>3688600</v>
      </c>
      <c r="AD13" s="557">
        <f>O13</f>
        <v>11065803</v>
      </c>
      <c r="AE13" s="557"/>
      <c r="AF13" s="557"/>
      <c r="AG13" s="557"/>
      <c r="AH13" s="557"/>
      <c r="AI13" s="557"/>
      <c r="AJ13" s="557"/>
      <c r="AK13" s="557"/>
    </row>
    <row r="14" spans="1:37" s="3" customFormat="1" ht="117" customHeight="1">
      <c r="A14" s="553"/>
      <c r="B14" s="558"/>
      <c r="C14" s="715" t="s">
        <v>19</v>
      </c>
      <c r="D14" s="716" t="s">
        <v>411</v>
      </c>
      <c r="E14" s="717" t="s">
        <v>329</v>
      </c>
      <c r="F14" s="716" t="s">
        <v>412</v>
      </c>
      <c r="G14" s="559">
        <v>18602284</v>
      </c>
      <c r="H14" s="559">
        <v>4700049</v>
      </c>
      <c r="I14" s="559">
        <f>SUM(J14:L14)</f>
        <v>13345000</v>
      </c>
      <c r="J14" s="560">
        <v>5050000</v>
      </c>
      <c r="K14" s="560">
        <v>8295000</v>
      </c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722"/>
      <c r="W14" s="732">
        <v>-180000</v>
      </c>
      <c r="X14" s="727">
        <f>SUM(Y14:AA14)</f>
        <v>13165000</v>
      </c>
      <c r="Y14" s="560">
        <f>J14+W14</f>
        <v>4870000</v>
      </c>
      <c r="Z14" s="560">
        <f>K14</f>
        <v>8295000</v>
      </c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</row>
    <row r="15" spans="1:37" s="518" customFormat="1" ht="24" customHeight="1">
      <c r="A15" s="746">
        <v>852</v>
      </c>
      <c r="B15" s="747"/>
      <c r="C15" s="748" t="s">
        <v>648</v>
      </c>
      <c r="D15" s="748"/>
      <c r="E15" s="748"/>
      <c r="F15" s="749"/>
      <c r="G15" s="750">
        <v>2436361</v>
      </c>
      <c r="H15" s="750">
        <v>11844</v>
      </c>
      <c r="I15" s="750">
        <f>J15+K15+L15</f>
        <v>1111337</v>
      </c>
      <c r="J15" s="750">
        <v>158521</v>
      </c>
      <c r="K15" s="750">
        <v>952816</v>
      </c>
      <c r="L15" s="750"/>
      <c r="M15" s="750">
        <v>0</v>
      </c>
      <c r="N15" s="750">
        <v>298432</v>
      </c>
      <c r="O15" s="750">
        <v>946791</v>
      </c>
      <c r="P15" s="750"/>
      <c r="Q15" s="750">
        <v>5066</v>
      </c>
      <c r="R15" s="750">
        <v>62891</v>
      </c>
      <c r="S15" s="750"/>
      <c r="T15" s="750">
        <v>5066</v>
      </c>
      <c r="U15" s="750">
        <v>62891</v>
      </c>
      <c r="V15" s="751"/>
      <c r="W15" s="752"/>
      <c r="X15" s="753">
        <f t="shared" si="0"/>
        <v>1116687</v>
      </c>
      <c r="Y15" s="750">
        <f>J15</f>
        <v>158521</v>
      </c>
      <c r="Z15" s="750">
        <f>K15+5350</f>
        <v>958166</v>
      </c>
      <c r="AA15" s="750"/>
      <c r="AB15" s="750"/>
      <c r="AC15" s="750">
        <f>N15</f>
        <v>298432</v>
      </c>
      <c r="AD15" s="750">
        <f>O15-5350</f>
        <v>941441</v>
      </c>
      <c r="AE15" s="750"/>
      <c r="AF15" s="750"/>
      <c r="AG15" s="750"/>
      <c r="AH15" s="750"/>
      <c r="AI15" s="750">
        <v>5066</v>
      </c>
      <c r="AJ15" s="750">
        <v>62891</v>
      </c>
      <c r="AK15" s="750"/>
    </row>
    <row r="16" spans="1:37" s="3" customFormat="1" ht="18">
      <c r="A16" s="553"/>
      <c r="B16" s="554">
        <v>85219</v>
      </c>
      <c r="C16" s="555" t="s">
        <v>813</v>
      </c>
      <c r="D16" s="555"/>
      <c r="E16" s="555"/>
      <c r="F16" s="556"/>
      <c r="G16" s="557">
        <v>542086</v>
      </c>
      <c r="H16" s="557">
        <v>11844</v>
      </c>
      <c r="I16" s="557">
        <f>J16+K16+L16</f>
        <v>436883</v>
      </c>
      <c r="J16" s="557">
        <v>62633</v>
      </c>
      <c r="K16" s="557">
        <v>374250</v>
      </c>
      <c r="L16" s="557"/>
      <c r="M16" s="557">
        <v>0</v>
      </c>
      <c r="N16" s="557">
        <v>19992</v>
      </c>
      <c r="O16" s="557">
        <v>73367</v>
      </c>
      <c r="P16" s="557"/>
      <c r="Q16" s="557"/>
      <c r="R16" s="557"/>
      <c r="S16" s="557"/>
      <c r="T16" s="557"/>
      <c r="U16" s="557"/>
      <c r="V16" s="721"/>
      <c r="W16" s="731"/>
      <c r="X16" s="726">
        <f t="shared" si="0"/>
        <v>442233</v>
      </c>
      <c r="Y16" s="557">
        <f>J16</f>
        <v>62633</v>
      </c>
      <c r="Z16" s="557">
        <f>K16+5350</f>
        <v>379600</v>
      </c>
      <c r="AA16" s="557"/>
      <c r="AB16" s="557"/>
      <c r="AC16" s="557">
        <f>N16</f>
        <v>19992</v>
      </c>
      <c r="AD16" s="557">
        <f>O16-5350</f>
        <v>68017</v>
      </c>
      <c r="AE16" s="557"/>
      <c r="AF16" s="557"/>
      <c r="AG16" s="557"/>
      <c r="AH16" s="557"/>
      <c r="AI16" s="557"/>
      <c r="AJ16" s="557"/>
      <c r="AK16" s="557"/>
    </row>
    <row r="17" spans="1:37" s="3" customFormat="1" ht="76.5" customHeight="1">
      <c r="A17" s="553"/>
      <c r="B17" s="558"/>
      <c r="C17" s="715" t="s">
        <v>735</v>
      </c>
      <c r="D17" s="716" t="s">
        <v>815</v>
      </c>
      <c r="E17" s="717" t="s">
        <v>816</v>
      </c>
      <c r="F17" s="716" t="s">
        <v>355</v>
      </c>
      <c r="G17" s="559">
        <v>82766</v>
      </c>
      <c r="H17" s="559">
        <v>5159</v>
      </c>
      <c r="I17" s="559">
        <v>46307</v>
      </c>
      <c r="J17" s="560"/>
      <c r="K17" s="560">
        <v>46307</v>
      </c>
      <c r="L17" s="560"/>
      <c r="M17" s="560"/>
      <c r="N17" s="560"/>
      <c r="O17" s="560">
        <v>31300</v>
      </c>
      <c r="P17" s="560"/>
      <c r="Q17" s="560"/>
      <c r="R17" s="560"/>
      <c r="S17" s="560"/>
      <c r="T17" s="560"/>
      <c r="U17" s="560"/>
      <c r="V17" s="722"/>
      <c r="W17" s="732"/>
      <c r="X17" s="727">
        <f t="shared" si="0"/>
        <v>51657</v>
      </c>
      <c r="Y17" s="560"/>
      <c r="Z17" s="560">
        <f>K17+3450+1900</f>
        <v>51657</v>
      </c>
      <c r="AA17" s="560"/>
      <c r="AB17" s="560"/>
      <c r="AC17" s="560"/>
      <c r="AD17" s="560">
        <f>O17-3450-1900</f>
        <v>25950</v>
      </c>
      <c r="AE17" s="560"/>
      <c r="AF17" s="560"/>
      <c r="AG17" s="560"/>
      <c r="AH17" s="560"/>
      <c r="AI17" s="560"/>
      <c r="AJ17" s="560"/>
      <c r="AK17" s="560"/>
    </row>
    <row r="18" spans="1:37" s="552" customFormat="1" ht="54.75" customHeight="1" thickBot="1">
      <c r="A18" s="561"/>
      <c r="B18" s="561"/>
      <c r="C18" s="562" t="s">
        <v>675</v>
      </c>
      <c r="D18" s="563"/>
      <c r="E18" s="563"/>
      <c r="F18" s="564"/>
      <c r="G18" s="652">
        <v>3370105</v>
      </c>
      <c r="H18" s="652">
        <v>767637</v>
      </c>
      <c r="I18" s="652">
        <v>1704838</v>
      </c>
      <c r="J18" s="652"/>
      <c r="K18" s="652">
        <v>1160142</v>
      </c>
      <c r="L18" s="652">
        <v>544696</v>
      </c>
      <c r="M18" s="630" t="e">
        <f>#REF!</f>
        <v>#REF!</v>
      </c>
      <c r="N18" s="565"/>
      <c r="O18" s="565">
        <v>610837</v>
      </c>
      <c r="P18" s="565">
        <v>286793</v>
      </c>
      <c r="Q18" s="566"/>
      <c r="R18" s="566"/>
      <c r="S18" s="566"/>
      <c r="T18" s="565"/>
      <c r="U18" s="565"/>
      <c r="V18" s="723"/>
      <c r="W18" s="733"/>
      <c r="X18" s="728">
        <f t="shared" si="0"/>
        <v>1704838</v>
      </c>
      <c r="Y18" s="565"/>
      <c r="Z18" s="565">
        <f aca="true" t="shared" si="1" ref="Z18:AH18">K18</f>
        <v>1160142</v>
      </c>
      <c r="AA18" s="565">
        <f t="shared" si="1"/>
        <v>544696</v>
      </c>
      <c r="AB18" s="565" t="e">
        <f t="shared" si="1"/>
        <v>#REF!</v>
      </c>
      <c r="AC18" s="565"/>
      <c r="AD18" s="565">
        <f t="shared" si="1"/>
        <v>610837</v>
      </c>
      <c r="AE18" s="565">
        <f t="shared" si="1"/>
        <v>286793</v>
      </c>
      <c r="AF18" s="566">
        <f t="shared" si="1"/>
        <v>0</v>
      </c>
      <c r="AG18" s="566">
        <f t="shared" si="1"/>
        <v>0</v>
      </c>
      <c r="AH18" s="566">
        <f t="shared" si="1"/>
        <v>0</v>
      </c>
      <c r="AI18" s="565"/>
      <c r="AJ18" s="565"/>
      <c r="AK18" s="565"/>
    </row>
    <row r="19" ht="50.25" customHeight="1"/>
    <row r="20" ht="43.5" customHeight="1"/>
    <row r="21" ht="22.5" customHeight="1"/>
    <row r="22" spans="3:36" ht="34.5" customHeight="1">
      <c r="C22" s="1691" t="s">
        <v>446</v>
      </c>
      <c r="D22" s="1692"/>
      <c r="AC22" s="1691" t="s">
        <v>447</v>
      </c>
      <c r="AD22" s="1691"/>
      <c r="AE22" s="1691"/>
      <c r="AF22" s="1691"/>
      <c r="AG22" s="1691"/>
      <c r="AH22" s="1691"/>
      <c r="AI22" s="1691"/>
      <c r="AJ22" s="1642"/>
    </row>
    <row r="23" spans="3:36" ht="33" customHeight="1">
      <c r="C23" s="1693" t="s">
        <v>449</v>
      </c>
      <c r="D23" s="1692"/>
      <c r="AC23" s="1694" t="s">
        <v>448</v>
      </c>
      <c r="AD23" s="1691"/>
      <c r="AE23" s="1691"/>
      <c r="AF23" s="1691"/>
      <c r="AG23" s="1691"/>
      <c r="AH23" s="1691"/>
      <c r="AI23" s="1691"/>
      <c r="AJ23" s="1642"/>
    </row>
    <row r="26" spans="26:29" ht="12.75">
      <c r="Z26" s="50"/>
      <c r="AC26" s="50"/>
    </row>
  </sheetData>
  <mergeCells count="10">
    <mergeCell ref="AI7:AK7"/>
    <mergeCell ref="AF7:AH7"/>
    <mergeCell ref="Y7:AA7"/>
    <mergeCell ref="C3:AA3"/>
    <mergeCell ref="C4:G4"/>
    <mergeCell ref="AC7:AE7"/>
    <mergeCell ref="J7:L7"/>
    <mergeCell ref="N7:P7"/>
    <mergeCell ref="Q7:S7"/>
    <mergeCell ref="T7:V7"/>
  </mergeCells>
  <printOptions horizontalCentered="1"/>
  <pageMargins left="0.1968503937007874" right="0.1968503937007874" top="0.5905511811023623" bottom="0.5905511811023623" header="0.5118110236220472" footer="0.5118110236220472"/>
  <pageSetup firstPageNumber="19" useFirstPageNumber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zoomScale="70" zoomScaleNormal="70" workbookViewId="0" topLeftCell="F7">
      <selection activeCell="T24" sqref="T24"/>
    </sheetView>
  </sheetViews>
  <sheetFormatPr defaultColWidth="9.00390625" defaultRowHeight="12.75"/>
  <cols>
    <col min="1" max="1" width="5.625" style="0" customWidth="1"/>
    <col min="2" max="2" width="7.25390625" style="0" customWidth="1"/>
    <col min="3" max="3" width="43.75390625" style="283" customWidth="1"/>
    <col min="4" max="4" width="38.75390625" style="283" customWidth="1"/>
    <col min="5" max="5" width="16.00390625" style="283" customWidth="1"/>
    <col min="6" max="6" width="10.75390625" style="446" customWidth="1"/>
    <col min="7" max="7" width="13.125" style="446" customWidth="1"/>
    <col min="8" max="8" width="13.375" style="446" customWidth="1"/>
    <col min="9" max="9" width="12.00390625" style="0" customWidth="1"/>
    <col min="10" max="10" width="12.125" style="0" customWidth="1"/>
    <col min="11" max="11" width="13.375" style="0" customWidth="1"/>
    <col min="12" max="12" width="11.75390625" style="0" hidden="1" customWidth="1"/>
    <col min="13" max="13" width="9.875" style="0" hidden="1" customWidth="1"/>
    <col min="14" max="14" width="11.375" style="0" customWidth="1"/>
    <col min="15" max="15" width="11.875" style="0" customWidth="1"/>
    <col min="16" max="16" width="13.625" style="0" customWidth="1"/>
    <col min="17" max="17" width="11.375" style="0" customWidth="1"/>
    <col min="18" max="18" width="11.875" style="0" customWidth="1"/>
    <col min="19" max="19" width="13.25390625" style="0" customWidth="1"/>
    <col min="20" max="20" width="12.00390625" style="0" customWidth="1"/>
    <col min="21" max="21" width="12.125" style="0" customWidth="1"/>
    <col min="22" max="22" width="13.375" style="0" customWidth="1"/>
    <col min="23" max="23" width="11.75390625" style="0" hidden="1" customWidth="1"/>
    <col min="24" max="24" width="9.875" style="0" hidden="1" customWidth="1"/>
    <col min="25" max="25" width="12.75390625" style="0" customWidth="1"/>
    <col min="26" max="26" width="11.875" style="0" customWidth="1"/>
    <col min="27" max="27" width="13.625" style="0" customWidth="1"/>
    <col min="28" max="28" width="11.375" style="0" customWidth="1"/>
    <col min="29" max="29" width="11.875" style="0" customWidth="1"/>
    <col min="30" max="30" width="13.25390625" style="0" customWidth="1"/>
  </cols>
  <sheetData>
    <row r="1" spans="3:27" s="22" customFormat="1" ht="21" customHeight="1">
      <c r="C1" s="237"/>
      <c r="D1" s="237"/>
      <c r="E1" s="237"/>
      <c r="F1" s="475"/>
      <c r="G1" s="475"/>
      <c r="H1" s="475"/>
      <c r="P1" s="445"/>
      <c r="T1" s="445" t="s">
        <v>299</v>
      </c>
      <c r="AA1" s="445"/>
    </row>
    <row r="2" spans="7:27" s="22" customFormat="1" ht="21" customHeight="1">
      <c r="G2" s="476"/>
      <c r="H2" s="476"/>
      <c r="P2" s="445"/>
      <c r="T2" s="445" t="s">
        <v>14</v>
      </c>
      <c r="AA2" s="445"/>
    </row>
    <row r="3" spans="3:27" s="22" customFormat="1" ht="21" customHeight="1">
      <c r="C3" s="477" t="s">
        <v>326</v>
      </c>
      <c r="D3" s="477"/>
      <c r="E3" s="477"/>
      <c r="F3" s="477"/>
      <c r="G3" s="477"/>
      <c r="H3" s="477"/>
      <c r="I3" s="478"/>
      <c r="J3" s="478"/>
      <c r="K3" s="478"/>
      <c r="L3" s="478"/>
      <c r="M3" s="478"/>
      <c r="P3" s="445"/>
      <c r="T3" s="445" t="s">
        <v>605</v>
      </c>
      <c r="U3" s="478"/>
      <c r="V3" s="478"/>
      <c r="W3" s="478"/>
      <c r="X3" s="478"/>
      <c r="AA3" s="445"/>
    </row>
    <row r="4" spans="3:27" s="22" customFormat="1" ht="21" customHeight="1">
      <c r="C4" s="477" t="s">
        <v>327</v>
      </c>
      <c r="D4" s="477"/>
      <c r="E4" s="477"/>
      <c r="F4" s="477"/>
      <c r="G4" s="477"/>
      <c r="H4" s="479"/>
      <c r="P4" s="445"/>
      <c r="T4" s="445" t="s">
        <v>15</v>
      </c>
      <c r="AA4" s="445"/>
    </row>
    <row r="5" spans="3:27" s="22" customFormat="1" ht="21" customHeight="1">
      <c r="C5" s="478"/>
      <c r="D5" s="478"/>
      <c r="E5" s="478"/>
      <c r="F5" s="478"/>
      <c r="G5" s="478"/>
      <c r="H5" s="479"/>
      <c r="N5" s="47"/>
      <c r="P5" s="1"/>
      <c r="Y5" s="47"/>
      <c r="AA5" s="1"/>
    </row>
    <row r="6" spans="2:30" s="22" customFormat="1" ht="21" customHeight="1" thickBot="1">
      <c r="B6" s="163"/>
      <c r="C6" s="237"/>
      <c r="D6" s="237"/>
      <c r="E6" s="237"/>
      <c r="F6" s="475"/>
      <c r="G6" s="475"/>
      <c r="H6" s="475"/>
      <c r="L6" s="99"/>
      <c r="M6" s="99"/>
      <c r="P6" s="45"/>
      <c r="S6" s="45"/>
      <c r="W6" s="99"/>
      <c r="X6" s="99"/>
      <c r="AA6" s="45"/>
      <c r="AD6" s="45" t="s">
        <v>606</v>
      </c>
    </row>
    <row r="7" spans="1:30" s="22" customFormat="1" ht="30" customHeight="1" thickBot="1" thickTop="1">
      <c r="A7" s="240"/>
      <c r="B7" s="240"/>
      <c r="C7" s="241"/>
      <c r="D7" s="241"/>
      <c r="E7" s="480" t="s">
        <v>312</v>
      </c>
      <c r="F7" s="480"/>
      <c r="G7" s="480"/>
      <c r="H7" s="481"/>
      <c r="I7" s="1632" t="s">
        <v>322</v>
      </c>
      <c r="J7" s="1633"/>
      <c r="K7" s="1659"/>
      <c r="L7" s="480"/>
      <c r="M7" s="481"/>
      <c r="N7" s="1632" t="s">
        <v>323</v>
      </c>
      <c r="O7" s="1633"/>
      <c r="P7" s="1659"/>
      <c r="Q7" s="1650" t="s">
        <v>324</v>
      </c>
      <c r="R7" s="1633"/>
      <c r="S7" s="1660"/>
      <c r="T7" s="1633" t="s">
        <v>328</v>
      </c>
      <c r="U7" s="1633"/>
      <c r="V7" s="1659"/>
      <c r="W7" s="480"/>
      <c r="X7" s="481"/>
      <c r="Y7" s="1650" t="s">
        <v>509</v>
      </c>
      <c r="Z7" s="1633"/>
      <c r="AA7" s="1659"/>
      <c r="AB7" s="1650" t="s">
        <v>510</v>
      </c>
      <c r="AC7" s="1633"/>
      <c r="AD7" s="1659"/>
    </row>
    <row r="8" spans="1:30" s="22" customFormat="1" ht="66.75" customHeight="1" thickBot="1" thickTop="1">
      <c r="A8" s="244" t="s">
        <v>610</v>
      </c>
      <c r="B8" s="245" t="s">
        <v>244</v>
      </c>
      <c r="C8" s="245" t="s">
        <v>313</v>
      </c>
      <c r="D8" s="245" t="s">
        <v>314</v>
      </c>
      <c r="E8" s="245" t="s">
        <v>315</v>
      </c>
      <c r="F8" s="245" t="s">
        <v>316</v>
      </c>
      <c r="G8" s="245" t="s">
        <v>507</v>
      </c>
      <c r="H8" s="640" t="s">
        <v>508</v>
      </c>
      <c r="I8" s="645" t="s">
        <v>246</v>
      </c>
      <c r="J8" s="87" t="s">
        <v>247</v>
      </c>
      <c r="K8" s="87" t="s">
        <v>317</v>
      </c>
      <c r="L8" s="245" t="s">
        <v>318</v>
      </c>
      <c r="M8" s="245" t="s">
        <v>684</v>
      </c>
      <c r="N8" s="87" t="s">
        <v>246</v>
      </c>
      <c r="O8" s="87" t="s">
        <v>247</v>
      </c>
      <c r="P8" s="87" t="s">
        <v>317</v>
      </c>
      <c r="Q8" s="87" t="s">
        <v>246</v>
      </c>
      <c r="R8" s="87" t="s">
        <v>247</v>
      </c>
      <c r="S8" s="646" t="s">
        <v>317</v>
      </c>
      <c r="T8" s="637" t="s">
        <v>246</v>
      </c>
      <c r="U8" s="87" t="s">
        <v>247</v>
      </c>
      <c r="V8" s="87" t="s">
        <v>317</v>
      </c>
      <c r="W8" s="245" t="s">
        <v>318</v>
      </c>
      <c r="X8" s="245" t="s">
        <v>684</v>
      </c>
      <c r="Y8" s="87" t="s">
        <v>246</v>
      </c>
      <c r="Z8" s="87" t="s">
        <v>247</v>
      </c>
      <c r="AA8" s="87" t="s">
        <v>317</v>
      </c>
      <c r="AB8" s="87" t="s">
        <v>246</v>
      </c>
      <c r="AC8" s="87" t="s">
        <v>247</v>
      </c>
      <c r="AD8" s="87" t="s">
        <v>317</v>
      </c>
    </row>
    <row r="9" spans="1:30" s="484" customFormat="1" ht="16.5" customHeight="1" thickBot="1" thickTop="1">
      <c r="A9" s="16">
        <v>1</v>
      </c>
      <c r="B9" s="16">
        <v>2</v>
      </c>
      <c r="C9" s="482">
        <v>3</v>
      </c>
      <c r="D9" s="483">
        <v>4</v>
      </c>
      <c r="E9" s="483">
        <v>5</v>
      </c>
      <c r="F9" s="483">
        <v>6</v>
      </c>
      <c r="G9" s="483">
        <v>7</v>
      </c>
      <c r="H9" s="641">
        <v>8</v>
      </c>
      <c r="I9" s="647">
        <v>9</v>
      </c>
      <c r="J9" s="16">
        <v>10</v>
      </c>
      <c r="K9" s="16">
        <v>11</v>
      </c>
      <c r="L9" s="16">
        <v>14</v>
      </c>
      <c r="M9" s="16">
        <v>12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648">
        <v>17</v>
      </c>
      <c r="T9" s="16">
        <v>18</v>
      </c>
      <c r="U9" s="16">
        <v>19</v>
      </c>
      <c r="V9" s="648">
        <v>20</v>
      </c>
      <c r="W9" s="16">
        <v>21</v>
      </c>
      <c r="X9" s="16">
        <v>22</v>
      </c>
      <c r="Y9" s="648">
        <v>21</v>
      </c>
      <c r="Z9" s="16">
        <v>22</v>
      </c>
      <c r="AA9" s="16">
        <v>23</v>
      </c>
      <c r="AB9" s="648">
        <v>24</v>
      </c>
      <c r="AC9" s="16">
        <v>25</v>
      </c>
      <c r="AD9" s="16">
        <v>26</v>
      </c>
    </row>
    <row r="10" spans="1:30" s="166" customFormat="1" ht="26.25" customHeight="1" thickBot="1" thickTop="1">
      <c r="A10" s="485"/>
      <c r="B10" s="485"/>
      <c r="C10" s="486" t="s">
        <v>319</v>
      </c>
      <c r="D10" s="487"/>
      <c r="E10" s="487"/>
      <c r="F10" s="488"/>
      <c r="G10" s="489">
        <v>120724974</v>
      </c>
      <c r="H10" s="642">
        <v>11568612</v>
      </c>
      <c r="I10" s="489">
        <v>5393462</v>
      </c>
      <c r="J10" s="489">
        <v>2000000</v>
      </c>
      <c r="K10" s="489">
        <v>1500000</v>
      </c>
      <c r="L10" s="489"/>
      <c r="M10" s="489"/>
      <c r="N10" s="489">
        <v>14201949</v>
      </c>
      <c r="O10" s="489">
        <v>18462826</v>
      </c>
      <c r="P10" s="489">
        <v>24441733</v>
      </c>
      <c r="Q10" s="489">
        <v>7781939</v>
      </c>
      <c r="R10" s="489">
        <v>21725220</v>
      </c>
      <c r="S10" s="649">
        <v>2500000</v>
      </c>
      <c r="T10" s="489">
        <f>I10-I13-I16</f>
        <v>5041290</v>
      </c>
      <c r="U10" s="489">
        <f>J10</f>
        <v>2000000</v>
      </c>
      <c r="V10" s="489">
        <f>K10</f>
        <v>1500000</v>
      </c>
      <c r="W10" s="489"/>
      <c r="X10" s="489"/>
      <c r="Y10" s="489">
        <v>14254774</v>
      </c>
      <c r="Z10" s="489">
        <f>O10</f>
        <v>18462826</v>
      </c>
      <c r="AA10" s="489">
        <v>24741079</v>
      </c>
      <c r="AB10" s="489">
        <f>Q10</f>
        <v>7781939</v>
      </c>
      <c r="AC10" s="489">
        <f>R10</f>
        <v>21725220</v>
      </c>
      <c r="AD10" s="649">
        <f>S10</f>
        <v>2500000</v>
      </c>
    </row>
    <row r="11" spans="1:30" ht="21.75" customHeight="1">
      <c r="A11" s="897">
        <v>750</v>
      </c>
      <c r="B11" s="898"/>
      <c r="C11" s="899" t="s">
        <v>651</v>
      </c>
      <c r="D11" s="899"/>
      <c r="E11" s="899"/>
      <c r="F11" s="1307"/>
      <c r="G11" s="1308">
        <v>7049910</v>
      </c>
      <c r="H11" s="1308">
        <v>73810</v>
      </c>
      <c r="I11" s="492">
        <v>307700</v>
      </c>
      <c r="J11" s="492"/>
      <c r="K11" s="492"/>
      <c r="L11" s="492"/>
      <c r="M11" s="492"/>
      <c r="N11" s="492">
        <v>1000260</v>
      </c>
      <c r="O11" s="492"/>
      <c r="P11" s="493">
        <v>5668140</v>
      </c>
      <c r="Q11" s="493"/>
      <c r="R11" s="493"/>
      <c r="S11" s="650"/>
      <c r="T11" s="638"/>
      <c r="U11" s="492"/>
      <c r="V11" s="492"/>
      <c r="W11" s="492"/>
      <c r="X11" s="492"/>
      <c r="Y11" s="492">
        <f>Y12</f>
        <v>1046415</v>
      </c>
      <c r="Z11" s="492"/>
      <c r="AA11" s="493">
        <f>AA12</f>
        <v>5929685</v>
      </c>
      <c r="AB11" s="493"/>
      <c r="AC11" s="493"/>
      <c r="AD11" s="493"/>
    </row>
    <row r="12" spans="1:30" s="163" customFormat="1" ht="21.75" customHeight="1">
      <c r="A12" s="328"/>
      <c r="B12" s="900">
        <v>75023</v>
      </c>
      <c r="C12" s="901" t="s">
        <v>666</v>
      </c>
      <c r="D12" s="901"/>
      <c r="E12" s="901"/>
      <c r="F12" s="1309"/>
      <c r="G12" s="1310">
        <v>7049910</v>
      </c>
      <c r="H12" s="1310">
        <v>73810</v>
      </c>
      <c r="I12" s="497">
        <v>307700</v>
      </c>
      <c r="J12" s="497"/>
      <c r="K12" s="497"/>
      <c r="L12" s="497"/>
      <c r="M12" s="497"/>
      <c r="N12" s="497">
        <v>1000260</v>
      </c>
      <c r="O12" s="497"/>
      <c r="P12" s="497">
        <v>5668140</v>
      </c>
      <c r="Q12" s="497"/>
      <c r="R12" s="497"/>
      <c r="S12" s="651"/>
      <c r="T12" s="639"/>
      <c r="U12" s="497"/>
      <c r="V12" s="497"/>
      <c r="W12" s="497"/>
      <c r="X12" s="497"/>
      <c r="Y12" s="497">
        <f>Y13</f>
        <v>1046415</v>
      </c>
      <c r="Z12" s="497"/>
      <c r="AA12" s="497">
        <f>AA13</f>
        <v>5929685</v>
      </c>
      <c r="AB12" s="497"/>
      <c r="AC12" s="497"/>
      <c r="AD12" s="497"/>
    </row>
    <row r="13" spans="1:30" s="974" customFormat="1" ht="45.75" customHeight="1">
      <c r="A13" s="1311"/>
      <c r="B13" s="1312"/>
      <c r="C13" s="1313" t="s">
        <v>736</v>
      </c>
      <c r="D13" s="498" t="s">
        <v>588</v>
      </c>
      <c r="E13" s="1314" t="s">
        <v>329</v>
      </c>
      <c r="F13" s="1315" t="s">
        <v>355</v>
      </c>
      <c r="G13" s="1316">
        <v>7049910</v>
      </c>
      <c r="H13" s="1316">
        <v>73810</v>
      </c>
      <c r="I13" s="499">
        <v>307700</v>
      </c>
      <c r="J13" s="499"/>
      <c r="K13" s="499"/>
      <c r="L13" s="499"/>
      <c r="M13" s="499">
        <v>1000260</v>
      </c>
      <c r="N13" s="499">
        <v>1000260</v>
      </c>
      <c r="O13" s="499"/>
      <c r="P13" s="499">
        <v>5668140</v>
      </c>
      <c r="Q13" s="1318"/>
      <c r="R13" s="1318"/>
      <c r="S13" s="1319"/>
      <c r="T13" s="1320"/>
      <c r="U13" s="1318"/>
      <c r="V13" s="636"/>
      <c r="W13" s="636"/>
      <c r="X13" s="636"/>
      <c r="Y13" s="636">
        <v>1046415</v>
      </c>
      <c r="Z13" s="636"/>
      <c r="AA13" s="636">
        <v>5929685</v>
      </c>
      <c r="AB13" s="1317"/>
      <c r="AC13" s="1317"/>
      <c r="AD13" s="1317"/>
    </row>
    <row r="14" spans="1:30" ht="21.75" customHeight="1">
      <c r="A14" s="897">
        <v>801</v>
      </c>
      <c r="B14" s="898"/>
      <c r="C14" s="899" t="s">
        <v>647</v>
      </c>
      <c r="D14" s="490"/>
      <c r="E14" s="490"/>
      <c r="F14" s="491"/>
      <c r="G14" s="492">
        <v>21095538</v>
      </c>
      <c r="H14" s="643">
        <v>223138</v>
      </c>
      <c r="I14" s="492">
        <v>497762</v>
      </c>
      <c r="J14" s="492"/>
      <c r="K14" s="492"/>
      <c r="L14" s="492"/>
      <c r="M14" s="492"/>
      <c r="N14" s="492">
        <v>3101045</v>
      </c>
      <c r="O14" s="492"/>
      <c r="P14" s="493">
        <v>17273593</v>
      </c>
      <c r="Q14" s="493"/>
      <c r="R14" s="493"/>
      <c r="S14" s="650"/>
      <c r="T14" s="638">
        <f>I14-I16</f>
        <v>453290</v>
      </c>
      <c r="U14" s="492"/>
      <c r="V14" s="492"/>
      <c r="W14" s="492"/>
      <c r="X14" s="492"/>
      <c r="Y14" s="492">
        <f>N14+6671</f>
        <v>3107716</v>
      </c>
      <c r="Z14" s="492"/>
      <c r="AA14" s="493">
        <f>P14+37801</f>
        <v>17311394</v>
      </c>
      <c r="AB14" s="493"/>
      <c r="AC14" s="493"/>
      <c r="AD14" s="493"/>
    </row>
    <row r="15" spans="1:30" s="163" customFormat="1" ht="21.75" customHeight="1">
      <c r="A15" s="328"/>
      <c r="B15" s="900">
        <v>80101</v>
      </c>
      <c r="C15" s="901" t="s">
        <v>202</v>
      </c>
      <c r="D15" s="494"/>
      <c r="E15" s="495"/>
      <c r="F15" s="496"/>
      <c r="G15" s="497">
        <v>5176595</v>
      </c>
      <c r="H15" s="644">
        <v>55095</v>
      </c>
      <c r="I15" s="497">
        <v>327372</v>
      </c>
      <c r="J15" s="497"/>
      <c r="K15" s="497"/>
      <c r="L15" s="497"/>
      <c r="M15" s="497"/>
      <c r="N15" s="497">
        <v>719119</v>
      </c>
      <c r="O15" s="497"/>
      <c r="P15" s="497">
        <v>4075009</v>
      </c>
      <c r="Q15" s="497"/>
      <c r="R15" s="497"/>
      <c r="S15" s="651"/>
      <c r="T15" s="639">
        <f>I15-I16</f>
        <v>282900</v>
      </c>
      <c r="U15" s="497"/>
      <c r="V15" s="497"/>
      <c r="W15" s="497"/>
      <c r="X15" s="497"/>
      <c r="Y15" s="497">
        <f>N15+6671</f>
        <v>725790</v>
      </c>
      <c r="Z15" s="497"/>
      <c r="AA15" s="497">
        <f>P15+37801</f>
        <v>4112810</v>
      </c>
      <c r="AB15" s="497"/>
      <c r="AC15" s="497"/>
      <c r="AD15" s="497"/>
    </row>
    <row r="16" spans="1:30" s="163" customFormat="1" ht="45.75" customHeight="1">
      <c r="A16" s="1321"/>
      <c r="B16" s="1322"/>
      <c r="C16" s="1323" t="s">
        <v>737</v>
      </c>
      <c r="D16" s="1304" t="s">
        <v>588</v>
      </c>
      <c r="E16" s="1324" t="s">
        <v>329</v>
      </c>
      <c r="F16" s="1325" t="s">
        <v>355</v>
      </c>
      <c r="G16" s="1326">
        <v>2769235</v>
      </c>
      <c r="H16" s="1326">
        <v>20935</v>
      </c>
      <c r="I16" s="1328">
        <v>44472</v>
      </c>
      <c r="J16" s="1329"/>
      <c r="K16" s="1329"/>
      <c r="L16" s="1329"/>
      <c r="M16" s="1329">
        <v>937223</v>
      </c>
      <c r="N16" s="1329">
        <v>405574</v>
      </c>
      <c r="O16" s="1329"/>
      <c r="P16" s="718">
        <v>2298254</v>
      </c>
      <c r="Q16" s="718"/>
      <c r="R16" s="718"/>
      <c r="S16" s="1327"/>
      <c r="T16" s="1305"/>
      <c r="U16" s="718"/>
      <c r="V16" s="718"/>
      <c r="W16" s="718"/>
      <c r="X16" s="718"/>
      <c r="Y16" s="718">
        <f>N16+6671</f>
        <v>412245</v>
      </c>
      <c r="Z16" s="718"/>
      <c r="AA16" s="718">
        <f>P16+37801</f>
        <v>2336055</v>
      </c>
      <c r="AB16" s="1306"/>
      <c r="AC16" s="1306"/>
      <c r="AD16" s="1306"/>
    </row>
    <row r="17" ht="62.25" customHeight="1">
      <c r="T17" s="50"/>
    </row>
    <row r="18" spans="20:27" ht="54.75" customHeight="1">
      <c r="T18" s="50"/>
      <c r="Y18" s="50"/>
      <c r="AA18" s="50"/>
    </row>
    <row r="19" spans="3:32" ht="30">
      <c r="C19" s="1695" t="s">
        <v>446</v>
      </c>
      <c r="D19" s="1637"/>
      <c r="J19" s="190"/>
      <c r="K19" s="190"/>
      <c r="L19" s="190"/>
      <c r="M19" s="190"/>
      <c r="N19" s="190"/>
      <c r="O19" s="306"/>
      <c r="P19" s="190"/>
      <c r="Q19" s="190"/>
      <c r="Y19" s="1695" t="s">
        <v>447</v>
      </c>
      <c r="Z19" s="1695"/>
      <c r="AA19" s="1695"/>
      <c r="AB19" s="1695"/>
      <c r="AC19" s="1695"/>
      <c r="AD19" s="1638"/>
      <c r="AE19" s="1638"/>
      <c r="AF19" s="1638"/>
    </row>
    <row r="20" spans="3:32" ht="30.75">
      <c r="C20" s="1696" t="s">
        <v>449</v>
      </c>
      <c r="D20" s="1637"/>
      <c r="J20" s="190"/>
      <c r="K20" s="190"/>
      <c r="L20" s="190"/>
      <c r="M20" s="190"/>
      <c r="N20" s="190"/>
      <c r="O20" s="190"/>
      <c r="P20" s="190"/>
      <c r="Q20" s="190"/>
      <c r="U20" s="50"/>
      <c r="V20" s="50"/>
      <c r="Y20" s="1697" t="s">
        <v>448</v>
      </c>
      <c r="Z20" s="1695"/>
      <c r="AA20" s="1695"/>
      <c r="AB20" s="1695"/>
      <c r="AC20" s="1695"/>
      <c r="AD20" s="1638"/>
      <c r="AE20" s="1638"/>
      <c r="AF20" s="1638"/>
    </row>
    <row r="21" spans="10:26" ht="12.75">
      <c r="J21" s="190"/>
      <c r="K21" s="190"/>
      <c r="L21" s="190"/>
      <c r="M21" s="190"/>
      <c r="N21" s="190"/>
      <c r="O21" s="190"/>
      <c r="P21" s="190"/>
      <c r="Q21" s="190"/>
      <c r="T21" s="50"/>
      <c r="Y21" s="50"/>
      <c r="Z21" s="50"/>
    </row>
    <row r="22" spans="10:17" ht="12.75">
      <c r="J22" s="190"/>
      <c r="K22" s="306"/>
      <c r="L22" s="190"/>
      <c r="M22" s="190"/>
      <c r="N22" s="306"/>
      <c r="O22" s="190"/>
      <c r="P22" s="306"/>
      <c r="Q22" s="190"/>
    </row>
    <row r="23" spans="10:17" ht="12.75">
      <c r="J23" s="190"/>
      <c r="K23" s="190"/>
      <c r="L23" s="190"/>
      <c r="M23" s="190"/>
      <c r="N23" s="190"/>
      <c r="O23" s="190"/>
      <c r="P23" s="190"/>
      <c r="Q23" s="190"/>
    </row>
    <row r="24" ht="12.75">
      <c r="Z24" s="50"/>
    </row>
    <row r="26" spans="22:27" ht="12.75">
      <c r="V26" s="50"/>
      <c r="Y26" s="50"/>
      <c r="AA26" s="50"/>
    </row>
    <row r="29" ht="12.75">
      <c r="Q29" s="50"/>
    </row>
  </sheetData>
  <mergeCells count="6">
    <mergeCell ref="I7:K7"/>
    <mergeCell ref="N7:P7"/>
    <mergeCell ref="Q7:S7"/>
    <mergeCell ref="AB7:AD7"/>
    <mergeCell ref="T7:V7"/>
    <mergeCell ref="Y7:AA7"/>
  </mergeCells>
  <printOptions/>
  <pageMargins left="0.3937007874015748" right="0.3937007874015748" top="0.6299212598425197" bottom="0.984251968503937" header="0.5118110236220472" footer="0.5118110236220472"/>
  <pageSetup firstPageNumber="20" useFirstPageNumber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H42"/>
  <sheetViews>
    <sheetView zoomScale="90" zoomScaleNormal="90" zoomScaleSheetLayoutView="75" workbookViewId="0" topLeftCell="A25">
      <selection activeCell="C49" sqref="C49"/>
    </sheetView>
  </sheetViews>
  <sheetFormatPr defaultColWidth="9.00390625" defaultRowHeight="12.75"/>
  <cols>
    <col min="1" max="1" width="8.625" style="22" customWidth="1"/>
    <col min="2" max="2" width="9.625" style="22" customWidth="1"/>
    <col min="3" max="3" width="76.25390625" style="22" customWidth="1"/>
    <col min="4" max="4" width="21.25390625" style="22" bestFit="1" customWidth="1"/>
    <col min="5" max="5" width="15.75390625" style="22" hidden="1" customWidth="1"/>
    <col min="6" max="7" width="18.75390625" style="22" customWidth="1"/>
    <col min="8" max="8" width="9.125" style="22" customWidth="1"/>
    <col min="9" max="16384" width="7.875" style="22" customWidth="1"/>
  </cols>
  <sheetData>
    <row r="1" spans="1:7" ht="12.75" customHeight="1">
      <c r="A1" s="284"/>
      <c r="B1" s="284"/>
      <c r="C1" s="284"/>
      <c r="D1" s="284"/>
      <c r="E1" s="285"/>
      <c r="F1" s="49" t="s">
        <v>325</v>
      </c>
      <c r="G1" s="285"/>
    </row>
    <row r="2" spans="1:7" ht="12.75" customHeight="1">
      <c r="A2" s="284"/>
      <c r="B2" s="284"/>
      <c r="C2" s="284"/>
      <c r="D2" s="284"/>
      <c r="E2" s="284"/>
      <c r="F2" s="22" t="s">
        <v>14</v>
      </c>
      <c r="G2" s="284"/>
    </row>
    <row r="3" spans="1:7" ht="15" customHeight="1">
      <c r="A3" s="284"/>
      <c r="B3" s="284"/>
      <c r="C3" s="286" t="s">
        <v>251</v>
      </c>
      <c r="D3" s="284"/>
      <c r="E3" s="285"/>
      <c r="F3" s="22" t="s">
        <v>605</v>
      </c>
      <c r="G3" s="284"/>
    </row>
    <row r="4" spans="1:7" ht="12.75" customHeight="1">
      <c r="A4" s="284"/>
      <c r="B4" s="284"/>
      <c r="C4" s="284"/>
      <c r="D4" s="284"/>
      <c r="E4" s="285"/>
      <c r="F4" s="22" t="s">
        <v>15</v>
      </c>
      <c r="G4" s="284"/>
    </row>
    <row r="5" spans="1:7" ht="10.5" customHeight="1">
      <c r="A5" s="284"/>
      <c r="B5" s="284"/>
      <c r="C5" s="284"/>
      <c r="D5" s="284"/>
      <c r="E5" s="284"/>
      <c r="F5" s="284"/>
      <c r="G5" s="284"/>
    </row>
    <row r="6" spans="1:7" ht="13.5" customHeight="1" thickBot="1">
      <c r="A6" s="284"/>
      <c r="B6" s="284"/>
      <c r="C6" s="284"/>
      <c r="D6" s="287"/>
      <c r="E6" s="287"/>
      <c r="F6" s="287"/>
      <c r="G6" s="288" t="s">
        <v>606</v>
      </c>
    </row>
    <row r="7" spans="1:7" ht="10.5" customHeight="1" thickTop="1">
      <c r="A7" s="240"/>
      <c r="B7" s="240"/>
      <c r="C7" s="240"/>
      <c r="D7" s="1648" t="s">
        <v>256</v>
      </c>
      <c r="E7" s="289"/>
      <c r="F7" s="289"/>
      <c r="G7" s="289"/>
    </row>
    <row r="8" spans="1:7" ht="57.75" customHeight="1" thickBot="1">
      <c r="A8" s="290" t="s">
        <v>610</v>
      </c>
      <c r="B8" s="290" t="s">
        <v>611</v>
      </c>
      <c r="C8" s="291" t="s">
        <v>252</v>
      </c>
      <c r="D8" s="1661"/>
      <c r="E8" s="292" t="s">
        <v>253</v>
      </c>
      <c r="F8" s="292" t="s">
        <v>684</v>
      </c>
      <c r="G8" s="292" t="s">
        <v>672</v>
      </c>
    </row>
    <row r="9" spans="1:7" ht="11.25" customHeight="1" thickBot="1" thickTop="1">
      <c r="A9" s="165">
        <v>1</v>
      </c>
      <c r="B9" s="165">
        <v>2</v>
      </c>
      <c r="C9" s="165">
        <v>3</v>
      </c>
      <c r="D9" s="165">
        <v>4</v>
      </c>
      <c r="E9" s="165">
        <v>5</v>
      </c>
      <c r="F9" s="165">
        <v>5</v>
      </c>
      <c r="G9" s="165">
        <v>6</v>
      </c>
    </row>
    <row r="10" spans="1:8" ht="18" customHeight="1" thickBot="1" thickTop="1">
      <c r="A10" s="167"/>
      <c r="B10" s="167"/>
      <c r="C10" s="293" t="s">
        <v>254</v>
      </c>
      <c r="D10" s="169">
        <v>17813259</v>
      </c>
      <c r="E10" s="169"/>
      <c r="F10" s="169">
        <f>F12+F32+F33</f>
        <v>465542</v>
      </c>
      <c r="G10" s="169">
        <f>D10+F10</f>
        <v>18278801</v>
      </c>
      <c r="H10" s="47"/>
    </row>
    <row r="11" spans="1:7" ht="14.25" customHeight="1" thickTop="1">
      <c r="A11" s="53"/>
      <c r="B11" s="53"/>
      <c r="C11" s="294" t="s">
        <v>626</v>
      </c>
      <c r="D11" s="295"/>
      <c r="E11" s="295"/>
      <c r="F11" s="295"/>
      <c r="G11" s="295"/>
    </row>
    <row r="12" spans="1:7" s="45" customFormat="1" ht="15" customHeight="1" thickBot="1">
      <c r="A12" s="81"/>
      <c r="B12" s="81"/>
      <c r="C12" s="296" t="s">
        <v>255</v>
      </c>
      <c r="D12" s="82">
        <v>17268816</v>
      </c>
      <c r="E12" s="82"/>
      <c r="F12" s="82">
        <f>F13+F18</f>
        <v>446142</v>
      </c>
      <c r="G12" s="82">
        <f aca="true" t="shared" si="0" ref="G12:G37">D12+F12</f>
        <v>17714958</v>
      </c>
    </row>
    <row r="13" spans="1:7" s="45" customFormat="1" ht="17.25" customHeight="1" thickTop="1">
      <c r="A13" s="913">
        <v>700</v>
      </c>
      <c r="B13" s="914"/>
      <c r="C13" s="915" t="s">
        <v>827</v>
      </c>
      <c r="D13" s="297">
        <v>5100000</v>
      </c>
      <c r="E13" s="297"/>
      <c r="F13" s="297">
        <f>F14</f>
        <v>0</v>
      </c>
      <c r="G13" s="297">
        <f t="shared" si="0"/>
        <v>5100000</v>
      </c>
    </row>
    <row r="14" spans="1:7" s="299" customFormat="1" ht="18.75" customHeight="1">
      <c r="A14" s="916"/>
      <c r="B14" s="917">
        <v>70001</v>
      </c>
      <c r="C14" s="918" t="s">
        <v>821</v>
      </c>
      <c r="D14" s="298">
        <v>5000000</v>
      </c>
      <c r="E14" s="298"/>
      <c r="F14" s="298">
        <f>SUM(F15:F17)</f>
        <v>0</v>
      </c>
      <c r="G14" s="298">
        <f t="shared" si="0"/>
        <v>5000000</v>
      </c>
    </row>
    <row r="15" spans="1:7" s="45" customFormat="1" ht="19.5" customHeight="1">
      <c r="A15" s="53"/>
      <c r="B15" s="919"/>
      <c r="C15" s="907" t="s">
        <v>823</v>
      </c>
      <c r="D15" s="921">
        <v>2272070</v>
      </c>
      <c r="E15" s="921"/>
      <c r="F15" s="921">
        <v>-50000</v>
      </c>
      <c r="G15" s="921">
        <f t="shared" si="0"/>
        <v>2222070</v>
      </c>
    </row>
    <row r="16" spans="1:7" s="45" customFormat="1" ht="19.5" customHeight="1">
      <c r="A16" s="53"/>
      <c r="B16" s="920"/>
      <c r="C16" s="908" t="s">
        <v>824</v>
      </c>
      <c r="D16" s="465">
        <v>1761670</v>
      </c>
      <c r="E16" s="465"/>
      <c r="F16" s="465">
        <f>59930-1781</f>
        <v>58149</v>
      </c>
      <c r="G16" s="465">
        <f t="shared" si="0"/>
        <v>1819819</v>
      </c>
    </row>
    <row r="17" spans="1:7" s="45" customFormat="1" ht="19.5" customHeight="1">
      <c r="A17" s="53"/>
      <c r="B17" s="920"/>
      <c r="C17" s="909" t="s">
        <v>825</v>
      </c>
      <c r="D17" s="922">
        <v>86260</v>
      </c>
      <c r="E17" s="922"/>
      <c r="F17" s="922">
        <v>-8149</v>
      </c>
      <c r="G17" s="922">
        <f t="shared" si="0"/>
        <v>78111</v>
      </c>
    </row>
    <row r="18" spans="1:7" s="45" customFormat="1" ht="18.75" customHeight="1">
      <c r="A18" s="57">
        <v>801</v>
      </c>
      <c r="B18" s="57"/>
      <c r="C18" s="77" t="s">
        <v>647</v>
      </c>
      <c r="D18" s="297">
        <v>4935648</v>
      </c>
      <c r="E18" s="297"/>
      <c r="F18" s="297">
        <f>F19+F21+F23+F25+F27+F29</f>
        <v>446142</v>
      </c>
      <c r="G18" s="297">
        <f t="shared" si="0"/>
        <v>5381790</v>
      </c>
    </row>
    <row r="19" spans="1:7" s="299" customFormat="1" ht="18.75" customHeight="1">
      <c r="A19" s="61"/>
      <c r="B19" s="131">
        <v>80101</v>
      </c>
      <c r="C19" s="62" t="s">
        <v>202</v>
      </c>
      <c r="D19" s="298">
        <v>1456579</v>
      </c>
      <c r="E19" s="298"/>
      <c r="F19" s="298">
        <f>F20</f>
        <v>109400</v>
      </c>
      <c r="G19" s="298">
        <f t="shared" si="0"/>
        <v>1565979</v>
      </c>
    </row>
    <row r="20" spans="1:7" s="45" customFormat="1" ht="19.5" customHeight="1">
      <c r="A20" s="54"/>
      <c r="B20" s="54"/>
      <c r="C20" s="676" t="s">
        <v>875</v>
      </c>
      <c r="D20" s="465">
        <v>1456579</v>
      </c>
      <c r="E20" s="465"/>
      <c r="F20" s="465">
        <f>106400+3000</f>
        <v>109400</v>
      </c>
      <c r="G20" s="465">
        <f t="shared" si="0"/>
        <v>1565979</v>
      </c>
    </row>
    <row r="21" spans="1:7" s="299" customFormat="1" ht="18.75" customHeight="1">
      <c r="A21" s="61"/>
      <c r="B21" s="131">
        <v>80104</v>
      </c>
      <c r="C21" s="62" t="s">
        <v>200</v>
      </c>
      <c r="D21" s="298">
        <v>583877</v>
      </c>
      <c r="E21" s="298"/>
      <c r="F21" s="298">
        <f>F22</f>
        <v>174563</v>
      </c>
      <c r="G21" s="298">
        <f t="shared" si="0"/>
        <v>758440</v>
      </c>
    </row>
    <row r="22" spans="1:7" s="45" customFormat="1" ht="19.5" customHeight="1">
      <c r="A22" s="54"/>
      <c r="B22" s="54"/>
      <c r="C22" s="676" t="s">
        <v>876</v>
      </c>
      <c r="D22" s="465">
        <v>583877</v>
      </c>
      <c r="E22" s="465"/>
      <c r="F22" s="465">
        <f>176000-1535+98</f>
        <v>174563</v>
      </c>
      <c r="G22" s="465">
        <f t="shared" si="0"/>
        <v>758440</v>
      </c>
    </row>
    <row r="23" spans="1:7" s="299" customFormat="1" ht="18.75" customHeight="1">
      <c r="A23" s="61"/>
      <c r="B23" s="131">
        <v>80105</v>
      </c>
      <c r="C23" s="62" t="s">
        <v>272</v>
      </c>
      <c r="D23" s="298">
        <v>30000</v>
      </c>
      <c r="E23" s="298"/>
      <c r="F23" s="298">
        <f>F24</f>
        <v>30000</v>
      </c>
      <c r="G23" s="298">
        <f t="shared" si="0"/>
        <v>60000</v>
      </c>
    </row>
    <row r="24" spans="1:7" s="45" customFormat="1" ht="19.5" customHeight="1">
      <c r="A24" s="54"/>
      <c r="B24" s="54"/>
      <c r="C24" s="676" t="s">
        <v>877</v>
      </c>
      <c r="D24" s="465">
        <v>30000</v>
      </c>
      <c r="E24" s="465"/>
      <c r="F24" s="465">
        <v>30000</v>
      </c>
      <c r="G24" s="465">
        <f t="shared" si="0"/>
        <v>60000</v>
      </c>
    </row>
    <row r="25" spans="1:7" s="299" customFormat="1" ht="18.75" customHeight="1">
      <c r="A25" s="61"/>
      <c r="B25" s="131">
        <v>80110</v>
      </c>
      <c r="C25" s="62" t="s">
        <v>203</v>
      </c>
      <c r="D25" s="298">
        <v>1150332</v>
      </c>
      <c r="E25" s="298"/>
      <c r="F25" s="298">
        <f>F26</f>
        <v>71000</v>
      </c>
      <c r="G25" s="298">
        <f t="shared" si="0"/>
        <v>1221332</v>
      </c>
    </row>
    <row r="26" spans="1:7" s="45" customFormat="1" ht="19.5" customHeight="1">
      <c r="A26" s="54"/>
      <c r="B26" s="54"/>
      <c r="C26" s="676" t="s">
        <v>875</v>
      </c>
      <c r="D26" s="465">
        <v>1150332</v>
      </c>
      <c r="E26" s="465"/>
      <c r="F26" s="465">
        <v>71000</v>
      </c>
      <c r="G26" s="465">
        <f t="shared" si="0"/>
        <v>1221332</v>
      </c>
    </row>
    <row r="27" spans="1:7" s="299" customFormat="1" ht="18.75" customHeight="1">
      <c r="A27" s="61"/>
      <c r="B27" s="131">
        <v>80120</v>
      </c>
      <c r="C27" s="62" t="s">
        <v>204</v>
      </c>
      <c r="D27" s="298">
        <v>971119</v>
      </c>
      <c r="E27" s="298"/>
      <c r="F27" s="298">
        <f>F28</f>
        <v>30040</v>
      </c>
      <c r="G27" s="298">
        <f t="shared" si="0"/>
        <v>1001159</v>
      </c>
    </row>
    <row r="28" spans="1:7" s="45" customFormat="1" ht="19.5" customHeight="1">
      <c r="A28" s="54"/>
      <c r="B28" s="54"/>
      <c r="C28" s="676" t="s">
        <v>875</v>
      </c>
      <c r="D28" s="465">
        <v>971119</v>
      </c>
      <c r="E28" s="465"/>
      <c r="F28" s="465">
        <f>26740+3300</f>
        <v>30040</v>
      </c>
      <c r="G28" s="465">
        <f t="shared" si="0"/>
        <v>1001159</v>
      </c>
    </row>
    <row r="29" spans="1:7" s="299" customFormat="1" ht="18.75" customHeight="1">
      <c r="A29" s="61"/>
      <c r="B29" s="131">
        <v>80130</v>
      </c>
      <c r="C29" s="62" t="s">
        <v>693</v>
      </c>
      <c r="D29" s="298">
        <v>684741</v>
      </c>
      <c r="E29" s="298"/>
      <c r="F29" s="298">
        <f>F30</f>
        <v>31139</v>
      </c>
      <c r="G29" s="298">
        <f t="shared" si="0"/>
        <v>715880</v>
      </c>
    </row>
    <row r="30" spans="1:7" s="45" customFormat="1" ht="19.5" customHeight="1">
      <c r="A30" s="54"/>
      <c r="B30" s="54"/>
      <c r="C30" s="1510" t="s">
        <v>875</v>
      </c>
      <c r="D30" s="1511">
        <v>684741</v>
      </c>
      <c r="E30" s="1511"/>
      <c r="F30" s="1511">
        <f>34439-3300</f>
        <v>31139</v>
      </c>
      <c r="G30" s="1511">
        <f t="shared" si="0"/>
        <v>715880</v>
      </c>
    </row>
    <row r="31" spans="1:7" s="45" customFormat="1" ht="19.5" customHeight="1">
      <c r="A31" s="1512"/>
      <c r="B31" s="1512"/>
      <c r="C31" s="1513"/>
      <c r="D31" s="1514"/>
      <c r="E31" s="1514"/>
      <c r="F31" s="1514"/>
      <c r="G31" s="1514"/>
    </row>
    <row r="32" spans="1:7" s="45" customFormat="1" ht="19.5" customHeight="1" thickBot="1">
      <c r="A32" s="54"/>
      <c r="B32" s="54"/>
      <c r="C32" s="296" t="s">
        <v>321</v>
      </c>
      <c r="D32" s="82">
        <v>94550</v>
      </c>
      <c r="E32" s="82"/>
      <c r="F32" s="82"/>
      <c r="G32" s="82">
        <f t="shared" si="0"/>
        <v>94550</v>
      </c>
    </row>
    <row r="33" spans="1:7" s="300" customFormat="1" ht="19.5" customHeight="1" thickTop="1">
      <c r="A33" s="303"/>
      <c r="B33" s="303"/>
      <c r="C33" s="301" t="s">
        <v>810</v>
      </c>
      <c r="D33" s="302">
        <v>449893</v>
      </c>
      <c r="E33" s="302"/>
      <c r="F33" s="302">
        <f>F34</f>
        <v>19400</v>
      </c>
      <c r="G33" s="302">
        <f t="shared" si="0"/>
        <v>469293</v>
      </c>
    </row>
    <row r="34" spans="1:7" s="45" customFormat="1" ht="19.5" customHeight="1" thickBot="1">
      <c r="A34" s="81"/>
      <c r="B34" s="81"/>
      <c r="C34" s="296" t="s">
        <v>690</v>
      </c>
      <c r="D34" s="82">
        <v>449893</v>
      </c>
      <c r="E34" s="82"/>
      <c r="F34" s="82">
        <f>F35</f>
        <v>19400</v>
      </c>
      <c r="G34" s="82">
        <f t="shared" si="0"/>
        <v>469293</v>
      </c>
    </row>
    <row r="35" spans="1:7" s="45" customFormat="1" ht="18.75" customHeight="1" thickTop="1">
      <c r="A35" s="57">
        <v>754</v>
      </c>
      <c r="B35" s="57"/>
      <c r="C35" s="77" t="s">
        <v>641</v>
      </c>
      <c r="D35" s="297">
        <v>180000</v>
      </c>
      <c r="E35" s="297"/>
      <c r="F35" s="297">
        <f>F36</f>
        <v>19400</v>
      </c>
      <c r="G35" s="297">
        <f t="shared" si="0"/>
        <v>199400</v>
      </c>
    </row>
    <row r="36" spans="1:7" s="299" customFormat="1" ht="18.75" customHeight="1">
      <c r="A36" s="61"/>
      <c r="B36" s="131">
        <v>75411</v>
      </c>
      <c r="C36" s="62" t="s">
        <v>806</v>
      </c>
      <c r="D36" s="298">
        <v>180000</v>
      </c>
      <c r="E36" s="298"/>
      <c r="F36" s="298">
        <f>F37</f>
        <v>19400</v>
      </c>
      <c r="G36" s="298">
        <f t="shared" si="0"/>
        <v>199400</v>
      </c>
    </row>
    <row r="37" spans="1:7" s="45" customFormat="1" ht="19.5" customHeight="1">
      <c r="A37" s="81"/>
      <c r="B37" s="81"/>
      <c r="C37" s="676" t="s">
        <v>809</v>
      </c>
      <c r="D37" s="859">
        <v>180000</v>
      </c>
      <c r="E37" s="859"/>
      <c r="F37" s="859">
        <f>10000+9400</f>
        <v>19400</v>
      </c>
      <c r="G37" s="859">
        <f t="shared" si="0"/>
        <v>199400</v>
      </c>
    </row>
    <row r="38" ht="22.5" customHeight="1"/>
    <row r="41" spans="2:7" ht="15">
      <c r="B41" s="1" t="s">
        <v>446</v>
      </c>
      <c r="F41" s="1" t="s">
        <v>447</v>
      </c>
      <c r="G41" s="1"/>
    </row>
    <row r="42" spans="2:7" ht="15">
      <c r="B42" s="1634" t="s">
        <v>449</v>
      </c>
      <c r="F42" s="48" t="s">
        <v>448</v>
      </c>
      <c r="G42" s="1"/>
    </row>
  </sheetData>
  <mergeCells count="1">
    <mergeCell ref="D7:D8"/>
  </mergeCells>
  <printOptions horizontalCentered="1"/>
  <pageMargins left="0.5905511811023623" right="0.5905511811023623" top="0.9448818897637796" bottom="0.5511811023622047" header="0.5118110236220472" footer="0.3937007874015748"/>
  <pageSetup firstPageNumber="21" useFirstPageNumber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4"/>
  <sheetViews>
    <sheetView workbookViewId="0" topLeftCell="A10">
      <selection activeCell="D28" sqref="D28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8.75390625" style="0" customWidth="1"/>
    <col min="4" max="4" width="13.25390625" style="0" customWidth="1"/>
    <col min="5" max="5" width="13.00390625" style="0" customWidth="1"/>
    <col min="6" max="6" width="13.125" style="0" customWidth="1"/>
    <col min="7" max="7" width="13.25390625" style="0" customWidth="1"/>
    <col min="8" max="8" width="24.875" style="0" hidden="1" customWidth="1"/>
    <col min="9" max="9" width="16.375" style="0" customWidth="1"/>
    <col min="10" max="10" width="22.625" style="0" customWidth="1"/>
    <col min="11" max="11" width="13.75390625" style="0" customWidth="1"/>
    <col min="12" max="12" width="14.875" style="0" customWidth="1"/>
    <col min="13" max="14" width="13.25390625" style="0" customWidth="1"/>
    <col min="15" max="15" width="14.875" style="0" customWidth="1"/>
  </cols>
  <sheetData>
    <row r="1" spans="1:13" s="1116" customFormat="1" ht="13.5" customHeight="1">
      <c r="A1" s="1113"/>
      <c r="B1" s="1114"/>
      <c r="C1" s="1115"/>
      <c r="H1" s="1117"/>
      <c r="I1" s="1117"/>
      <c r="J1" s="1117"/>
      <c r="M1" s="49" t="s">
        <v>300</v>
      </c>
    </row>
    <row r="2" spans="1:13" s="1116" customFormat="1" ht="18">
      <c r="A2" s="1113"/>
      <c r="B2" s="1114"/>
      <c r="C2" s="1118" t="s">
        <v>41</v>
      </c>
      <c r="D2" s="1119"/>
      <c r="E2" s="1120"/>
      <c r="F2" s="1120"/>
      <c r="G2" s="1120"/>
      <c r="H2" s="1121"/>
      <c r="I2" s="1121"/>
      <c r="J2" s="1121"/>
      <c r="M2" s="22" t="s">
        <v>14</v>
      </c>
    </row>
    <row r="3" spans="1:13" s="1116" customFormat="1" ht="18">
      <c r="A3" s="1113"/>
      <c r="C3" s="1118" t="s">
        <v>42</v>
      </c>
      <c r="D3" s="1122"/>
      <c r="E3" s="1122"/>
      <c r="F3" s="1122"/>
      <c r="G3" s="1122"/>
      <c r="H3" s="1121"/>
      <c r="I3" s="1121"/>
      <c r="J3" s="1121"/>
      <c r="M3" s="22" t="s">
        <v>605</v>
      </c>
    </row>
    <row r="4" spans="1:13" s="1116" customFormat="1" ht="14.25" customHeight="1">
      <c r="A4" s="1113"/>
      <c r="B4" s="1114"/>
      <c r="C4" s="1115"/>
      <c r="D4" s="1119"/>
      <c r="E4" s="1120"/>
      <c r="F4" s="1120"/>
      <c r="G4" s="1120"/>
      <c r="H4" s="1121"/>
      <c r="I4" s="1121"/>
      <c r="J4" s="1121"/>
      <c r="M4" s="22" t="s">
        <v>15</v>
      </c>
    </row>
    <row r="5" spans="1:14" s="1116" customFormat="1" ht="9.75" customHeight="1">
      <c r="A5" s="1113"/>
      <c r="B5" s="1114"/>
      <c r="C5" s="1115"/>
      <c r="D5" s="1119"/>
      <c r="E5" s="1120"/>
      <c r="F5" s="1120"/>
      <c r="G5" s="1120"/>
      <c r="H5" s="1121"/>
      <c r="I5" s="1121"/>
      <c r="J5" s="1121"/>
      <c r="M5" s="1120"/>
      <c r="N5" s="1120"/>
    </row>
    <row r="6" spans="1:15" s="1116" customFormat="1" ht="15" customHeight="1" thickBot="1">
      <c r="A6" s="1123"/>
      <c r="B6" s="1124"/>
      <c r="C6" s="1125"/>
      <c r="D6" s="1126"/>
      <c r="E6" s="1126"/>
      <c r="F6" s="1126"/>
      <c r="G6" s="1126"/>
      <c r="H6" s="1127"/>
      <c r="I6" s="1127"/>
      <c r="J6" s="1127"/>
      <c r="K6" s="1126"/>
      <c r="L6" s="1126"/>
      <c r="M6" s="1126"/>
      <c r="N6" s="1126"/>
      <c r="O6" s="1126" t="s">
        <v>43</v>
      </c>
    </row>
    <row r="7" spans="1:39" s="1119" customFormat="1" ht="56.25" customHeight="1" thickBot="1" thickTop="1">
      <c r="A7" s="1128"/>
      <c r="B7" s="1129"/>
      <c r="C7" s="1130"/>
      <c r="D7" s="1662" t="s">
        <v>44</v>
      </c>
      <c r="E7" s="1663"/>
      <c r="F7" s="1131"/>
      <c r="G7" s="1662" t="s">
        <v>45</v>
      </c>
      <c r="H7" s="1664"/>
      <c r="I7" s="1663"/>
      <c r="J7" s="1132"/>
      <c r="K7" s="1662" t="s">
        <v>46</v>
      </c>
      <c r="L7" s="1663"/>
      <c r="M7" s="1131"/>
      <c r="N7" s="1665" t="s">
        <v>47</v>
      </c>
      <c r="O7" s="1666"/>
      <c r="P7" s="1116"/>
      <c r="Q7" s="1116"/>
      <c r="R7" s="1116"/>
      <c r="S7" s="1116"/>
      <c r="T7" s="1116"/>
      <c r="U7" s="1116"/>
      <c r="V7" s="1116"/>
      <c r="W7" s="1116"/>
      <c r="X7" s="1116"/>
      <c r="Y7" s="1116"/>
      <c r="Z7" s="1116"/>
      <c r="AA7" s="1116"/>
      <c r="AB7" s="1116"/>
      <c r="AC7" s="1116"/>
      <c r="AD7" s="1116"/>
      <c r="AE7" s="1116"/>
      <c r="AF7" s="1116"/>
      <c r="AG7" s="1116"/>
      <c r="AH7" s="1116"/>
      <c r="AI7" s="1116"/>
      <c r="AJ7" s="1116"/>
      <c r="AK7" s="1116"/>
      <c r="AL7" s="1116"/>
      <c r="AM7" s="1116"/>
    </row>
    <row r="8" spans="1:39" s="1140" customFormat="1" ht="39" customHeight="1" thickBot="1" thickTop="1">
      <c r="A8" s="1133" t="s">
        <v>610</v>
      </c>
      <c r="B8" s="1134" t="s">
        <v>611</v>
      </c>
      <c r="C8" s="1135" t="s">
        <v>607</v>
      </c>
      <c r="D8" s="1136" t="s">
        <v>48</v>
      </c>
      <c r="E8" s="1137" t="s">
        <v>49</v>
      </c>
      <c r="F8" s="1138" t="s">
        <v>684</v>
      </c>
      <c r="G8" s="1138" t="s">
        <v>48</v>
      </c>
      <c r="H8" s="1138" t="s">
        <v>50</v>
      </c>
      <c r="I8" s="1138" t="s">
        <v>51</v>
      </c>
      <c r="J8" s="1138" t="s">
        <v>52</v>
      </c>
      <c r="K8" s="1139" t="s">
        <v>48</v>
      </c>
      <c r="L8" s="1137" t="s">
        <v>53</v>
      </c>
      <c r="M8" s="1138" t="s">
        <v>684</v>
      </c>
      <c r="N8" s="1138" t="s">
        <v>48</v>
      </c>
      <c r="O8" s="1137" t="s">
        <v>53</v>
      </c>
      <c r="P8" s="1116"/>
      <c r="Q8" s="1116"/>
      <c r="R8" s="1116"/>
      <c r="S8" s="1116"/>
      <c r="T8" s="1116"/>
      <c r="U8" s="1116"/>
      <c r="V8" s="1116"/>
      <c r="W8" s="1116"/>
      <c r="X8" s="1116"/>
      <c r="Y8" s="1116"/>
      <c r="Z8" s="1116"/>
      <c r="AA8" s="1116"/>
      <c r="AB8" s="1116"/>
      <c r="AC8" s="1116"/>
      <c r="AD8" s="1116"/>
      <c r="AE8" s="1116"/>
      <c r="AF8" s="1116"/>
      <c r="AG8" s="1116"/>
      <c r="AH8" s="1116"/>
      <c r="AI8" s="1116"/>
      <c r="AJ8" s="1116"/>
      <c r="AK8" s="1116"/>
      <c r="AL8" s="1116"/>
      <c r="AM8" s="1116"/>
    </row>
    <row r="9" spans="1:39" s="1145" customFormat="1" ht="14.25" thickBot="1" thickTop="1">
      <c r="A9" s="1141">
        <v>1</v>
      </c>
      <c r="B9" s="1142">
        <v>2</v>
      </c>
      <c r="C9" s="1143">
        <v>3</v>
      </c>
      <c r="D9" s="1141">
        <v>4</v>
      </c>
      <c r="E9" s="1141">
        <v>5</v>
      </c>
      <c r="F9" s="1141">
        <v>6</v>
      </c>
      <c r="G9" s="1141">
        <v>7</v>
      </c>
      <c r="H9" s="1144">
        <v>6</v>
      </c>
      <c r="I9" s="1144">
        <v>8</v>
      </c>
      <c r="J9" s="1144">
        <v>9</v>
      </c>
      <c r="K9" s="1141">
        <v>10</v>
      </c>
      <c r="L9" s="1141">
        <v>11</v>
      </c>
      <c r="M9" s="1141">
        <v>12</v>
      </c>
      <c r="N9" s="1141">
        <v>13</v>
      </c>
      <c r="O9" s="1141">
        <v>14</v>
      </c>
      <c r="P9" s="1116"/>
      <c r="Q9" s="1116"/>
      <c r="R9" s="1116"/>
      <c r="S9" s="1116"/>
      <c r="T9" s="1116"/>
      <c r="U9" s="1116"/>
      <c r="V9" s="1116"/>
      <c r="W9" s="1116"/>
      <c r="X9" s="1116"/>
      <c r="Y9" s="1116"/>
      <c r="Z9" s="1116"/>
      <c r="AA9" s="1116"/>
      <c r="AB9" s="1116"/>
      <c r="AC9" s="1116"/>
      <c r="AD9" s="1116"/>
      <c r="AE9" s="1116"/>
      <c r="AF9" s="1116"/>
      <c r="AG9" s="1116"/>
      <c r="AH9" s="1116"/>
      <c r="AI9" s="1116"/>
      <c r="AJ9" s="1116"/>
      <c r="AK9" s="1116"/>
      <c r="AL9" s="1116"/>
      <c r="AM9" s="1116"/>
    </row>
    <row r="10" spans="1:39" s="1153" customFormat="1" ht="30.75" customHeight="1" thickBot="1" thickTop="1">
      <c r="A10" s="1146"/>
      <c r="B10" s="1147"/>
      <c r="C10" s="1148" t="s">
        <v>661</v>
      </c>
      <c r="D10" s="1149">
        <v>93163310</v>
      </c>
      <c r="E10" s="1149">
        <v>8657454</v>
      </c>
      <c r="F10" s="1150"/>
      <c r="G10" s="1150">
        <f>D10+F10</f>
        <v>93163310</v>
      </c>
      <c r="H10" s="1151"/>
      <c r="I10" s="1149">
        <f>E10+F10</f>
        <v>8657454</v>
      </c>
      <c r="J10" s="1152"/>
      <c r="K10" s="1149">
        <v>93067492</v>
      </c>
      <c r="L10" s="1149">
        <v>7762910</v>
      </c>
      <c r="M10" s="1150"/>
      <c r="N10" s="1149">
        <f>K10</f>
        <v>93067492</v>
      </c>
      <c r="O10" s="1149">
        <f>L10</f>
        <v>7762910</v>
      </c>
      <c r="P10" s="1116"/>
      <c r="Q10" s="1116"/>
      <c r="R10" s="1116"/>
      <c r="S10" s="1116"/>
      <c r="T10" s="1116"/>
      <c r="U10" s="1116"/>
      <c r="V10" s="1116"/>
      <c r="W10" s="1116"/>
      <c r="X10" s="1116"/>
      <c r="Y10" s="1116"/>
      <c r="Z10" s="1116"/>
      <c r="AA10" s="1116"/>
      <c r="AB10" s="1116"/>
      <c r="AC10" s="1116"/>
      <c r="AD10" s="1116"/>
      <c r="AE10" s="1116"/>
      <c r="AF10" s="1116"/>
      <c r="AG10" s="1116"/>
      <c r="AH10" s="1116"/>
      <c r="AI10" s="1116"/>
      <c r="AJ10" s="1116"/>
      <c r="AK10" s="1116"/>
      <c r="AL10" s="1116"/>
      <c r="AM10" s="1116"/>
    </row>
    <row r="11" spans="1:39" s="1153" customFormat="1" ht="30.75" customHeight="1" hidden="1">
      <c r="A11" s="1154"/>
      <c r="B11" s="1155"/>
      <c r="C11" s="1156" t="s">
        <v>255</v>
      </c>
      <c r="D11" s="1157"/>
      <c r="E11" s="1157"/>
      <c r="F11" s="1158"/>
      <c r="G11" s="1158"/>
      <c r="H11" s="1159"/>
      <c r="I11" s="1157"/>
      <c r="J11" s="1160"/>
      <c r="K11" s="1157"/>
      <c r="L11" s="1157"/>
      <c r="M11" s="1158"/>
      <c r="N11" s="1157"/>
      <c r="O11" s="1157"/>
      <c r="P11" s="1116"/>
      <c r="Q11" s="1116"/>
      <c r="R11" s="1116"/>
      <c r="S11" s="1116"/>
      <c r="T11" s="1116"/>
      <c r="U11" s="1116"/>
      <c r="V11" s="1116"/>
      <c r="W11" s="1116"/>
      <c r="X11" s="1116"/>
      <c r="Y11" s="1116"/>
      <c r="Z11" s="1116"/>
      <c r="AA11" s="1116"/>
      <c r="AB11" s="1116"/>
      <c r="AC11" s="1116"/>
      <c r="AD11" s="1116"/>
      <c r="AE11" s="1116"/>
      <c r="AF11" s="1116"/>
      <c r="AG11" s="1116"/>
      <c r="AH11" s="1116"/>
      <c r="AI11" s="1116"/>
      <c r="AJ11" s="1116"/>
      <c r="AK11" s="1116"/>
      <c r="AL11" s="1116"/>
      <c r="AM11" s="1116"/>
    </row>
    <row r="12" spans="1:39" s="1167" customFormat="1" ht="24" customHeight="1" thickTop="1">
      <c r="A12" s="1161"/>
      <c r="B12" s="1162"/>
      <c r="C12" s="1163" t="s">
        <v>54</v>
      </c>
      <c r="D12" s="1164">
        <v>75174900</v>
      </c>
      <c r="E12" s="1164">
        <v>7385000</v>
      </c>
      <c r="F12" s="1164"/>
      <c r="G12" s="1164">
        <f>D12+F12</f>
        <v>75174900</v>
      </c>
      <c r="H12" s="1165"/>
      <c r="I12" s="1164">
        <f>E12+F12</f>
        <v>7385000</v>
      </c>
      <c r="J12" s="1165"/>
      <c r="K12" s="1164">
        <v>74861900</v>
      </c>
      <c r="L12" s="1164">
        <v>6426700</v>
      </c>
      <c r="M12" s="1164"/>
      <c r="N12" s="1164">
        <f>K12</f>
        <v>74861900</v>
      </c>
      <c r="O12" s="1164">
        <f>L12</f>
        <v>6426700</v>
      </c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  <c r="AJ12" s="1166"/>
      <c r="AK12" s="1166"/>
      <c r="AL12" s="1166"/>
      <c r="AM12" s="1166"/>
    </row>
    <row r="13" spans="1:15" s="1116" customFormat="1" ht="23.25" customHeight="1">
      <c r="A13" s="1168"/>
      <c r="B13" s="1169"/>
      <c r="C13" s="1170" t="s">
        <v>55</v>
      </c>
      <c r="D13" s="1171"/>
      <c r="E13" s="1172">
        <v>16107114</v>
      </c>
      <c r="F13" s="1172">
        <f>F14</f>
        <v>0</v>
      </c>
      <c r="G13" s="1172"/>
      <c r="H13" s="1172"/>
      <c r="I13" s="1172">
        <f>E13+F13</f>
        <v>16107114</v>
      </c>
      <c r="J13" s="1173"/>
      <c r="K13" s="1172">
        <v>16107114</v>
      </c>
      <c r="L13" s="1172"/>
      <c r="M13" s="1172">
        <f>M14</f>
        <v>0</v>
      </c>
      <c r="N13" s="1172">
        <f>K13+M13</f>
        <v>16107114</v>
      </c>
      <c r="O13" s="1174"/>
    </row>
    <row r="14" spans="1:15" s="1116" customFormat="1" ht="28.5" customHeight="1">
      <c r="A14" s="1175">
        <v>926</v>
      </c>
      <c r="B14" s="1176">
        <v>92604</v>
      </c>
      <c r="C14" s="1177" t="s">
        <v>56</v>
      </c>
      <c r="D14" s="1178"/>
      <c r="E14" s="1179">
        <v>14362114</v>
      </c>
      <c r="F14" s="1179">
        <f>SUM(F16:F19)</f>
        <v>0</v>
      </c>
      <c r="G14" s="1179"/>
      <c r="H14" s="1180"/>
      <c r="I14" s="1179">
        <f>E14+F14</f>
        <v>14362114</v>
      </c>
      <c r="J14" s="1181"/>
      <c r="K14" s="1179">
        <v>14362114</v>
      </c>
      <c r="L14" s="1182"/>
      <c r="M14" s="1179">
        <f>SUM(M16:M19)</f>
        <v>0</v>
      </c>
      <c r="N14" s="1182">
        <f>K14+M14</f>
        <v>14362114</v>
      </c>
      <c r="O14" s="1182"/>
    </row>
    <row r="15" spans="1:15" s="1116" customFormat="1" ht="15.75" customHeight="1">
      <c r="A15" s="1175"/>
      <c r="B15" s="1176"/>
      <c r="C15" s="1177"/>
      <c r="D15" s="1178"/>
      <c r="E15" s="1183" t="s">
        <v>57</v>
      </c>
      <c r="F15" s="1183"/>
      <c r="G15" s="1175"/>
      <c r="H15" s="1184"/>
      <c r="I15" s="1183" t="s">
        <v>57</v>
      </c>
      <c r="J15" s="1181"/>
      <c r="K15" s="1183" t="s">
        <v>57</v>
      </c>
      <c r="L15" s="1185"/>
      <c r="M15" s="1183"/>
      <c r="N15" s="1183" t="s">
        <v>57</v>
      </c>
      <c r="O15" s="1185"/>
    </row>
    <row r="16" spans="1:15" s="1116" customFormat="1" ht="51" customHeight="1">
      <c r="A16" s="1175"/>
      <c r="B16" s="1176"/>
      <c r="C16" s="1177"/>
      <c r="D16" s="1178"/>
      <c r="E16" s="1186">
        <v>2949114</v>
      </c>
      <c r="F16" s="1187">
        <v>-44000</v>
      </c>
      <c r="G16" s="1186"/>
      <c r="H16" s="1188"/>
      <c r="I16" s="1186">
        <f>E16+F16</f>
        <v>2905114</v>
      </c>
      <c r="J16" s="1199" t="s">
        <v>60</v>
      </c>
      <c r="K16" s="1186">
        <v>2949114</v>
      </c>
      <c r="L16" s="1187"/>
      <c r="M16" s="1187">
        <v>-44000</v>
      </c>
      <c r="N16" s="1190">
        <f>M16+K16</f>
        <v>2905114</v>
      </c>
      <c r="O16" s="1190"/>
    </row>
    <row r="17" spans="1:15" s="1116" customFormat="1" ht="36.75" customHeight="1">
      <c r="A17" s="1175"/>
      <c r="B17" s="1176"/>
      <c r="C17" s="1177"/>
      <c r="D17" s="1175"/>
      <c r="E17" s="1187">
        <v>900000</v>
      </c>
      <c r="F17" s="1187">
        <v>-50000</v>
      </c>
      <c r="G17" s="1187"/>
      <c r="H17" s="1188"/>
      <c r="I17" s="1186">
        <f>E17+F17</f>
        <v>850000</v>
      </c>
      <c r="J17" s="1200" t="s">
        <v>61</v>
      </c>
      <c r="K17" s="1187">
        <v>900000</v>
      </c>
      <c r="L17" s="1187"/>
      <c r="M17" s="1187">
        <v>-50000</v>
      </c>
      <c r="N17" s="1190">
        <f>M17+K17</f>
        <v>850000</v>
      </c>
      <c r="O17" s="1190"/>
    </row>
    <row r="18" spans="1:15" s="1116" customFormat="1" ht="37.5" customHeight="1">
      <c r="A18" s="1175"/>
      <c r="B18" s="1176"/>
      <c r="C18" s="1177"/>
      <c r="D18" s="1175"/>
      <c r="E18" s="1187">
        <v>150000</v>
      </c>
      <c r="F18" s="1187">
        <v>44000</v>
      </c>
      <c r="G18" s="1187"/>
      <c r="H18" s="1188"/>
      <c r="I18" s="1186">
        <f>E18+F18</f>
        <v>194000</v>
      </c>
      <c r="J18" s="1189" t="s">
        <v>40</v>
      </c>
      <c r="K18" s="1187">
        <v>150000</v>
      </c>
      <c r="L18" s="1187"/>
      <c r="M18" s="1187">
        <v>44000</v>
      </c>
      <c r="N18" s="1190">
        <f>M18+K18</f>
        <v>194000</v>
      </c>
      <c r="O18" s="1190"/>
    </row>
    <row r="19" spans="1:15" s="1331" customFormat="1" ht="27" customHeight="1">
      <c r="A19" s="1175"/>
      <c r="B19" s="1176"/>
      <c r="C19" s="1177"/>
      <c r="D19" s="1175"/>
      <c r="E19" s="1187">
        <v>600000</v>
      </c>
      <c r="F19" s="1187">
        <v>50000</v>
      </c>
      <c r="G19" s="1187"/>
      <c r="H19" s="1188"/>
      <c r="I19" s="1186">
        <f>E19+F19</f>
        <v>650000</v>
      </c>
      <c r="J19" s="1330" t="s">
        <v>62</v>
      </c>
      <c r="K19" s="1187">
        <v>600000</v>
      </c>
      <c r="L19" s="1187"/>
      <c r="M19" s="1187">
        <v>50000</v>
      </c>
      <c r="N19" s="1190">
        <f>M19+K19</f>
        <v>650000</v>
      </c>
      <c r="O19" s="1190"/>
    </row>
    <row r="20" spans="1:15" s="1196" customFormat="1" ht="22.5" customHeight="1">
      <c r="A20" s="1191"/>
      <c r="B20" s="1192"/>
      <c r="C20" s="1193" t="s">
        <v>58</v>
      </c>
      <c r="D20" s="1193">
        <v>3753254</v>
      </c>
      <c r="E20" s="1193">
        <v>1272454</v>
      </c>
      <c r="F20" s="1193"/>
      <c r="G20" s="1193">
        <f>D20</f>
        <v>3753254</v>
      </c>
      <c r="H20" s="1194"/>
      <c r="I20" s="1193">
        <f>E20</f>
        <v>1272454</v>
      </c>
      <c r="J20" s="1194"/>
      <c r="K20" s="1193">
        <v>3781432</v>
      </c>
      <c r="L20" s="1193">
        <v>1336210</v>
      </c>
      <c r="M20" s="1193"/>
      <c r="N20" s="1193">
        <f>K20</f>
        <v>3781432</v>
      </c>
      <c r="O20" s="1195">
        <f>L20</f>
        <v>1336210</v>
      </c>
    </row>
    <row r="21" spans="1:15" s="1196" customFormat="1" ht="22.5" customHeight="1">
      <c r="A21" s="1197"/>
      <c r="B21" s="1198"/>
      <c r="C21" s="1193" t="s">
        <v>59</v>
      </c>
      <c r="D21" s="1193">
        <v>14235156</v>
      </c>
      <c r="E21" s="1193"/>
      <c r="F21" s="1193"/>
      <c r="G21" s="1193">
        <f>D21</f>
        <v>14235156</v>
      </c>
      <c r="H21" s="1194"/>
      <c r="I21" s="1193"/>
      <c r="J21" s="1194"/>
      <c r="K21" s="1193">
        <v>14424160</v>
      </c>
      <c r="L21" s="1193"/>
      <c r="M21" s="1193"/>
      <c r="N21" s="1193">
        <f>K21</f>
        <v>14424160</v>
      </c>
      <c r="O21" s="1195"/>
    </row>
    <row r="22" spans="1:10" s="1116" customFormat="1" ht="22.5" customHeight="1">
      <c r="A22" s="1113"/>
      <c r="B22" s="1114"/>
      <c r="C22" s="1115"/>
      <c r="H22" s="1117"/>
      <c r="I22" s="1117"/>
      <c r="J22" s="1117"/>
    </row>
    <row r="23" spans="1:10" s="1116" customFormat="1" ht="12.75">
      <c r="A23" s="1113"/>
      <c r="B23" s="1114"/>
      <c r="C23" s="1115"/>
      <c r="H23" s="1117"/>
      <c r="I23" s="1117"/>
      <c r="J23" s="1117"/>
    </row>
    <row r="24" spans="1:10" s="1116" customFormat="1" ht="12.75">
      <c r="A24" s="1113"/>
      <c r="B24" s="1114"/>
      <c r="C24" s="1115"/>
      <c r="H24" s="1117"/>
      <c r="I24" s="1117"/>
      <c r="J24" s="1117"/>
    </row>
    <row r="25" spans="1:14" s="1116" customFormat="1" ht="18">
      <c r="A25" s="1113"/>
      <c r="B25" s="1114"/>
      <c r="C25" s="513" t="s">
        <v>446</v>
      </c>
      <c r="D25" s="513"/>
      <c r="H25" s="1117"/>
      <c r="I25" s="1117"/>
      <c r="J25" s="1117"/>
      <c r="L25" s="513" t="s">
        <v>447</v>
      </c>
      <c r="M25" s="513"/>
      <c r="N25" s="1643"/>
    </row>
    <row r="26" spans="1:14" s="1116" customFormat="1" ht="16.5" customHeight="1">
      <c r="A26" s="1113"/>
      <c r="B26" s="1114"/>
      <c r="C26" s="1635" t="s">
        <v>449</v>
      </c>
      <c r="D26" s="513"/>
      <c r="H26" s="1117"/>
      <c r="I26" s="1117"/>
      <c r="J26" s="1117"/>
      <c r="L26" s="519" t="s">
        <v>448</v>
      </c>
      <c r="M26" s="513"/>
      <c r="N26" s="1643"/>
    </row>
    <row r="27" spans="1:10" s="1116" customFormat="1" ht="12.75">
      <c r="A27" s="1113"/>
      <c r="B27" s="1114"/>
      <c r="C27" s="1115"/>
      <c r="H27" s="1117"/>
      <c r="I27" s="1117"/>
      <c r="J27" s="1117"/>
    </row>
    <row r="28" spans="1:10" s="1116" customFormat="1" ht="12.75">
      <c r="A28" s="1113"/>
      <c r="B28" s="1114"/>
      <c r="C28" s="1115"/>
      <c r="H28" s="1117"/>
      <c r="I28" s="1117"/>
      <c r="J28" s="1117"/>
    </row>
    <row r="29" spans="1:10" s="1116" customFormat="1" ht="12.75">
      <c r="A29" s="1113"/>
      <c r="B29" s="1114"/>
      <c r="C29" s="1115"/>
      <c r="H29" s="1117"/>
      <c r="I29" s="1117"/>
      <c r="J29" s="1117"/>
    </row>
    <row r="30" spans="1:10" s="1116" customFormat="1" ht="12.75">
      <c r="A30" s="1113"/>
      <c r="B30" s="1114"/>
      <c r="C30" s="1115"/>
      <c r="H30" s="1117"/>
      <c r="I30" s="1117"/>
      <c r="J30" s="1117"/>
    </row>
    <row r="31" spans="1:10" s="1116" customFormat="1" ht="12.75">
      <c r="A31" s="1113"/>
      <c r="B31" s="1114"/>
      <c r="C31" s="1115"/>
      <c r="H31" s="1117"/>
      <c r="I31" s="1117"/>
      <c r="J31" s="1117"/>
    </row>
    <row r="32" spans="1:10" s="1116" customFormat="1" ht="12.75">
      <c r="A32" s="1113"/>
      <c r="B32" s="1114"/>
      <c r="C32" s="1115"/>
      <c r="H32" s="1117"/>
      <c r="I32" s="1117"/>
      <c r="J32" s="1117"/>
    </row>
    <row r="33" spans="1:10" s="1116" customFormat="1" ht="12.75">
      <c r="A33" s="1113"/>
      <c r="B33" s="1114"/>
      <c r="C33" s="1115"/>
      <c r="H33" s="1117"/>
      <c r="I33" s="1117"/>
      <c r="J33" s="1117"/>
    </row>
    <row r="34" spans="1:10" s="1116" customFormat="1" ht="12.75">
      <c r="A34" s="1113"/>
      <c r="B34" s="1114"/>
      <c r="C34" s="1115"/>
      <c r="H34" s="1117"/>
      <c r="I34" s="1117"/>
      <c r="J34" s="1117"/>
    </row>
    <row r="35" spans="1:10" s="1116" customFormat="1" ht="12.75">
      <c r="A35" s="1113"/>
      <c r="B35" s="1114"/>
      <c r="C35" s="1115"/>
      <c r="H35" s="1117"/>
      <c r="I35" s="1117"/>
      <c r="J35" s="1117"/>
    </row>
    <row r="36" spans="1:10" s="1116" customFormat="1" ht="12.75">
      <c r="A36" s="1113"/>
      <c r="B36" s="1114"/>
      <c r="C36" s="1115"/>
      <c r="H36" s="1117"/>
      <c r="I36" s="1117"/>
      <c r="J36" s="1117"/>
    </row>
    <row r="37" spans="1:10" s="1116" customFormat="1" ht="12.75">
      <c r="A37" s="1113"/>
      <c r="B37" s="1114"/>
      <c r="C37" s="1115"/>
      <c r="H37" s="1117"/>
      <c r="I37" s="1117"/>
      <c r="J37" s="1117"/>
    </row>
    <row r="38" spans="1:10" s="1116" customFormat="1" ht="12.75">
      <c r="A38" s="1113"/>
      <c r="B38" s="1114"/>
      <c r="C38" s="1115"/>
      <c r="H38" s="1117"/>
      <c r="I38" s="1117"/>
      <c r="J38" s="1117"/>
    </row>
    <row r="39" spans="1:10" s="1116" customFormat="1" ht="12.75">
      <c r="A39" s="1113"/>
      <c r="B39" s="1114"/>
      <c r="C39" s="1115"/>
      <c r="H39" s="1117"/>
      <c r="I39" s="1117"/>
      <c r="J39" s="1117"/>
    </row>
    <row r="40" spans="1:10" s="1116" customFormat="1" ht="12.75">
      <c r="A40" s="1113"/>
      <c r="B40" s="1114"/>
      <c r="C40" s="1115"/>
      <c r="H40" s="1117"/>
      <c r="I40" s="1117"/>
      <c r="J40" s="1117"/>
    </row>
    <row r="41" spans="1:10" s="1116" customFormat="1" ht="12.75">
      <c r="A41" s="1113"/>
      <c r="B41" s="1114"/>
      <c r="C41" s="1115"/>
      <c r="H41" s="1117"/>
      <c r="I41" s="1117"/>
      <c r="J41" s="1117"/>
    </row>
    <row r="42" spans="1:10" s="1116" customFormat="1" ht="12.75">
      <c r="A42" s="1113"/>
      <c r="B42" s="1114"/>
      <c r="C42" s="1115"/>
      <c r="H42" s="1117"/>
      <c r="I42" s="1117"/>
      <c r="J42" s="1117"/>
    </row>
    <row r="43" spans="1:10" s="1116" customFormat="1" ht="12.75">
      <c r="A43" s="1113"/>
      <c r="B43" s="1114"/>
      <c r="C43" s="1115"/>
      <c r="H43" s="1117"/>
      <c r="I43" s="1117"/>
      <c r="J43" s="1117"/>
    </row>
    <row r="44" spans="1:10" s="1116" customFormat="1" ht="12.75">
      <c r="A44" s="1113"/>
      <c r="B44" s="1114"/>
      <c r="C44" s="1115"/>
      <c r="H44" s="1117"/>
      <c r="I44" s="1117"/>
      <c r="J44" s="1117"/>
    </row>
    <row r="45" spans="1:10" s="1116" customFormat="1" ht="12.75">
      <c r="A45" s="1113"/>
      <c r="B45" s="1114"/>
      <c r="C45" s="1115"/>
      <c r="H45" s="1117"/>
      <c r="I45" s="1117"/>
      <c r="J45" s="1117"/>
    </row>
    <row r="46" spans="1:10" s="1116" customFormat="1" ht="12.75">
      <c r="A46" s="1113"/>
      <c r="B46" s="1114"/>
      <c r="C46" s="1115"/>
      <c r="H46" s="1117"/>
      <c r="I46" s="1117"/>
      <c r="J46" s="1117"/>
    </row>
    <row r="47" spans="1:10" s="1116" customFormat="1" ht="12.75">
      <c r="A47" s="1113"/>
      <c r="B47" s="1114"/>
      <c r="C47" s="1115"/>
      <c r="H47" s="1117"/>
      <c r="I47" s="1117"/>
      <c r="J47" s="1117"/>
    </row>
    <row r="48" spans="1:10" s="1116" customFormat="1" ht="12.75">
      <c r="A48" s="1113"/>
      <c r="B48" s="1114"/>
      <c r="C48" s="1115"/>
      <c r="H48" s="1117"/>
      <c r="I48" s="1117"/>
      <c r="J48" s="1117"/>
    </row>
    <row r="49" spans="1:10" s="1116" customFormat="1" ht="12.75">
      <c r="A49" s="1113"/>
      <c r="B49" s="1114"/>
      <c r="C49" s="1115"/>
      <c r="H49" s="1117"/>
      <c r="I49" s="1117"/>
      <c r="J49" s="1117"/>
    </row>
    <row r="50" spans="1:10" s="1116" customFormat="1" ht="12.75">
      <c r="A50" s="1113"/>
      <c r="B50" s="1114"/>
      <c r="C50" s="1115"/>
      <c r="H50" s="1117"/>
      <c r="I50" s="1117"/>
      <c r="J50" s="1117"/>
    </row>
    <row r="51" spans="1:10" s="1116" customFormat="1" ht="12.75">
      <c r="A51" s="1113"/>
      <c r="B51" s="1114"/>
      <c r="C51" s="1115"/>
      <c r="H51" s="1117"/>
      <c r="I51" s="1117"/>
      <c r="J51" s="1117"/>
    </row>
    <row r="52" spans="1:10" s="1116" customFormat="1" ht="12.75">
      <c r="A52" s="1113"/>
      <c r="B52" s="1114"/>
      <c r="C52" s="1115"/>
      <c r="H52" s="1117"/>
      <c r="I52" s="1117"/>
      <c r="J52" s="1117"/>
    </row>
    <row r="53" spans="1:10" s="1116" customFormat="1" ht="12.75">
      <c r="A53" s="1113"/>
      <c r="B53" s="1114"/>
      <c r="C53" s="1115"/>
      <c r="H53" s="1117"/>
      <c r="I53" s="1117"/>
      <c r="J53" s="1117"/>
    </row>
    <row r="54" spans="1:10" s="1116" customFormat="1" ht="12.75">
      <c r="A54" s="1113"/>
      <c r="B54" s="1114"/>
      <c r="C54" s="1115"/>
      <c r="H54" s="1117"/>
      <c r="I54" s="1117"/>
      <c r="J54" s="1117"/>
    </row>
    <row r="55" spans="1:10" s="1116" customFormat="1" ht="12.75">
      <c r="A55" s="1113"/>
      <c r="B55" s="1114"/>
      <c r="C55" s="1115"/>
      <c r="H55" s="1117"/>
      <c r="I55" s="1117"/>
      <c r="J55" s="1117"/>
    </row>
    <row r="56" spans="1:10" s="1116" customFormat="1" ht="12.75">
      <c r="A56" s="1113"/>
      <c r="B56" s="1114"/>
      <c r="C56" s="1115"/>
      <c r="H56" s="1117"/>
      <c r="I56" s="1117"/>
      <c r="J56" s="1117"/>
    </row>
    <row r="57" spans="1:10" s="1116" customFormat="1" ht="12.75">
      <c r="A57" s="1113"/>
      <c r="B57" s="1114"/>
      <c r="C57" s="1115"/>
      <c r="H57" s="1117"/>
      <c r="I57" s="1117"/>
      <c r="J57" s="1117"/>
    </row>
    <row r="58" spans="1:10" s="1116" customFormat="1" ht="12.75">
      <c r="A58" s="1113"/>
      <c r="B58" s="1114"/>
      <c r="C58" s="1115"/>
      <c r="H58" s="1117"/>
      <c r="I58" s="1117"/>
      <c r="J58" s="1117"/>
    </row>
    <row r="59" spans="1:10" s="1116" customFormat="1" ht="12.75">
      <c r="A59" s="1113"/>
      <c r="B59" s="1114"/>
      <c r="C59" s="1115"/>
      <c r="H59" s="1117"/>
      <c r="I59" s="1117"/>
      <c r="J59" s="1117"/>
    </row>
    <row r="60" spans="1:10" s="1116" customFormat="1" ht="12.75">
      <c r="A60" s="1113"/>
      <c r="B60" s="1114"/>
      <c r="C60" s="1115"/>
      <c r="H60" s="1117"/>
      <c r="I60" s="1117"/>
      <c r="J60" s="1117"/>
    </row>
    <row r="61" spans="1:10" s="1116" customFormat="1" ht="12.75">
      <c r="A61" s="1113"/>
      <c r="B61" s="1114"/>
      <c r="C61" s="1115"/>
      <c r="H61" s="1117"/>
      <c r="I61" s="1117"/>
      <c r="J61" s="1117"/>
    </row>
    <row r="62" spans="1:10" s="1116" customFormat="1" ht="12.75">
      <c r="A62" s="1113"/>
      <c r="B62" s="1114"/>
      <c r="C62" s="1115"/>
      <c r="H62" s="1117"/>
      <c r="I62" s="1117"/>
      <c r="J62" s="1117"/>
    </row>
    <row r="63" spans="1:10" s="1116" customFormat="1" ht="12.75">
      <c r="A63" s="1113"/>
      <c r="B63" s="1114"/>
      <c r="C63" s="1115"/>
      <c r="H63" s="1117"/>
      <c r="I63" s="1117"/>
      <c r="J63" s="1117"/>
    </row>
    <row r="64" spans="1:10" s="1116" customFormat="1" ht="12.75">
      <c r="A64" s="1113"/>
      <c r="B64" s="1114"/>
      <c r="C64" s="1115"/>
      <c r="H64" s="1117"/>
      <c r="I64" s="1117"/>
      <c r="J64" s="1117"/>
    </row>
  </sheetData>
  <mergeCells count="4">
    <mergeCell ref="D7:E7"/>
    <mergeCell ref="G7:I7"/>
    <mergeCell ref="K7:L7"/>
    <mergeCell ref="N7:O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C1">
      <selection activeCell="C21" sqref="C21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4.00390625" style="0" customWidth="1"/>
    <col min="4" max="4" width="22.75390625" style="0" customWidth="1"/>
    <col min="5" max="5" width="15.75390625" style="0" customWidth="1"/>
    <col min="6" max="6" width="16.00390625" style="0" customWidth="1"/>
    <col min="7" max="7" width="43.625" style="0" customWidth="1"/>
  </cols>
  <sheetData>
    <row r="1" ht="12.75">
      <c r="G1" s="190" t="s">
        <v>301</v>
      </c>
    </row>
    <row r="2" spans="1:7" ht="15.75">
      <c r="A2" s="4" t="s">
        <v>761</v>
      </c>
      <c r="G2" s="22" t="s">
        <v>14</v>
      </c>
    </row>
    <row r="3" spans="1:36" s="1" customFormat="1" ht="17.25" customHeight="1">
      <c r="A3" s="4" t="s">
        <v>762</v>
      </c>
      <c r="G3" s="22" t="s">
        <v>605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17.25" customHeight="1">
      <c r="A4" s="4"/>
      <c r="G4" s="22" t="s">
        <v>15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ht="13.5" thickBot="1">
      <c r="G5" s="1459" t="s">
        <v>763</v>
      </c>
    </row>
    <row r="6" spans="1:36" s="22" customFormat="1" ht="69.75" customHeight="1" thickBot="1" thickTop="1">
      <c r="A6" s="86" t="s">
        <v>610</v>
      </c>
      <c r="B6" s="85" t="s">
        <v>611</v>
      </c>
      <c r="C6" s="85" t="s">
        <v>764</v>
      </c>
      <c r="D6" s="1460" t="s">
        <v>426</v>
      </c>
      <c r="E6" s="1460" t="s">
        <v>684</v>
      </c>
      <c r="F6" s="1460" t="s">
        <v>765</v>
      </c>
      <c r="G6" s="1460" t="s">
        <v>766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 thickBot="1" thickTop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464" customFormat="1" ht="19.5" customHeight="1" thickTop="1">
      <c r="A8" s="1461"/>
      <c r="B8" s="1461"/>
      <c r="C8" s="1462" t="s">
        <v>419</v>
      </c>
      <c r="D8" s="1463">
        <v>32815556</v>
      </c>
      <c r="E8" s="1463">
        <f>E9</f>
        <v>2600</v>
      </c>
      <c r="F8" s="1463">
        <f aca="true" t="shared" si="0" ref="F8:F17">D8+E8</f>
        <v>32818156</v>
      </c>
      <c r="G8" s="146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26" customFormat="1" ht="19.5" customHeight="1" thickBot="1">
      <c r="A9" s="1465"/>
      <c r="B9" s="1465"/>
      <c r="C9" s="1466" t="s">
        <v>767</v>
      </c>
      <c r="D9" s="1467">
        <v>20987936</v>
      </c>
      <c r="E9" s="1467">
        <f>E10</f>
        <v>2600</v>
      </c>
      <c r="F9" s="1467">
        <f t="shared" si="0"/>
        <v>20990536</v>
      </c>
      <c r="G9" s="146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22" customFormat="1" ht="29.25" customHeight="1" thickBot="1">
      <c r="A10" s="55"/>
      <c r="B10" s="55"/>
      <c r="C10" s="1469" t="s">
        <v>768</v>
      </c>
      <c r="D10" s="1470">
        <v>20536475</v>
      </c>
      <c r="E10" s="1470">
        <f>E11</f>
        <v>2600</v>
      </c>
      <c r="F10" s="1470">
        <f t="shared" si="0"/>
        <v>20539075</v>
      </c>
      <c r="G10" s="147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2" customFormat="1" ht="19.5" customHeight="1" thickTop="1">
      <c r="A11" s="74">
        <v>854</v>
      </c>
      <c r="B11" s="74"/>
      <c r="C11" s="74" t="s">
        <v>649</v>
      </c>
      <c r="D11" s="432">
        <v>1245000</v>
      </c>
      <c r="E11" s="432">
        <f>E12</f>
        <v>2600</v>
      </c>
      <c r="F11" s="432">
        <f t="shared" si="0"/>
        <v>1247600</v>
      </c>
      <c r="G11" s="7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3" customFormat="1" ht="19.5" customHeight="1">
      <c r="A12" s="328"/>
      <c r="B12" s="62">
        <v>85415</v>
      </c>
      <c r="C12" s="236" t="s">
        <v>201</v>
      </c>
      <c r="D12" s="75"/>
      <c r="E12" s="75">
        <f>E13</f>
        <v>2600</v>
      </c>
      <c r="F12" s="75">
        <f t="shared" si="0"/>
        <v>2600</v>
      </c>
      <c r="G12" s="23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2" customFormat="1" ht="36.75" customHeight="1">
      <c r="A13" s="328"/>
      <c r="B13" s="1481"/>
      <c r="C13" s="1370" t="s">
        <v>420</v>
      </c>
      <c r="D13" s="1472"/>
      <c r="E13" s="1472">
        <v>2600</v>
      </c>
      <c r="F13" s="1472">
        <f t="shared" si="0"/>
        <v>2600</v>
      </c>
      <c r="G13" s="1370" t="s">
        <v>421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26" customFormat="1" ht="19.5" customHeight="1" thickBot="1">
      <c r="A14" s="1465"/>
      <c r="B14" s="1465"/>
      <c r="C14" s="1466" t="s">
        <v>422</v>
      </c>
      <c r="D14" s="1467">
        <v>6685690</v>
      </c>
      <c r="E14" s="1467"/>
      <c r="F14" s="1467">
        <f t="shared" si="0"/>
        <v>6685690</v>
      </c>
      <c r="G14" s="146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126" customFormat="1" ht="19.5" customHeight="1" thickBot="1">
      <c r="A15" s="1465"/>
      <c r="B15" s="1465"/>
      <c r="C15" s="1466" t="s">
        <v>423</v>
      </c>
      <c r="D15" s="1467">
        <v>1025000</v>
      </c>
      <c r="E15" s="1467"/>
      <c r="F15" s="1467">
        <f t="shared" si="0"/>
        <v>1025000</v>
      </c>
      <c r="G15" s="146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126" customFormat="1" ht="30" customHeight="1" thickBot="1">
      <c r="A16" s="1465"/>
      <c r="B16" s="1465"/>
      <c r="C16" s="1483" t="s">
        <v>424</v>
      </c>
      <c r="D16" s="1467">
        <v>66000</v>
      </c>
      <c r="E16" s="1467"/>
      <c r="F16" s="1467">
        <f t="shared" si="0"/>
        <v>66000</v>
      </c>
      <c r="G16" s="146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126" customFormat="1" ht="27.75" customHeight="1">
      <c r="A17" s="1482"/>
      <c r="B17" s="1482"/>
      <c r="C17" s="1484" t="s">
        <v>425</v>
      </c>
      <c r="D17" s="64">
        <v>4050930</v>
      </c>
      <c r="E17" s="64"/>
      <c r="F17" s="64">
        <f t="shared" si="0"/>
        <v>4050930</v>
      </c>
      <c r="G17" s="148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ht="24.75" customHeight="1"/>
    <row r="19" ht="17.25" customHeight="1"/>
    <row r="20" spans="3:8" ht="15">
      <c r="C20" s="1" t="s">
        <v>446</v>
      </c>
      <c r="D20" s="22"/>
      <c r="G20" s="1" t="s">
        <v>447</v>
      </c>
      <c r="H20" s="1"/>
    </row>
    <row r="21" spans="3:8" ht="15" customHeight="1">
      <c r="C21" s="1634" t="s">
        <v>449</v>
      </c>
      <c r="D21" s="22"/>
      <c r="G21" s="48" t="s">
        <v>448</v>
      </c>
      <c r="H21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K112"/>
  <sheetViews>
    <sheetView zoomScale="90" zoomScaleNormal="90" zoomScaleSheetLayoutView="75" workbookViewId="0" topLeftCell="A97">
      <selection activeCell="E34" sqref="E34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8.25390625" style="22" customWidth="1"/>
    <col min="4" max="4" width="66.625" style="22" customWidth="1"/>
    <col min="5" max="5" width="22.75390625" style="22" customWidth="1"/>
    <col min="6" max="7" width="19.00390625" style="22" customWidth="1"/>
    <col min="8" max="8" width="20.375" style="22" customWidth="1"/>
    <col min="9" max="9" width="12.00390625" style="22" customWidth="1"/>
    <col min="10" max="10" width="11.125" style="22" customWidth="1"/>
    <col min="11" max="11" width="15.25390625" style="22" customWidth="1"/>
    <col min="12" max="16384" width="9.125" style="22" customWidth="1"/>
  </cols>
  <sheetData>
    <row r="1" spans="2:7" ht="15" customHeight="1">
      <c r="B1" s="163"/>
      <c r="C1" s="163"/>
      <c r="G1" s="22" t="s">
        <v>302</v>
      </c>
    </row>
    <row r="2" ht="15" customHeight="1">
      <c r="G2" s="22" t="s">
        <v>14</v>
      </c>
    </row>
    <row r="3" spans="4:7" ht="15" customHeight="1">
      <c r="D3" s="3" t="s">
        <v>210</v>
      </c>
      <c r="G3" s="22" t="s">
        <v>605</v>
      </c>
    </row>
    <row r="4" ht="15" customHeight="1">
      <c r="G4" s="22" t="s">
        <v>15</v>
      </c>
    </row>
    <row r="5" ht="14.25" customHeight="1" thickBot="1">
      <c r="H5" s="51" t="s">
        <v>606</v>
      </c>
    </row>
    <row r="6" spans="1:8" ht="67.5" customHeight="1" thickBot="1" thickTop="1">
      <c r="A6" s="164" t="s">
        <v>669</v>
      </c>
      <c r="B6" s="164" t="s">
        <v>611</v>
      </c>
      <c r="C6" s="87" t="s">
        <v>655</v>
      </c>
      <c r="D6" s="87" t="s">
        <v>211</v>
      </c>
      <c r="E6" s="87" t="s">
        <v>212</v>
      </c>
      <c r="F6" s="87" t="s">
        <v>659</v>
      </c>
      <c r="G6" s="87" t="s">
        <v>660</v>
      </c>
      <c r="H6" s="86" t="s">
        <v>672</v>
      </c>
    </row>
    <row r="7" spans="1:8" s="166" customFormat="1" ht="15.75" customHeight="1" thickBot="1" thickTop="1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49">
        <v>8</v>
      </c>
    </row>
    <row r="8" spans="1:11" ht="21" customHeight="1" thickBot="1" thickTop="1">
      <c r="A8" s="167"/>
      <c r="B8" s="167"/>
      <c r="C8" s="167"/>
      <c r="D8" s="168" t="s">
        <v>213</v>
      </c>
      <c r="E8" s="169">
        <f>E10+E53</f>
        <v>921938575</v>
      </c>
      <c r="F8" s="169">
        <f>F10+F53</f>
        <v>3484450</v>
      </c>
      <c r="G8" s="169">
        <f>G10+G53</f>
        <v>660623</v>
      </c>
      <c r="H8" s="169">
        <f>E8+G8-F8</f>
        <v>919114748</v>
      </c>
      <c r="I8" s="47"/>
      <c r="J8" s="47"/>
      <c r="K8" s="47"/>
    </row>
    <row r="9" spans="1:8" ht="13.5" customHeight="1" thickTop="1">
      <c r="A9" s="53"/>
      <c r="B9" s="53"/>
      <c r="C9" s="53"/>
      <c r="D9" s="53" t="s">
        <v>626</v>
      </c>
      <c r="E9" s="188"/>
      <c r="F9" s="188"/>
      <c r="G9" s="188"/>
      <c r="H9" s="170"/>
    </row>
    <row r="10" spans="1:11" ht="18.75" customHeight="1" thickBot="1">
      <c r="A10" s="53"/>
      <c r="B10" s="53"/>
      <c r="C10" s="53"/>
      <c r="D10" s="171" t="s">
        <v>221</v>
      </c>
      <c r="E10" s="189">
        <f>E11+E12+E13+E30+E31</f>
        <v>622792127</v>
      </c>
      <c r="F10" s="189">
        <f>F11+F12+F13+F30+F31</f>
        <v>3457844</v>
      </c>
      <c r="G10" s="189">
        <f>G11+G12+G13+G30+G31</f>
        <v>221878</v>
      </c>
      <c r="H10" s="172">
        <f aca="true" t="shared" si="0" ref="H10:H73">E10+G10-F10</f>
        <v>619556161</v>
      </c>
      <c r="I10" s="47"/>
      <c r="K10" s="47"/>
    </row>
    <row r="11" spans="1:8" s="163" customFormat="1" ht="16.5" customHeight="1" thickBot="1">
      <c r="A11" s="70"/>
      <c r="B11" s="70"/>
      <c r="C11" s="70"/>
      <c r="D11" s="173" t="s">
        <v>214</v>
      </c>
      <c r="E11" s="84">
        <v>403289173</v>
      </c>
      <c r="F11" s="84"/>
      <c r="G11" s="84"/>
      <c r="H11" s="174">
        <f t="shared" si="0"/>
        <v>403289173</v>
      </c>
    </row>
    <row r="12" spans="1:8" s="163" customFormat="1" ht="17.25" customHeight="1" thickBot="1" thickTop="1">
      <c r="A12" s="70"/>
      <c r="B12" s="70"/>
      <c r="C12" s="70"/>
      <c r="D12" s="175" t="s">
        <v>215</v>
      </c>
      <c r="E12" s="113">
        <v>109011682</v>
      </c>
      <c r="F12" s="113"/>
      <c r="G12" s="113"/>
      <c r="H12" s="56">
        <f t="shared" si="0"/>
        <v>109011682</v>
      </c>
    </row>
    <row r="13" spans="1:8" s="163" customFormat="1" ht="18.75" customHeight="1" thickBot="1" thickTop="1">
      <c r="A13" s="70"/>
      <c r="B13" s="70"/>
      <c r="C13" s="70"/>
      <c r="D13" s="175" t="s">
        <v>216</v>
      </c>
      <c r="E13" s="84">
        <v>32105400</v>
      </c>
      <c r="F13" s="84">
        <f>F23+F14</f>
        <v>114344</v>
      </c>
      <c r="G13" s="84">
        <f>G23+G14</f>
        <v>30240</v>
      </c>
      <c r="H13" s="176">
        <f t="shared" si="0"/>
        <v>32021296</v>
      </c>
    </row>
    <row r="14" spans="1:8" ht="19.5" customHeight="1" thickTop="1">
      <c r="A14" s="129">
        <v>801</v>
      </c>
      <c r="B14" s="57"/>
      <c r="C14" s="177"/>
      <c r="D14" s="161" t="s">
        <v>647</v>
      </c>
      <c r="E14" s="162">
        <v>761821</v>
      </c>
      <c r="F14" s="1007"/>
      <c r="G14" s="1007">
        <f>G18+G15</f>
        <v>20240</v>
      </c>
      <c r="H14" s="72">
        <f t="shared" si="0"/>
        <v>782061</v>
      </c>
    </row>
    <row r="15" spans="1:8" ht="18" customHeight="1">
      <c r="A15" s="130"/>
      <c r="B15" s="159">
        <v>80101</v>
      </c>
      <c r="C15" s="180"/>
      <c r="D15" s="336" t="s">
        <v>202</v>
      </c>
      <c r="E15" s="314">
        <v>737074</v>
      </c>
      <c r="F15" s="1008"/>
      <c r="G15" s="1008">
        <f>G16</f>
        <v>429</v>
      </c>
      <c r="H15" s="158">
        <f t="shared" si="0"/>
        <v>737503</v>
      </c>
    </row>
    <row r="16" spans="1:8" ht="18" customHeight="1">
      <c r="A16" s="130"/>
      <c r="B16" s="61"/>
      <c r="C16" s="152"/>
      <c r="D16" s="337" t="s">
        <v>914</v>
      </c>
      <c r="E16" s="307">
        <v>41600</v>
      </c>
      <c r="F16" s="1009"/>
      <c r="G16" s="1009">
        <f>G17</f>
        <v>429</v>
      </c>
      <c r="H16" s="183">
        <f t="shared" si="0"/>
        <v>42029</v>
      </c>
    </row>
    <row r="17" spans="1:8" ht="25.5">
      <c r="A17" s="70"/>
      <c r="B17" s="71"/>
      <c r="C17" s="184">
        <v>2030</v>
      </c>
      <c r="D17" s="338" t="s">
        <v>68</v>
      </c>
      <c r="E17" s="315">
        <v>41600</v>
      </c>
      <c r="F17" s="315"/>
      <c r="G17" s="315">
        <v>429</v>
      </c>
      <c r="H17" s="185">
        <f t="shared" si="0"/>
        <v>42029</v>
      </c>
    </row>
    <row r="18" spans="1:8" ht="18" customHeight="1">
      <c r="A18" s="130"/>
      <c r="B18" s="159">
        <v>80195</v>
      </c>
      <c r="C18" s="180"/>
      <c r="D18" s="336" t="s">
        <v>646</v>
      </c>
      <c r="E18" s="314">
        <v>19947</v>
      </c>
      <c r="F18" s="1008"/>
      <c r="G18" s="1008">
        <f>G19+G21</f>
        <v>19811</v>
      </c>
      <c r="H18" s="158">
        <f t="shared" si="0"/>
        <v>39758</v>
      </c>
    </row>
    <row r="19" spans="1:8" ht="38.25">
      <c r="A19" s="130"/>
      <c r="B19" s="61"/>
      <c r="C19" s="152"/>
      <c r="D19" s="337" t="s">
        <v>11</v>
      </c>
      <c r="E19" s="307"/>
      <c r="F19" s="1009"/>
      <c r="G19" s="1009">
        <f>G20</f>
        <v>13600</v>
      </c>
      <c r="H19" s="183">
        <f t="shared" si="0"/>
        <v>13600</v>
      </c>
    </row>
    <row r="20" spans="1:8" ht="25.5">
      <c r="A20" s="70"/>
      <c r="B20" s="70"/>
      <c r="C20" s="184">
        <v>2030</v>
      </c>
      <c r="D20" s="338" t="s">
        <v>68</v>
      </c>
      <c r="E20" s="315"/>
      <c r="F20" s="315"/>
      <c r="G20" s="315">
        <v>13600</v>
      </c>
      <c r="H20" s="185">
        <f t="shared" si="0"/>
        <v>13600</v>
      </c>
    </row>
    <row r="21" spans="1:8" ht="25.5">
      <c r="A21" s="130"/>
      <c r="B21" s="61"/>
      <c r="C21" s="152"/>
      <c r="D21" s="337" t="s">
        <v>413</v>
      </c>
      <c r="E21" s="307">
        <v>19947</v>
      </c>
      <c r="F21" s="1009"/>
      <c r="G21" s="1009">
        <f>G22</f>
        <v>6211</v>
      </c>
      <c r="H21" s="183">
        <f t="shared" si="0"/>
        <v>26158</v>
      </c>
    </row>
    <row r="22" spans="1:8" ht="25.5">
      <c r="A22" s="70"/>
      <c r="B22" s="71"/>
      <c r="C22" s="184">
        <v>2030</v>
      </c>
      <c r="D22" s="338" t="s">
        <v>68</v>
      </c>
      <c r="E22" s="315">
        <v>19947</v>
      </c>
      <c r="F22" s="315"/>
      <c r="G22" s="315">
        <v>6211</v>
      </c>
      <c r="H22" s="185">
        <f t="shared" si="0"/>
        <v>26158</v>
      </c>
    </row>
    <row r="23" spans="1:8" ht="19.5" customHeight="1">
      <c r="A23" s="129">
        <v>852</v>
      </c>
      <c r="B23" s="57"/>
      <c r="C23" s="177"/>
      <c r="D23" s="161" t="s">
        <v>648</v>
      </c>
      <c r="E23" s="162">
        <v>12050843</v>
      </c>
      <c r="F23" s="1007">
        <f>F24+F27</f>
        <v>114344</v>
      </c>
      <c r="G23" s="1007">
        <f>G24+G27</f>
        <v>10000</v>
      </c>
      <c r="H23" s="72">
        <f t="shared" si="0"/>
        <v>11946499</v>
      </c>
    </row>
    <row r="24" spans="1:8" ht="26.25" customHeight="1">
      <c r="A24" s="179"/>
      <c r="B24" s="159">
        <v>85214</v>
      </c>
      <c r="C24" s="180"/>
      <c r="D24" s="336" t="s">
        <v>66</v>
      </c>
      <c r="E24" s="314">
        <v>3757344</v>
      </c>
      <c r="F24" s="1008">
        <f>F25</f>
        <v>114344</v>
      </c>
      <c r="G24" s="1008"/>
      <c r="H24" s="158">
        <f t="shared" si="0"/>
        <v>3643000</v>
      </c>
    </row>
    <row r="25" spans="1:8" ht="25.5">
      <c r="A25" s="130"/>
      <c r="B25" s="61"/>
      <c r="C25" s="152"/>
      <c r="D25" s="337" t="s">
        <v>67</v>
      </c>
      <c r="E25" s="307">
        <v>3757344</v>
      </c>
      <c r="F25" s="1009">
        <f>F26</f>
        <v>114344</v>
      </c>
      <c r="G25" s="1009"/>
      <c r="H25" s="183">
        <f t="shared" si="0"/>
        <v>3643000</v>
      </c>
    </row>
    <row r="26" spans="1:8" ht="25.5">
      <c r="A26" s="70"/>
      <c r="B26" s="71"/>
      <c r="C26" s="184">
        <v>2030</v>
      </c>
      <c r="D26" s="338" t="s">
        <v>68</v>
      </c>
      <c r="E26" s="315">
        <v>3757344</v>
      </c>
      <c r="F26" s="315">
        <f>98500+15844</f>
        <v>114344</v>
      </c>
      <c r="G26" s="315"/>
      <c r="H26" s="185">
        <f t="shared" si="0"/>
        <v>3643000</v>
      </c>
    </row>
    <row r="27" spans="1:8" ht="18" customHeight="1">
      <c r="A27" s="130"/>
      <c r="B27" s="159">
        <v>85219</v>
      </c>
      <c r="C27" s="180"/>
      <c r="D27" s="336" t="s">
        <v>813</v>
      </c>
      <c r="E27" s="314">
        <v>4462433</v>
      </c>
      <c r="F27" s="1008"/>
      <c r="G27" s="1008">
        <f>G28</f>
        <v>10000</v>
      </c>
      <c r="H27" s="158">
        <f t="shared" si="0"/>
        <v>4472433</v>
      </c>
    </row>
    <row r="28" spans="1:8" ht="25.5">
      <c r="A28" s="130"/>
      <c r="B28" s="61"/>
      <c r="C28" s="152"/>
      <c r="D28" s="337" t="s">
        <v>63</v>
      </c>
      <c r="E28" s="307">
        <v>408750</v>
      </c>
      <c r="F28" s="1009"/>
      <c r="G28" s="1009">
        <f>G29</f>
        <v>10000</v>
      </c>
      <c r="H28" s="183">
        <f t="shared" si="0"/>
        <v>418750</v>
      </c>
    </row>
    <row r="29" spans="1:8" ht="25.5">
      <c r="A29" s="71"/>
      <c r="B29" s="71"/>
      <c r="C29" s="184">
        <v>2030</v>
      </c>
      <c r="D29" s="338" t="s">
        <v>68</v>
      </c>
      <c r="E29" s="315">
        <v>408750</v>
      </c>
      <c r="F29" s="315"/>
      <c r="G29" s="315">
        <v>10000</v>
      </c>
      <c r="H29" s="185">
        <f t="shared" si="0"/>
        <v>418750</v>
      </c>
    </row>
    <row r="30" spans="1:8" s="163" customFormat="1" ht="29.25" customHeight="1" thickBot="1">
      <c r="A30" s="186"/>
      <c r="B30" s="186"/>
      <c r="C30" s="186"/>
      <c r="D30" s="1375" t="s">
        <v>217</v>
      </c>
      <c r="E30" s="1376">
        <v>858936</v>
      </c>
      <c r="F30" s="1376"/>
      <c r="G30" s="1376"/>
      <c r="H30" s="1377">
        <f t="shared" si="0"/>
        <v>858936</v>
      </c>
    </row>
    <row r="31" spans="1:8" s="163" customFormat="1" ht="29.25" customHeight="1" thickBot="1" thickTop="1">
      <c r="A31" s="186"/>
      <c r="B31" s="186"/>
      <c r="C31" s="186"/>
      <c r="D31" s="187" t="s">
        <v>218</v>
      </c>
      <c r="E31" s="84">
        <v>77526936</v>
      </c>
      <c r="F31" s="84">
        <f>F32+F40+F36</f>
        <v>3343500</v>
      </c>
      <c r="G31" s="84">
        <f>G32+G40+G36</f>
        <v>191638</v>
      </c>
      <c r="H31" s="56">
        <f t="shared" si="0"/>
        <v>74375074</v>
      </c>
    </row>
    <row r="32" spans="1:8" ht="19.5" customHeight="1" thickTop="1">
      <c r="A32" s="129" t="s">
        <v>862</v>
      </c>
      <c r="B32" s="129"/>
      <c r="C32" s="177"/>
      <c r="D32" s="609" t="s">
        <v>863</v>
      </c>
      <c r="E32" s="608"/>
      <c r="F32" s="608"/>
      <c r="G32" s="608">
        <f>G33</f>
        <v>4573</v>
      </c>
      <c r="H32" s="507">
        <f t="shared" si="0"/>
        <v>4573</v>
      </c>
    </row>
    <row r="33" spans="1:8" ht="18" customHeight="1">
      <c r="A33" s="179"/>
      <c r="B33" s="1023" t="s">
        <v>896</v>
      </c>
      <c r="C33" s="180"/>
      <c r="D33" s="62" t="s">
        <v>646</v>
      </c>
      <c r="E33" s="181"/>
      <c r="F33" s="181"/>
      <c r="G33" s="181">
        <f>G34</f>
        <v>4573</v>
      </c>
      <c r="H33" s="158">
        <f t="shared" si="0"/>
        <v>4573</v>
      </c>
    </row>
    <row r="34" spans="1:8" ht="29.25" customHeight="1">
      <c r="A34" s="130"/>
      <c r="B34" s="61"/>
      <c r="C34" s="152"/>
      <c r="D34" s="653" t="s">
        <v>414</v>
      </c>
      <c r="E34" s="182"/>
      <c r="F34" s="182"/>
      <c r="G34" s="182">
        <f>G35</f>
        <v>4573</v>
      </c>
      <c r="H34" s="183">
        <f t="shared" si="0"/>
        <v>4573</v>
      </c>
    </row>
    <row r="35" spans="1:8" ht="38.25">
      <c r="A35" s="70"/>
      <c r="B35" s="70"/>
      <c r="C35" s="1024">
        <v>2010</v>
      </c>
      <c r="D35" s="1025" t="s">
        <v>389</v>
      </c>
      <c r="E35" s="677"/>
      <c r="F35" s="677"/>
      <c r="G35" s="677">
        <v>4573</v>
      </c>
      <c r="H35" s="511">
        <f t="shared" si="0"/>
        <v>4573</v>
      </c>
    </row>
    <row r="36" spans="1:8" ht="19.5" customHeight="1">
      <c r="A36" s="129">
        <v>851</v>
      </c>
      <c r="B36" s="129"/>
      <c r="C36" s="177"/>
      <c r="D36" s="77" t="s">
        <v>650</v>
      </c>
      <c r="E36" s="178">
        <v>3682</v>
      </c>
      <c r="F36" s="178"/>
      <c r="G36" s="178">
        <f>G37</f>
        <v>3297</v>
      </c>
      <c r="H36" s="72">
        <f t="shared" si="0"/>
        <v>6979</v>
      </c>
    </row>
    <row r="37" spans="1:8" ht="18" customHeight="1">
      <c r="A37" s="179"/>
      <c r="B37" s="1023">
        <v>85195</v>
      </c>
      <c r="C37" s="180"/>
      <c r="D37" s="336" t="s">
        <v>646</v>
      </c>
      <c r="E37" s="181">
        <v>3682</v>
      </c>
      <c r="F37" s="181"/>
      <c r="G37" s="181">
        <f>G38</f>
        <v>3297</v>
      </c>
      <c r="H37" s="158">
        <f t="shared" si="0"/>
        <v>6979</v>
      </c>
    </row>
    <row r="38" spans="1:8" ht="29.25" customHeight="1">
      <c r="A38" s="130"/>
      <c r="B38" s="61"/>
      <c r="C38" s="152"/>
      <c r="D38" s="653" t="s">
        <v>390</v>
      </c>
      <c r="E38" s="182">
        <v>3682</v>
      </c>
      <c r="F38" s="182"/>
      <c r="G38" s="182">
        <f>G39</f>
        <v>3297</v>
      </c>
      <c r="H38" s="183">
        <f t="shared" si="0"/>
        <v>6979</v>
      </c>
    </row>
    <row r="39" spans="1:8" ht="33" customHeight="1">
      <c r="A39" s="70"/>
      <c r="B39" s="70"/>
      <c r="C39" s="1024">
        <v>2010</v>
      </c>
      <c r="D39" s="1025" t="s">
        <v>389</v>
      </c>
      <c r="E39" s="677">
        <v>3682</v>
      </c>
      <c r="F39" s="677"/>
      <c r="G39" s="677">
        <v>3297</v>
      </c>
      <c r="H39" s="511">
        <f t="shared" si="0"/>
        <v>6979</v>
      </c>
    </row>
    <row r="40" spans="1:8" ht="19.5" customHeight="1">
      <c r="A40" s="129">
        <v>852</v>
      </c>
      <c r="B40" s="129"/>
      <c r="C40" s="177"/>
      <c r="D40" s="77" t="s">
        <v>648</v>
      </c>
      <c r="E40" s="178">
        <v>75012600</v>
      </c>
      <c r="F40" s="178">
        <f>F47+F41+F44+F50</f>
        <v>3343500</v>
      </c>
      <c r="G40" s="178">
        <f>G47+G41+G50</f>
        <v>183768</v>
      </c>
      <c r="H40" s="72">
        <f t="shared" si="0"/>
        <v>71852868</v>
      </c>
    </row>
    <row r="41" spans="1:8" ht="18" customHeight="1">
      <c r="A41" s="179"/>
      <c r="B41" s="1023">
        <v>85203</v>
      </c>
      <c r="C41" s="180"/>
      <c r="D41" s="336" t="s">
        <v>73</v>
      </c>
      <c r="E41" s="181">
        <v>806000</v>
      </c>
      <c r="F41" s="181"/>
      <c r="G41" s="181">
        <f>G42</f>
        <v>3000</v>
      </c>
      <c r="H41" s="158">
        <f t="shared" si="0"/>
        <v>809000</v>
      </c>
    </row>
    <row r="42" spans="1:8" ht="29.25" customHeight="1">
      <c r="A42" s="130"/>
      <c r="B42" s="61"/>
      <c r="C42" s="152"/>
      <c r="D42" s="653" t="s">
        <v>63</v>
      </c>
      <c r="E42" s="182"/>
      <c r="F42" s="182"/>
      <c r="G42" s="182">
        <f>G43</f>
        <v>3000</v>
      </c>
      <c r="H42" s="183">
        <f t="shared" si="0"/>
        <v>3000</v>
      </c>
    </row>
    <row r="43" spans="1:8" ht="35.25" customHeight="1">
      <c r="A43" s="70"/>
      <c r="B43" s="71"/>
      <c r="C43" s="1024">
        <v>2010</v>
      </c>
      <c r="D43" s="1025" t="s">
        <v>389</v>
      </c>
      <c r="E43" s="677"/>
      <c r="F43" s="677"/>
      <c r="G43" s="677">
        <v>3000</v>
      </c>
      <c r="H43" s="511">
        <f t="shared" si="0"/>
        <v>3000</v>
      </c>
    </row>
    <row r="44" spans="1:8" ht="24" customHeight="1">
      <c r="A44" s="130"/>
      <c r="B44" s="1023">
        <v>85212</v>
      </c>
      <c r="C44" s="180"/>
      <c r="D44" s="336" t="s">
        <v>415</v>
      </c>
      <c r="E44" s="181">
        <v>63922000</v>
      </c>
      <c r="F44" s="181">
        <f>F45</f>
        <v>2643500</v>
      </c>
      <c r="G44" s="181"/>
      <c r="H44" s="158">
        <f>E44+G44-F44</f>
        <v>61278500</v>
      </c>
    </row>
    <row r="45" spans="1:8" ht="29.25" customHeight="1">
      <c r="A45" s="130"/>
      <c r="B45" s="61"/>
      <c r="C45" s="152"/>
      <c r="D45" s="653" t="s">
        <v>416</v>
      </c>
      <c r="E45" s="182">
        <v>63922000</v>
      </c>
      <c r="F45" s="182">
        <f>F46</f>
        <v>2643500</v>
      </c>
      <c r="G45" s="182"/>
      <c r="H45" s="183">
        <f>E45+G45-F45</f>
        <v>61278500</v>
      </c>
    </row>
    <row r="46" spans="1:8" ht="32.25" customHeight="1">
      <c r="A46" s="70"/>
      <c r="B46" s="71"/>
      <c r="C46" s="1024">
        <v>2010</v>
      </c>
      <c r="D46" s="1025" t="s">
        <v>389</v>
      </c>
      <c r="E46" s="677">
        <v>63922000</v>
      </c>
      <c r="F46" s="677">
        <v>2643500</v>
      </c>
      <c r="G46" s="677"/>
      <c r="H46" s="511">
        <f>E46+G46-F46</f>
        <v>61278500</v>
      </c>
    </row>
    <row r="47" spans="1:8" ht="24" customHeight="1">
      <c r="A47" s="130"/>
      <c r="B47" s="1023">
        <v>85214</v>
      </c>
      <c r="C47" s="180"/>
      <c r="D47" s="336" t="s">
        <v>66</v>
      </c>
      <c r="E47" s="181">
        <v>8122000</v>
      </c>
      <c r="F47" s="181">
        <f>F48</f>
        <v>700000</v>
      </c>
      <c r="G47" s="181"/>
      <c r="H47" s="158">
        <f t="shared" si="0"/>
        <v>7422000</v>
      </c>
    </row>
    <row r="48" spans="1:8" ht="29.25" customHeight="1">
      <c r="A48" s="130"/>
      <c r="B48" s="61"/>
      <c r="C48" s="152"/>
      <c r="D48" s="653" t="s">
        <v>67</v>
      </c>
      <c r="E48" s="182">
        <v>8122000</v>
      </c>
      <c r="F48" s="182">
        <f>F49</f>
        <v>700000</v>
      </c>
      <c r="G48" s="182"/>
      <c r="H48" s="183">
        <f t="shared" si="0"/>
        <v>7422000</v>
      </c>
    </row>
    <row r="49" spans="1:8" ht="30" customHeight="1">
      <c r="A49" s="70"/>
      <c r="B49" s="71"/>
      <c r="C49" s="1024">
        <v>2010</v>
      </c>
      <c r="D49" s="1025" t="s">
        <v>389</v>
      </c>
      <c r="E49" s="677">
        <v>8122000</v>
      </c>
      <c r="F49" s="677">
        <v>700000</v>
      </c>
      <c r="G49" s="677"/>
      <c r="H49" s="511">
        <f t="shared" si="0"/>
        <v>7422000</v>
      </c>
    </row>
    <row r="50" spans="1:8" ht="18" customHeight="1">
      <c r="A50" s="130"/>
      <c r="B50" s="1023">
        <v>85278</v>
      </c>
      <c r="C50" s="180"/>
      <c r="D50" s="336" t="s">
        <v>74</v>
      </c>
      <c r="E50" s="181">
        <v>69500</v>
      </c>
      <c r="F50" s="181"/>
      <c r="G50" s="181">
        <f>G51</f>
        <v>180768</v>
      </c>
      <c r="H50" s="158">
        <f t="shared" si="0"/>
        <v>250268</v>
      </c>
    </row>
    <row r="51" spans="1:8" ht="27.75" customHeight="1">
      <c r="A51" s="130"/>
      <c r="B51" s="61"/>
      <c r="C51" s="152"/>
      <c r="D51" s="1480" t="s">
        <v>417</v>
      </c>
      <c r="E51" s="182">
        <v>69500</v>
      </c>
      <c r="F51" s="182"/>
      <c r="G51" s="182">
        <f>G52</f>
        <v>180768</v>
      </c>
      <c r="H51" s="183">
        <f t="shared" si="0"/>
        <v>250268</v>
      </c>
    </row>
    <row r="52" spans="1:8" ht="31.5" customHeight="1">
      <c r="A52" s="71"/>
      <c r="B52" s="71"/>
      <c r="C52" s="184">
        <v>2010</v>
      </c>
      <c r="D52" s="1025" t="s">
        <v>389</v>
      </c>
      <c r="E52" s="315">
        <v>69500</v>
      </c>
      <c r="F52" s="315"/>
      <c r="G52" s="315">
        <v>180768</v>
      </c>
      <c r="H52" s="185">
        <f t="shared" si="0"/>
        <v>250268</v>
      </c>
    </row>
    <row r="53" spans="1:8" s="163" customFormat="1" ht="20.25" customHeight="1" thickBot="1">
      <c r="A53" s="53"/>
      <c r="B53" s="53"/>
      <c r="C53" s="53"/>
      <c r="D53" s="110" t="s">
        <v>280</v>
      </c>
      <c r="E53" s="172">
        <f>E54+E55+E56+E80+E81</f>
        <v>299146448</v>
      </c>
      <c r="F53" s="172">
        <f>F54+F55+F56+F80+F81</f>
        <v>26606</v>
      </c>
      <c r="G53" s="172">
        <f>G54+G55+G56+G80+G81</f>
        <v>438745</v>
      </c>
      <c r="H53" s="172">
        <f t="shared" si="0"/>
        <v>299558587</v>
      </c>
    </row>
    <row r="54" spans="1:8" s="163" customFormat="1" ht="19.5" customHeight="1" thickBot="1">
      <c r="A54" s="70"/>
      <c r="B54" s="70"/>
      <c r="C54" s="70"/>
      <c r="D54" s="440" t="s">
        <v>214</v>
      </c>
      <c r="E54" s="113">
        <v>72360210</v>
      </c>
      <c r="F54" s="113"/>
      <c r="G54" s="113"/>
      <c r="H54" s="82">
        <f t="shared" si="0"/>
        <v>72360210</v>
      </c>
    </row>
    <row r="55" spans="1:8" s="163" customFormat="1" ht="19.5" customHeight="1" thickBot="1" thickTop="1">
      <c r="A55" s="70"/>
      <c r="B55" s="70"/>
      <c r="C55" s="70"/>
      <c r="D55" s="440" t="s">
        <v>219</v>
      </c>
      <c r="E55" s="113">
        <v>134984634</v>
      </c>
      <c r="F55" s="113"/>
      <c r="G55" s="113"/>
      <c r="H55" s="82">
        <f t="shared" si="0"/>
        <v>134984634</v>
      </c>
    </row>
    <row r="56" spans="1:8" s="163" customFormat="1" ht="18.75" customHeight="1" thickBot="1" thickTop="1">
      <c r="A56" s="70"/>
      <c r="B56" s="70"/>
      <c r="C56" s="70"/>
      <c r="D56" s="175" t="s">
        <v>216</v>
      </c>
      <c r="E56" s="113">
        <f>48711495+14000000</f>
        <v>62711495</v>
      </c>
      <c r="F56" s="113"/>
      <c r="G56" s="113">
        <f>G64+G57+G75</f>
        <v>238692</v>
      </c>
      <c r="H56" s="82">
        <f t="shared" si="0"/>
        <v>62950187</v>
      </c>
    </row>
    <row r="57" spans="1:8" ht="19.5" customHeight="1" thickTop="1">
      <c r="A57" s="129">
        <v>801</v>
      </c>
      <c r="B57" s="57"/>
      <c r="C57" s="177"/>
      <c r="D57" s="161" t="s">
        <v>647</v>
      </c>
      <c r="E57" s="162">
        <v>84660</v>
      </c>
      <c r="F57" s="1007"/>
      <c r="G57" s="1007">
        <f>G61+G58</f>
        <v>16062</v>
      </c>
      <c r="H57" s="72">
        <f t="shared" si="0"/>
        <v>100722</v>
      </c>
    </row>
    <row r="58" spans="1:8" ht="18" customHeight="1">
      <c r="A58" s="130"/>
      <c r="B58" s="159">
        <v>80102</v>
      </c>
      <c r="C58" s="180"/>
      <c r="D58" s="336" t="s">
        <v>271</v>
      </c>
      <c r="E58" s="314"/>
      <c r="F58" s="1008"/>
      <c r="G58" s="1008">
        <f>G59</f>
        <v>1462</v>
      </c>
      <c r="H58" s="158">
        <f t="shared" si="0"/>
        <v>1462</v>
      </c>
    </row>
    <row r="59" spans="1:8" ht="25.5">
      <c r="A59" s="130"/>
      <c r="B59" s="61"/>
      <c r="C59" s="152"/>
      <c r="D59" s="337" t="s">
        <v>915</v>
      </c>
      <c r="E59" s="307"/>
      <c r="F59" s="1009"/>
      <c r="G59" s="1009">
        <f>G60</f>
        <v>1462</v>
      </c>
      <c r="H59" s="183">
        <f t="shared" si="0"/>
        <v>1462</v>
      </c>
    </row>
    <row r="60" spans="1:8" ht="25.5">
      <c r="A60" s="70"/>
      <c r="B60" s="71"/>
      <c r="C60" s="184">
        <v>2130</v>
      </c>
      <c r="D60" s="635" t="s">
        <v>64</v>
      </c>
      <c r="E60" s="1243"/>
      <c r="F60" s="1243"/>
      <c r="G60" s="1243">
        <v>1462</v>
      </c>
      <c r="H60" s="511">
        <f t="shared" si="0"/>
        <v>1462</v>
      </c>
    </row>
    <row r="61" spans="1:8" ht="18" customHeight="1">
      <c r="A61" s="130"/>
      <c r="B61" s="159">
        <v>80195</v>
      </c>
      <c r="C61" s="180"/>
      <c r="D61" s="336" t="s">
        <v>646</v>
      </c>
      <c r="E61" s="314"/>
      <c r="F61" s="1008"/>
      <c r="G61" s="1008">
        <f>G62</f>
        <v>14600</v>
      </c>
      <c r="H61" s="158">
        <f t="shared" si="0"/>
        <v>14600</v>
      </c>
    </row>
    <row r="62" spans="1:8" ht="31.5" customHeight="1">
      <c r="A62" s="130"/>
      <c r="B62" s="61"/>
      <c r="C62" s="152"/>
      <c r="D62" s="337" t="s">
        <v>11</v>
      </c>
      <c r="E62" s="307"/>
      <c r="F62" s="1009"/>
      <c r="G62" s="1009">
        <f>G63</f>
        <v>14600</v>
      </c>
      <c r="H62" s="183">
        <f t="shared" si="0"/>
        <v>14600</v>
      </c>
    </row>
    <row r="63" spans="1:8" ht="25.5">
      <c r="A63" s="70"/>
      <c r="B63" s="71"/>
      <c r="C63" s="184">
        <v>2130</v>
      </c>
      <c r="D63" s="635" t="s">
        <v>64</v>
      </c>
      <c r="E63" s="1243"/>
      <c r="F63" s="1243"/>
      <c r="G63" s="1243">
        <f>3000+11600</f>
        <v>14600</v>
      </c>
      <c r="H63" s="511">
        <f t="shared" si="0"/>
        <v>14600</v>
      </c>
    </row>
    <row r="64" spans="1:8" ht="19.5" customHeight="1">
      <c r="A64" s="129">
        <v>852</v>
      </c>
      <c r="B64" s="57"/>
      <c r="C64" s="177"/>
      <c r="D64" s="77" t="s">
        <v>648</v>
      </c>
      <c r="E64" s="178">
        <v>10040370</v>
      </c>
      <c r="F64" s="178"/>
      <c r="G64" s="178">
        <f>G72+G65+G68</f>
        <v>179430</v>
      </c>
      <c r="H64" s="72">
        <f t="shared" si="0"/>
        <v>10219800</v>
      </c>
    </row>
    <row r="65" spans="1:8" ht="18" customHeight="1">
      <c r="A65" s="179"/>
      <c r="B65" s="159">
        <v>85201</v>
      </c>
      <c r="C65" s="180"/>
      <c r="D65" s="62" t="s">
        <v>298</v>
      </c>
      <c r="E65" s="181">
        <v>810560</v>
      </c>
      <c r="F65" s="181"/>
      <c r="G65" s="181">
        <f>G66</f>
        <v>77680</v>
      </c>
      <c r="H65" s="158">
        <f t="shared" si="0"/>
        <v>888240</v>
      </c>
    </row>
    <row r="66" spans="1:8" ht="29.25" customHeight="1">
      <c r="A66" s="130"/>
      <c r="B66" s="61"/>
      <c r="C66" s="152"/>
      <c r="D66" s="653" t="s">
        <v>12</v>
      </c>
      <c r="E66" s="182"/>
      <c r="F66" s="182"/>
      <c r="G66" s="182">
        <f>G67</f>
        <v>77680</v>
      </c>
      <c r="H66" s="183">
        <f t="shared" si="0"/>
        <v>77680</v>
      </c>
    </row>
    <row r="67" spans="1:8" ht="25.5">
      <c r="A67" s="70"/>
      <c r="B67" s="71"/>
      <c r="C67" s="184">
        <v>6430</v>
      </c>
      <c r="D67" s="635" t="s">
        <v>892</v>
      </c>
      <c r="E67" s="677"/>
      <c r="F67" s="677"/>
      <c r="G67" s="677">
        <f>47680+30000</f>
        <v>77680</v>
      </c>
      <c r="H67" s="511">
        <f t="shared" si="0"/>
        <v>77680</v>
      </c>
    </row>
    <row r="68" spans="1:8" ht="18" customHeight="1">
      <c r="A68" s="130"/>
      <c r="B68" s="159">
        <v>85202</v>
      </c>
      <c r="C68" s="180"/>
      <c r="D68" s="62" t="s">
        <v>220</v>
      </c>
      <c r="E68" s="181">
        <v>9097810</v>
      </c>
      <c r="F68" s="181"/>
      <c r="G68" s="181">
        <f>G69</f>
        <v>100000</v>
      </c>
      <c r="H68" s="158">
        <f t="shared" si="0"/>
        <v>9197810</v>
      </c>
    </row>
    <row r="69" spans="1:8" ht="29.25" customHeight="1">
      <c r="A69" s="130"/>
      <c r="B69" s="61"/>
      <c r="C69" s="152"/>
      <c r="D69" s="653" t="s">
        <v>10</v>
      </c>
      <c r="E69" s="182">
        <v>290000</v>
      </c>
      <c r="F69" s="182"/>
      <c r="G69" s="182">
        <f>SUM(G70:G71)</f>
        <v>100000</v>
      </c>
      <c r="H69" s="183">
        <f t="shared" si="0"/>
        <v>390000</v>
      </c>
    </row>
    <row r="70" spans="1:8" ht="25.5">
      <c r="A70" s="70"/>
      <c r="B70" s="70"/>
      <c r="C70" s="184">
        <v>2130</v>
      </c>
      <c r="D70" s="635" t="s">
        <v>64</v>
      </c>
      <c r="E70" s="677"/>
      <c r="F70" s="677"/>
      <c r="G70" s="677">
        <f>55000</f>
        <v>55000</v>
      </c>
      <c r="H70" s="511">
        <f t="shared" si="0"/>
        <v>55000</v>
      </c>
    </row>
    <row r="71" spans="1:8" ht="25.5">
      <c r="A71" s="70"/>
      <c r="B71" s="71"/>
      <c r="C71" s="184">
        <v>6430</v>
      </c>
      <c r="D71" s="635" t="s">
        <v>892</v>
      </c>
      <c r="E71" s="677">
        <v>290000</v>
      </c>
      <c r="F71" s="677"/>
      <c r="G71" s="677">
        <v>45000</v>
      </c>
      <c r="H71" s="511">
        <f t="shared" si="0"/>
        <v>335000</v>
      </c>
    </row>
    <row r="72" spans="1:8" ht="27.75" customHeight="1">
      <c r="A72" s="130"/>
      <c r="B72" s="159">
        <v>85220</v>
      </c>
      <c r="C72" s="180"/>
      <c r="D72" s="236" t="s">
        <v>586</v>
      </c>
      <c r="E72" s="181">
        <v>129000</v>
      </c>
      <c r="F72" s="181"/>
      <c r="G72" s="181">
        <f>G73</f>
        <v>1750</v>
      </c>
      <c r="H72" s="158">
        <f t="shared" si="0"/>
        <v>130750</v>
      </c>
    </row>
    <row r="73" spans="1:8" ht="29.25" customHeight="1">
      <c r="A73" s="130"/>
      <c r="B73" s="61"/>
      <c r="C73" s="152"/>
      <c r="D73" s="653" t="s">
        <v>63</v>
      </c>
      <c r="E73" s="182">
        <v>3000</v>
      </c>
      <c r="F73" s="182"/>
      <c r="G73" s="182">
        <f>G74</f>
        <v>1750</v>
      </c>
      <c r="H73" s="183">
        <f t="shared" si="0"/>
        <v>4750</v>
      </c>
    </row>
    <row r="74" spans="1:8" ht="25.5">
      <c r="A74" s="71"/>
      <c r="B74" s="71"/>
      <c r="C74" s="184">
        <v>2130</v>
      </c>
      <c r="D74" s="635" t="s">
        <v>64</v>
      </c>
      <c r="E74" s="677">
        <v>3000</v>
      </c>
      <c r="F74" s="677"/>
      <c r="G74" s="677">
        <v>1750</v>
      </c>
      <c r="H74" s="511">
        <f aca="true" t="shared" si="1" ref="H74:H107">E74+G74-F74</f>
        <v>4750</v>
      </c>
    </row>
    <row r="75" spans="1:8" ht="19.5" customHeight="1">
      <c r="A75" s="573">
        <v>854</v>
      </c>
      <c r="B75" s="317"/>
      <c r="C75" s="574"/>
      <c r="D75" s="77" t="s">
        <v>649</v>
      </c>
      <c r="E75" s="178">
        <v>2162644</v>
      </c>
      <c r="F75" s="178"/>
      <c r="G75" s="178">
        <f>G76</f>
        <v>43200</v>
      </c>
      <c r="H75" s="72">
        <f t="shared" si="1"/>
        <v>2205844</v>
      </c>
    </row>
    <row r="76" spans="1:8" ht="18" customHeight="1">
      <c r="A76" s="179"/>
      <c r="B76" s="159">
        <v>85415</v>
      </c>
      <c r="C76" s="180"/>
      <c r="D76" s="62" t="s">
        <v>201</v>
      </c>
      <c r="E76" s="181">
        <v>68400</v>
      </c>
      <c r="F76" s="181"/>
      <c r="G76" s="181">
        <f>G77</f>
        <v>43200</v>
      </c>
      <c r="H76" s="158">
        <f t="shared" si="1"/>
        <v>111600</v>
      </c>
    </row>
    <row r="77" spans="1:8" ht="29.25" customHeight="1">
      <c r="A77" s="130"/>
      <c r="B77" s="61"/>
      <c r="C77" s="152"/>
      <c r="D77" s="653" t="s">
        <v>913</v>
      </c>
      <c r="E77" s="182">
        <v>68400</v>
      </c>
      <c r="F77" s="182"/>
      <c r="G77" s="182">
        <f>G78</f>
        <v>43200</v>
      </c>
      <c r="H77" s="183">
        <f t="shared" si="1"/>
        <v>111600</v>
      </c>
    </row>
    <row r="78" spans="1:8" ht="25.5">
      <c r="A78" s="70"/>
      <c r="B78" s="70"/>
      <c r="C78" s="1294">
        <v>2130</v>
      </c>
      <c r="D78" s="1295" t="s">
        <v>64</v>
      </c>
      <c r="E78" s="1296">
        <v>68400</v>
      </c>
      <c r="F78" s="1296"/>
      <c r="G78" s="1296">
        <f>12000+31200</f>
        <v>43200</v>
      </c>
      <c r="H78" s="1297">
        <f t="shared" si="1"/>
        <v>111600</v>
      </c>
    </row>
    <row r="79" spans="1:8" ht="21.75" customHeight="1">
      <c r="A79" s="1287"/>
      <c r="B79" s="1287"/>
      <c r="C79" s="1298"/>
      <c r="D79" s="1299"/>
      <c r="E79" s="1300"/>
      <c r="F79" s="1300"/>
      <c r="G79" s="1300"/>
      <c r="H79" s="1301"/>
    </row>
    <row r="80" spans="1:8" ht="28.5" customHeight="1" thickBot="1">
      <c r="A80" s="70"/>
      <c r="B80" s="70"/>
      <c r="C80" s="70"/>
      <c r="D80" s="175" t="s">
        <v>217</v>
      </c>
      <c r="E80" s="113">
        <v>6532338</v>
      </c>
      <c r="F80" s="113"/>
      <c r="G80" s="113"/>
      <c r="H80" s="82">
        <f t="shared" si="1"/>
        <v>6532338</v>
      </c>
    </row>
    <row r="81" spans="1:9" ht="30" customHeight="1" thickBot="1" thickTop="1">
      <c r="A81" s="71"/>
      <c r="B81" s="71"/>
      <c r="C81" s="71"/>
      <c r="D81" s="447" t="s">
        <v>356</v>
      </c>
      <c r="E81" s="113">
        <v>22557771</v>
      </c>
      <c r="F81" s="113">
        <f>F89+F96+F82+F104</f>
        <v>26606</v>
      </c>
      <c r="G81" s="113">
        <f>G89+G96+G82+G104+G100</f>
        <v>200053</v>
      </c>
      <c r="H81" s="82">
        <f t="shared" si="1"/>
        <v>22731218</v>
      </c>
      <c r="I81" s="47"/>
    </row>
    <row r="82" spans="1:8" ht="19.5" customHeight="1" thickTop="1">
      <c r="A82" s="573">
        <v>710</v>
      </c>
      <c r="B82" s="317"/>
      <c r="C82" s="574"/>
      <c r="D82" s="441" t="s">
        <v>258</v>
      </c>
      <c r="E82" s="178">
        <v>614235</v>
      </c>
      <c r="F82" s="178">
        <f>F83+F86</f>
        <v>11337</v>
      </c>
      <c r="G82" s="178">
        <f>G83+G86</f>
        <v>14337</v>
      </c>
      <c r="H82" s="72">
        <f t="shared" si="1"/>
        <v>617235</v>
      </c>
    </row>
    <row r="83" spans="1:8" ht="18" customHeight="1">
      <c r="A83" s="179"/>
      <c r="B83" s="159">
        <v>71015</v>
      </c>
      <c r="C83" s="180"/>
      <c r="D83" s="160" t="s">
        <v>79</v>
      </c>
      <c r="E83" s="181">
        <v>502898</v>
      </c>
      <c r="F83" s="181"/>
      <c r="G83" s="181">
        <f>G84</f>
        <v>14337</v>
      </c>
      <c r="H83" s="158">
        <f t="shared" si="1"/>
        <v>517235</v>
      </c>
    </row>
    <row r="84" spans="1:8" ht="25.5" customHeight="1">
      <c r="A84" s="130"/>
      <c r="B84" s="61"/>
      <c r="C84" s="152"/>
      <c r="D84" s="657" t="s">
        <v>80</v>
      </c>
      <c r="E84" s="182">
        <v>502898</v>
      </c>
      <c r="F84" s="182"/>
      <c r="G84" s="182">
        <f>G85</f>
        <v>14337</v>
      </c>
      <c r="H84" s="183">
        <f t="shared" si="1"/>
        <v>517235</v>
      </c>
    </row>
    <row r="85" spans="1:8" ht="37.5" customHeight="1">
      <c r="A85" s="70"/>
      <c r="B85" s="71"/>
      <c r="C85" s="184">
        <v>2110</v>
      </c>
      <c r="D85" s="754" t="s">
        <v>888</v>
      </c>
      <c r="E85" s="69">
        <v>502898</v>
      </c>
      <c r="F85" s="69"/>
      <c r="G85" s="69">
        <v>14337</v>
      </c>
      <c r="H85" s="185">
        <f t="shared" si="1"/>
        <v>517235</v>
      </c>
    </row>
    <row r="86" spans="1:8" ht="18" customHeight="1">
      <c r="A86" s="130"/>
      <c r="B86" s="159">
        <v>71095</v>
      </c>
      <c r="C86" s="180"/>
      <c r="D86" s="160" t="s">
        <v>646</v>
      </c>
      <c r="E86" s="181">
        <v>11337</v>
      </c>
      <c r="F86" s="181">
        <f>F87</f>
        <v>11337</v>
      </c>
      <c r="G86" s="181"/>
      <c r="H86" s="158">
        <f t="shared" si="1"/>
        <v>0</v>
      </c>
    </row>
    <row r="87" spans="1:8" ht="25.5" customHeight="1">
      <c r="A87" s="130"/>
      <c r="B87" s="61"/>
      <c r="C87" s="152"/>
      <c r="D87" s="657" t="s">
        <v>81</v>
      </c>
      <c r="E87" s="182">
        <v>11337</v>
      </c>
      <c r="F87" s="182">
        <f>F88</f>
        <v>11337</v>
      </c>
      <c r="G87" s="182"/>
      <c r="H87" s="183">
        <f t="shared" si="1"/>
        <v>0</v>
      </c>
    </row>
    <row r="88" spans="1:8" ht="37.5" customHeight="1">
      <c r="A88" s="71"/>
      <c r="B88" s="71"/>
      <c r="C88" s="184">
        <v>2110</v>
      </c>
      <c r="D88" s="754" t="s">
        <v>888</v>
      </c>
      <c r="E88" s="69">
        <v>11337</v>
      </c>
      <c r="F88" s="69">
        <v>11337</v>
      </c>
      <c r="G88" s="69"/>
      <c r="H88" s="185">
        <f t="shared" si="1"/>
        <v>0</v>
      </c>
    </row>
    <row r="89" spans="1:8" ht="19.5" customHeight="1">
      <c r="A89" s="573">
        <v>750</v>
      </c>
      <c r="B89" s="317"/>
      <c r="C89" s="574"/>
      <c r="D89" s="441" t="s">
        <v>651</v>
      </c>
      <c r="E89" s="178">
        <v>916641</v>
      </c>
      <c r="F89" s="178">
        <f>F93</f>
        <v>15269</v>
      </c>
      <c r="G89" s="178">
        <f>G90+G93</f>
        <v>15269</v>
      </c>
      <c r="H89" s="72">
        <f t="shared" si="1"/>
        <v>916641</v>
      </c>
    </row>
    <row r="90" spans="1:8" ht="18" customHeight="1">
      <c r="A90" s="179"/>
      <c r="B90" s="159">
        <v>75011</v>
      </c>
      <c r="C90" s="180"/>
      <c r="D90" s="160" t="s">
        <v>77</v>
      </c>
      <c r="E90" s="181">
        <v>810641</v>
      </c>
      <c r="F90" s="181"/>
      <c r="G90" s="181">
        <f>G91</f>
        <v>15269</v>
      </c>
      <c r="H90" s="158">
        <f t="shared" si="1"/>
        <v>825910</v>
      </c>
    </row>
    <row r="91" spans="1:8" ht="25.5" customHeight="1">
      <c r="A91" s="130"/>
      <c r="B91" s="61"/>
      <c r="C91" s="152"/>
      <c r="D91" s="657" t="s">
        <v>78</v>
      </c>
      <c r="E91" s="182">
        <v>810641</v>
      </c>
      <c r="F91" s="182"/>
      <c r="G91" s="182">
        <f>G92</f>
        <v>15269</v>
      </c>
      <c r="H91" s="183">
        <f t="shared" si="1"/>
        <v>825910</v>
      </c>
    </row>
    <row r="92" spans="1:8" ht="37.5" customHeight="1">
      <c r="A92" s="70"/>
      <c r="B92" s="71"/>
      <c r="C92" s="184">
        <v>2110</v>
      </c>
      <c r="D92" s="754" t="s">
        <v>888</v>
      </c>
      <c r="E92" s="69">
        <v>810641</v>
      </c>
      <c r="F92" s="69"/>
      <c r="G92" s="69">
        <v>15269</v>
      </c>
      <c r="H92" s="185">
        <f t="shared" si="1"/>
        <v>825910</v>
      </c>
    </row>
    <row r="93" spans="1:8" ht="18" customHeight="1">
      <c r="A93" s="130"/>
      <c r="B93" s="159">
        <v>75045</v>
      </c>
      <c r="C93" s="180"/>
      <c r="D93" s="160" t="s">
        <v>886</v>
      </c>
      <c r="E93" s="181">
        <v>106000</v>
      </c>
      <c r="F93" s="181">
        <f>F94</f>
        <v>15269</v>
      </c>
      <c r="G93" s="181"/>
      <c r="H93" s="158">
        <f t="shared" si="1"/>
        <v>90731</v>
      </c>
    </row>
    <row r="94" spans="1:8" ht="18" customHeight="1">
      <c r="A94" s="130"/>
      <c r="B94" s="61"/>
      <c r="C94" s="152"/>
      <c r="D94" s="657" t="s">
        <v>887</v>
      </c>
      <c r="E94" s="182">
        <v>106000</v>
      </c>
      <c r="F94" s="182">
        <f>F95</f>
        <v>15269</v>
      </c>
      <c r="G94" s="182"/>
      <c r="H94" s="183">
        <f t="shared" si="1"/>
        <v>90731</v>
      </c>
    </row>
    <row r="95" spans="1:8" ht="37.5" customHeight="1">
      <c r="A95" s="71"/>
      <c r="B95" s="71"/>
      <c r="C95" s="184">
        <v>2110</v>
      </c>
      <c r="D95" s="754" t="s">
        <v>888</v>
      </c>
      <c r="E95" s="69">
        <v>106000</v>
      </c>
      <c r="F95" s="69">
        <v>15269</v>
      </c>
      <c r="G95" s="69"/>
      <c r="H95" s="185">
        <f t="shared" si="1"/>
        <v>90731</v>
      </c>
    </row>
    <row r="96" spans="1:8" ht="19.5" customHeight="1">
      <c r="A96" s="573">
        <v>754</v>
      </c>
      <c r="B96" s="317"/>
      <c r="C96" s="574"/>
      <c r="D96" s="441" t="s">
        <v>641</v>
      </c>
      <c r="E96" s="178">
        <v>12959000</v>
      </c>
      <c r="F96" s="178"/>
      <c r="G96" s="178">
        <f>G97</f>
        <v>21200</v>
      </c>
      <c r="H96" s="72">
        <f t="shared" si="1"/>
        <v>12980200</v>
      </c>
    </row>
    <row r="97" spans="1:8" ht="18" customHeight="1">
      <c r="A97" s="179"/>
      <c r="B97" s="159">
        <v>75411</v>
      </c>
      <c r="C97" s="180"/>
      <c r="D97" s="160" t="s">
        <v>806</v>
      </c>
      <c r="E97" s="181">
        <v>12959000</v>
      </c>
      <c r="F97" s="181"/>
      <c r="G97" s="181">
        <f>G98</f>
        <v>21200</v>
      </c>
      <c r="H97" s="158">
        <f t="shared" si="1"/>
        <v>12980200</v>
      </c>
    </row>
    <row r="98" spans="1:8" ht="26.25" customHeight="1">
      <c r="A98" s="130"/>
      <c r="B98" s="61"/>
      <c r="C98" s="152"/>
      <c r="D98" s="657" t="s">
        <v>900</v>
      </c>
      <c r="E98" s="182">
        <v>12959000</v>
      </c>
      <c r="F98" s="182"/>
      <c r="G98" s="182">
        <f>G99</f>
        <v>21200</v>
      </c>
      <c r="H98" s="183">
        <f t="shared" si="1"/>
        <v>12980200</v>
      </c>
    </row>
    <row r="99" spans="1:8" ht="37.5" customHeight="1">
      <c r="A99" s="71"/>
      <c r="B99" s="71"/>
      <c r="C99" s="184">
        <v>2110</v>
      </c>
      <c r="D99" s="754" t="s">
        <v>888</v>
      </c>
      <c r="E99" s="69">
        <v>12959000</v>
      </c>
      <c r="F99" s="69"/>
      <c r="G99" s="69">
        <v>21200</v>
      </c>
      <c r="H99" s="185">
        <f t="shared" si="1"/>
        <v>12980200</v>
      </c>
    </row>
    <row r="100" spans="1:8" ht="19.5" customHeight="1">
      <c r="A100" s="129">
        <v>851</v>
      </c>
      <c r="B100" s="57"/>
      <c r="C100" s="177"/>
      <c r="D100" s="77" t="s">
        <v>650</v>
      </c>
      <c r="E100" s="178">
        <v>3307000</v>
      </c>
      <c r="F100" s="178"/>
      <c r="G100" s="178">
        <f>G101</f>
        <v>120000</v>
      </c>
      <c r="H100" s="72">
        <f>E100+G100-F100</f>
        <v>3427000</v>
      </c>
    </row>
    <row r="101" spans="1:8" ht="18" customHeight="1">
      <c r="A101" s="179"/>
      <c r="B101" s="159">
        <v>85141</v>
      </c>
      <c r="C101" s="180"/>
      <c r="D101" s="62" t="s">
        <v>891</v>
      </c>
      <c r="E101" s="181">
        <v>120000</v>
      </c>
      <c r="F101" s="181"/>
      <c r="G101" s="181">
        <f>G102</f>
        <v>120000</v>
      </c>
      <c r="H101" s="158">
        <f>E101+G101-F101</f>
        <v>240000</v>
      </c>
    </row>
    <row r="102" spans="1:8" ht="29.25" customHeight="1">
      <c r="A102" s="130"/>
      <c r="B102" s="61"/>
      <c r="C102" s="152"/>
      <c r="D102" s="653" t="s">
        <v>874</v>
      </c>
      <c r="E102" s="182">
        <v>120000</v>
      </c>
      <c r="F102" s="182"/>
      <c r="G102" s="182">
        <f>G103</f>
        <v>120000</v>
      </c>
      <c r="H102" s="183">
        <f>E102+G102-F102</f>
        <v>240000</v>
      </c>
    </row>
    <row r="103" spans="1:8" ht="38.25">
      <c r="A103" s="71"/>
      <c r="B103" s="71"/>
      <c r="C103" s="184">
        <v>6410</v>
      </c>
      <c r="D103" s="635" t="s">
        <v>418</v>
      </c>
      <c r="E103" s="677"/>
      <c r="F103" s="677"/>
      <c r="G103" s="677">
        <v>120000</v>
      </c>
      <c r="H103" s="511">
        <f>E103+G103-F103</f>
        <v>120000</v>
      </c>
    </row>
    <row r="104" spans="1:8" ht="19.5" customHeight="1">
      <c r="A104" s="573">
        <v>853</v>
      </c>
      <c r="B104" s="317"/>
      <c r="C104" s="574"/>
      <c r="D104" s="441" t="s">
        <v>691</v>
      </c>
      <c r="E104" s="178">
        <v>633654</v>
      </c>
      <c r="F104" s="178"/>
      <c r="G104" s="178">
        <f>G105</f>
        <v>29247</v>
      </c>
      <c r="H104" s="72">
        <f t="shared" si="1"/>
        <v>662901</v>
      </c>
    </row>
    <row r="105" spans="1:8" ht="18" customHeight="1">
      <c r="A105" s="179"/>
      <c r="B105" s="159">
        <v>85334</v>
      </c>
      <c r="C105" s="180"/>
      <c r="D105" s="160" t="s">
        <v>908</v>
      </c>
      <c r="E105" s="181">
        <v>64654</v>
      </c>
      <c r="F105" s="181"/>
      <c r="G105" s="181">
        <f>G106</f>
        <v>29247</v>
      </c>
      <c r="H105" s="158">
        <f t="shared" si="1"/>
        <v>93901</v>
      </c>
    </row>
    <row r="106" spans="1:8" ht="18" customHeight="1">
      <c r="A106" s="130"/>
      <c r="B106" s="61"/>
      <c r="C106" s="152"/>
      <c r="D106" s="657" t="s">
        <v>909</v>
      </c>
      <c r="E106" s="182">
        <v>64654</v>
      </c>
      <c r="F106" s="182"/>
      <c r="G106" s="182">
        <f>G107</f>
        <v>29247</v>
      </c>
      <c r="H106" s="183">
        <f t="shared" si="1"/>
        <v>93901</v>
      </c>
    </row>
    <row r="107" spans="1:8" ht="37.5" customHeight="1">
      <c r="A107" s="71"/>
      <c r="B107" s="71"/>
      <c r="C107" s="184">
        <v>2110</v>
      </c>
      <c r="D107" s="754" t="s">
        <v>888</v>
      </c>
      <c r="E107" s="69">
        <v>64654</v>
      </c>
      <c r="F107" s="69"/>
      <c r="G107" s="69">
        <v>29247</v>
      </c>
      <c r="H107" s="185">
        <f t="shared" si="1"/>
        <v>93901</v>
      </c>
    </row>
    <row r="108" ht="22.5" customHeight="1"/>
    <row r="111" spans="3:8" ht="16.5">
      <c r="C111" s="1639" t="s">
        <v>446</v>
      </c>
      <c r="G111" s="1639" t="s">
        <v>447</v>
      </c>
      <c r="H111" s="1639"/>
    </row>
    <row r="112" spans="3:8" ht="15.75" customHeight="1">
      <c r="C112" s="1641" t="s">
        <v>449</v>
      </c>
      <c r="G112" s="1640" t="s">
        <v>448</v>
      </c>
      <c r="H112" s="1639"/>
    </row>
  </sheetData>
  <printOptions horizontalCentered="1"/>
  <pageMargins left="0.4724409448818898" right="0.4724409448818898" top="0.6692913385826772" bottom="0.5905511811023623" header="0.5118110236220472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2006-12-18T10:43:53Z</cp:lastPrinted>
  <dcterms:created xsi:type="dcterms:W3CDTF">1997-02-26T13:46:56Z</dcterms:created>
  <dcterms:modified xsi:type="dcterms:W3CDTF">2006-12-18T10:44:05Z</dcterms:modified>
  <cp:category/>
  <cp:version/>
  <cp:contentType/>
  <cp:contentStatus/>
</cp:coreProperties>
</file>