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dochRM" sheetId="1" r:id="rId1"/>
    <sheet name="wydRM" sheetId="2" r:id="rId2"/>
    <sheet name="inwest" sheetId="3" r:id="rId3"/>
    <sheet name="UE" sheetId="4" r:id="rId4"/>
    <sheet name="UE (2)" sheetId="5" r:id="rId5"/>
    <sheet name="remonty" sheetId="6" r:id="rId6"/>
    <sheet name="dotacje" sheetId="7" r:id="rId7"/>
    <sheet name="dzielnice" sheetId="8" r:id="rId8"/>
    <sheet name="doch Pr" sheetId="9" r:id="rId9"/>
    <sheet name="Wyd Pr" sheetId="10" r:id="rId10"/>
    <sheet name="jednostki" sheetId="11" r:id="rId11"/>
    <sheet name="szkoly" sheetId="12" r:id="rId12"/>
    <sheet name="dzielnice Pr" sheetId="13" r:id="rId13"/>
    <sheet name="Doch-harm" sheetId="14" r:id="rId14"/>
    <sheet name="Wyd-harm" sheetId="15" r:id="rId15"/>
    <sheet name="zlecone " sheetId="16" r:id="rId16"/>
  </sheets>
  <definedNames>
    <definedName name="_xlnm.Print_Titles" localSheetId="8">'doch Pr'!$7:$7</definedName>
    <definedName name="_xlnm.Print_Titles" localSheetId="13">'Doch-harm'!$11:$13</definedName>
    <definedName name="_xlnm.Print_Titles" localSheetId="0">'dochRM'!$7:$7</definedName>
    <definedName name="_xlnm.Print_Titles" localSheetId="6">'dotacje'!$7:$7</definedName>
    <definedName name="_xlnm.Print_Titles" localSheetId="7">'dzielnice'!$8:$8</definedName>
    <definedName name="_xlnm.Print_Titles" localSheetId="12">'dzielnice Pr'!$8:$8</definedName>
    <definedName name="_xlnm.Print_Titles" localSheetId="2">'inwest'!$8:$8</definedName>
    <definedName name="_xlnm.Print_Titles" localSheetId="10">'jednostki'!$9:$9</definedName>
    <definedName name="_xlnm.Print_Titles" localSheetId="5">'remonty'!$9:$9</definedName>
    <definedName name="_xlnm.Print_Titles" localSheetId="11">'szkoly'!$3:$11</definedName>
    <definedName name="_xlnm.Print_Titles" localSheetId="9">'Wyd Pr'!$7:$7</definedName>
    <definedName name="_xlnm.Print_Titles" localSheetId="14">'Wyd-harm'!$7:$9</definedName>
    <definedName name="_xlnm.Print_Titles" localSheetId="1">'wydRM'!$7:$7</definedName>
    <definedName name="_xlnm.Print_Titles" localSheetId="15">'zlecone '!$8:$8</definedName>
  </definedNames>
  <calcPr fullCalcOnLoad="1"/>
</workbook>
</file>

<file path=xl/sharedStrings.xml><?xml version="1.0" encoding="utf-8"?>
<sst xmlns="http://schemas.openxmlformats.org/spreadsheetml/2006/main" count="2901" uniqueCount="864">
  <si>
    <t>Zasiłki i pomoc w naturze oraz składki
na ubezpieczenia emerytalne i rentowe</t>
  </si>
  <si>
    <t>,</t>
  </si>
  <si>
    <t>1.4 Wydział Informatyki 
i Telekomunikacji</t>
  </si>
  <si>
    <t>7. Dom Pomocy Społecznej Kalina</t>
  </si>
  <si>
    <t>8. Dom Pomocy Społecznej dla Osób Niepełnosprawnych Fizycznie</t>
  </si>
  <si>
    <t>9. Miejski Ośrodek Pomocy Rodzinie</t>
  </si>
  <si>
    <t>10. Miejski Urząd Pracy</t>
  </si>
  <si>
    <t>Dotacje celowe otrzymane z budżetu państwa na zadania bieżące z zakresu administracji rządowej oraz inne zadania zlecone ustawami realizowane przez powiat</t>
  </si>
  <si>
    <t>Dochody powiatu, z tego:</t>
  </si>
  <si>
    <t>Jednostka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</si>
  <si>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</si>
  <si>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</si>
  <si>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</si>
  <si>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</si>
  <si>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budżetu państwa 
i innych bezzwrotnych</t>
  </si>
  <si>
    <t>do zarządzenia nr 463/2006</t>
  </si>
  <si>
    <t>środki w dyspozycji wydziału</t>
  </si>
  <si>
    <t>Klub Sportowy "Paco"; ul. Zana 72, 20-601 Lublin</t>
  </si>
  <si>
    <t>Klub Uczelniany AZS UMCS; ul. Langiewicza 22, 20-032 Lublin</t>
  </si>
  <si>
    <t>Lubelski Klub Sportowy Taekwon-do; ul. Nowowiejskiego 1/1, 20-880 Lublin</t>
  </si>
  <si>
    <t>dotacja celowa z budżetu państwa na utrzymanie zespołu do spraw orzekania o niepełnosprawności</t>
  </si>
  <si>
    <t>Wydatki na 2007 rok</t>
  </si>
  <si>
    <t xml:space="preserve">Ogółem </t>
  </si>
  <si>
    <t>stołówki szkolne, z tego:</t>
  </si>
  <si>
    <t>Świadczenia społeczne</t>
  </si>
  <si>
    <t xml:space="preserve">Gospodarka komunalna i ochrona środowiska </t>
  </si>
  <si>
    <t>Zadania realizowane na podstawie porozumień i umów</t>
  </si>
  <si>
    <t>1.2 Wydział Finansowy</t>
  </si>
  <si>
    <t>Wydatki na 2006 rok z późn. zm.,  
z tego ze środków:</t>
  </si>
  <si>
    <t>Wydatki na 2007 rok z późn. zm.,  
z tego ze środków:</t>
  </si>
  <si>
    <t>Wydatki na 2008 rok z późn. zm.,  
z tego ze środków:</t>
  </si>
  <si>
    <t>budowa ul. Gnieźnieńskiej nr 106846L w Lublinie</t>
  </si>
  <si>
    <t>inwestycje realizowane przy udziale mieszkańców i innych podmiotów</t>
  </si>
  <si>
    <t>Załącznik nr 6</t>
  </si>
  <si>
    <t>Planowane wydatki na wieloletnie programy i projekty inwestycyjne współfinansowane ze środków</t>
  </si>
  <si>
    <t>europejskich w latach 2006-2008</t>
  </si>
  <si>
    <t>Wydatki na 2006 rok po zmianach, 
z tego ze środków:</t>
  </si>
  <si>
    <t>Urząd Miasta Lublin</t>
  </si>
  <si>
    <t>2004-2007</t>
  </si>
  <si>
    <t>§ 4010</t>
  </si>
  <si>
    <t xml:space="preserve">Wynagrodzenia </t>
  </si>
  <si>
    <t>osobowe</t>
  </si>
  <si>
    <t>pracowników</t>
  </si>
  <si>
    <t>§ 3020</t>
  </si>
  <si>
    <t>niezaliczone</t>
  </si>
  <si>
    <t xml:space="preserve">do </t>
  </si>
  <si>
    <t>wynagrodzeń</t>
  </si>
  <si>
    <t>na</t>
  </si>
  <si>
    <t>§ 4440</t>
  </si>
  <si>
    <t>Odpisy</t>
  </si>
  <si>
    <t>zakładowy</t>
  </si>
  <si>
    <t>fundusz</t>
  </si>
  <si>
    <t>świadczeń</t>
  </si>
  <si>
    <t>socjalnych</t>
  </si>
  <si>
    <t>rozdz. 80101 - Szkoły podstawowe - akcja "Bezpieczna droga"</t>
  </si>
  <si>
    <t>akcja "Bezpieczna droga"</t>
  </si>
  <si>
    <t>Odpisy na zakładowy fundusz świadczeń socjalnych</t>
  </si>
  <si>
    <t>wynagrodzenia</t>
  </si>
  <si>
    <t>rozdz. 80103 - Oddziały przedszkolne w szkołach podstawowych</t>
  </si>
  <si>
    <t>Młodzieżowy Dom Kultury</t>
  </si>
  <si>
    <t xml:space="preserve">stypendia oraz inne formy pomocy dla uczniów </t>
  </si>
  <si>
    <t>wspieranie sportu kwalifikowanego</t>
  </si>
  <si>
    <t>Załącznik nr 12</t>
  </si>
  <si>
    <t>Załącznik nr 4</t>
  </si>
  <si>
    <t>Planowane wydatki na programy i projekty realizowane ze środków pochodzących z budżetu Unii Europejskiej</t>
  </si>
  <si>
    <t>Wydatki na 2008 rok 
z tego ze środków:</t>
  </si>
  <si>
    <t>2005-2007</t>
  </si>
  <si>
    <t>6. Pogotowie Opiekuńcze</t>
  </si>
  <si>
    <t>10. Dom Pomocy Społecznej dla Osób Niepełnosprawnych Fizycznie</t>
  </si>
  <si>
    <t>inwestycje w ramach projektu "Zintegrowane oznakowanie turystyczne Lublina"</t>
  </si>
  <si>
    <r>
      <t>zakupy inwestycyjne</t>
    </r>
    <r>
      <rPr>
        <b/>
        <sz val="10"/>
        <rFont val="Arial CE"/>
        <family val="0"/>
      </rPr>
      <t xml:space="preserve"> </t>
    </r>
  </si>
  <si>
    <t xml:space="preserve">                                </t>
  </si>
  <si>
    <t xml:space="preserve"> budowa ul. Gnieźnieńskiej nr 106846 L 
w Lublinie</t>
  </si>
  <si>
    <t>budowa odcinka od ul. Wojciechowskiej 
do ul. Nałęczowskiej o dł. 0,8 km wraz 
z odwodnieniem i zbiornikiem retencyjnym</t>
  </si>
  <si>
    <t>Dotacje celowe z budżetu państwa na zadania z zakresu administracji rządowej</t>
  </si>
  <si>
    <t>rozdz. 80146 - Dokształcanie 
i doskonalenie nauczycieli</t>
  </si>
  <si>
    <t>Zespół Szkół Włókienniczych 
(XXIII LO)</t>
  </si>
  <si>
    <t>rezerwa budżetowa</t>
  </si>
  <si>
    <t>inwestycje, z tego:</t>
  </si>
  <si>
    <t>Zakup usług dostępu do sieci Internet</t>
  </si>
  <si>
    <t>Przedszkole nr 3</t>
  </si>
  <si>
    <t>Przedszkole nr 5</t>
  </si>
  <si>
    <t>Przedszkole nr 6</t>
  </si>
  <si>
    <t>Przedszkole nr 7</t>
  </si>
  <si>
    <t>Przedszkole nr 9</t>
  </si>
  <si>
    <t>Przedszkole nr 12</t>
  </si>
  <si>
    <t>Przedszkole nr 13</t>
  </si>
  <si>
    <t>Przedszkole nr 14</t>
  </si>
  <si>
    <t>Przedszkole nr 15</t>
  </si>
  <si>
    <t>Przedszkole nr 18</t>
  </si>
  <si>
    <t>Przedszkole nr 19</t>
  </si>
  <si>
    <t>Przedszkole nr 22</t>
  </si>
  <si>
    <t>Przedszkole nr 26</t>
  </si>
  <si>
    <t>Przedszkole nr 28</t>
  </si>
  <si>
    <t>Przedszkole nr 33</t>
  </si>
  <si>
    <t>Przedszkole nr 34</t>
  </si>
  <si>
    <t>Przedszkole nr 35</t>
  </si>
  <si>
    <t>Przedszkole nr 37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</si>
  <si>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</si>
  <si>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</si>
  <si>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</si>
  <si>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</si>
  <si>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</si>
  <si>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</si>
  <si>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49</t>
  </si>
  <si>
    <t>Przedszkole nr 53</t>
  </si>
  <si>
    <t>Przedszkole nr 57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</si>
  <si>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</si>
  <si>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</si>
  <si>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</si>
  <si>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</si>
  <si>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</si>
  <si>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</si>
  <si>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70</t>
  </si>
  <si>
    <t>Przedszkole nr 73</t>
  </si>
  <si>
    <t>Przedszkole nr 74</t>
  </si>
  <si>
    <t>Przedszkole nr 75</t>
  </si>
  <si>
    <t>Przedszkole nr 76</t>
  </si>
  <si>
    <t>Przedszkole nr 77</t>
  </si>
  <si>
    <t>Przedszkole nr 79</t>
  </si>
  <si>
    <t>Przedszkole nr 81</t>
  </si>
  <si>
    <t>Przedszkole nr 83</t>
  </si>
  <si>
    <t>dotacje dla niepublicznych szkół podstawowych</t>
  </si>
  <si>
    <t xml:space="preserve">Katolicka Szkoła Podstawowa im. św. Jadwigi Królowej; Parafia Rzymsko-Katolicka św. Jadwigi Królowej, ul. Koncertowa 15, 20-866 Lublin </t>
  </si>
  <si>
    <t xml:space="preserve">Wykaz zadań miasta realizowanych przez podmioty niezaliczone do sektora </t>
  </si>
  <si>
    <t xml:space="preserve">finansów publicznych </t>
  </si>
  <si>
    <t xml:space="preserve">                                                         w złotych</t>
  </si>
  <si>
    <t>Nazwa działu, rozdziału, zadania</t>
  </si>
  <si>
    <t xml:space="preserve">Dotacja z budżetu na 2006 rok wg uchwały Rady Miasta Lublin nr 849/XXXVI/2005 z dnia 29.12.2005 r. </t>
  </si>
  <si>
    <t>Dotacja po zmianach</t>
  </si>
  <si>
    <t>realizacja programu "Bezpieczny Lublin" - monitoring wizyjny</t>
  </si>
  <si>
    <t>rozdz. 80101 - Szkoły podstawowe - nauczanie języka angielskiego w pierwszych klasach szkół podstawowych</t>
  </si>
  <si>
    <t>Specjalny Ośrodek Szkolno - Wychowawczy dla Dzieci 
i Młodzieży Słabo Widzącej 
(SP S nr 54)</t>
  </si>
  <si>
    <t>Zespół  Szkół  Ekonomicznych 
(XVI LO)</t>
  </si>
  <si>
    <t>Państwowe Szkoły Budownictwa 
i Geodezji (II LP)</t>
  </si>
  <si>
    <t>Specjalny Ośrodek Szkolno-Wychowawczy dla Dzieci 
i Młodzieży Niesłyszącej i Słabo Słyszącej (XVI LPS)</t>
  </si>
  <si>
    <t>Państwowe Szkoły Budownictwa 
i Geodezji</t>
  </si>
  <si>
    <t>Zespół Szkół Chemicznych 
i Przemysłu Spożywczego</t>
  </si>
  <si>
    <t>Centrum Kształcenia Ustawicznego 
nr 1</t>
  </si>
  <si>
    <t>Centrum Kształcenia Ustawicznego 
nr 2</t>
  </si>
  <si>
    <t>rozdz. 85406 - Poradnie psychologiczno-pedagogiczne, 
w tym poradnie specjalistyzne</t>
  </si>
  <si>
    <t>Przeznaczenie dotacji (cel publiczny)</t>
  </si>
  <si>
    <t>Zadania z zakresu oświaty</t>
  </si>
  <si>
    <t>rezerwa celowa na uruchomienie od 1 września 2006 roku nowych segmentów w szkołach</t>
  </si>
  <si>
    <t>rezerwa celowa na uruchomienie od 1 września 2006 roku nowych segmentów 
w szkołach</t>
  </si>
  <si>
    <t>modernizacje i termomodernizacje obiektów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</si>
  <si>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 wychowawczych i socjoterapeutycznych</t>
  </si>
  <si>
    <t>funkcjonowanie Rady Miasta</t>
  </si>
  <si>
    <t>Kolonie i obozy oraz inne formy wypoczynku dzieci i młodzieży szkolnej, a także szkolenia młodzieży</t>
  </si>
  <si>
    <t>Dotacje celowe otrzymane z budżetu państwa na realizację zadań bieżących z zakresu administracji rządowej oraz innych zadań zleconych gminie ustawami</t>
  </si>
  <si>
    <t>Dotacja celowa z budżetu na finansowanie lub dofinansowanie zadań zleconych do realizacji stowarzyszeniom</t>
  </si>
  <si>
    <t>dotacje dla publicznych i niepublicznych przedszkoli</t>
  </si>
  <si>
    <t xml:space="preserve">Wydatki na zadania realizowane na podstawie porozumień i umów </t>
  </si>
  <si>
    <t>Przedszkole nr 31</t>
  </si>
  <si>
    <t>Przedszkole nr 52</t>
  </si>
  <si>
    <t>Przedszkole nr 72</t>
  </si>
  <si>
    <t>Przedszkole nr 2</t>
  </si>
  <si>
    <t>Przedszkole nr 32</t>
  </si>
  <si>
    <t>Przedszkole nr 50</t>
  </si>
  <si>
    <t>Przedszkole nr 54</t>
  </si>
  <si>
    <t>Przedszkole nr 56</t>
  </si>
  <si>
    <t xml:space="preserve">dowożenie uczniów </t>
  </si>
  <si>
    <t>prowadzenie profilaktycznej działalności informacyjnej i edukacyjnej 
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</si>
  <si>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zadania realizowane w ramach Gminnego Programu Profilaktyki 
i Rozwiązywania Problemów Alkoholowych, w tym:</t>
  </si>
  <si>
    <t>Wydatki na 2007 rok z późn. zm.
z tego ze środków:</t>
  </si>
  <si>
    <t>Wydatki na 2008 rok z późn. zm.
z tego ze środków:</t>
  </si>
  <si>
    <t>Wydatki na 2007 rok po zmianach
z tego ze środków:</t>
  </si>
  <si>
    <t>Wydatki na 2008 rok po zmianach
z tego ze środków:</t>
  </si>
  <si>
    <t>Łączne nakłady finansowe
po zmianach</t>
  </si>
  <si>
    <t>Zrealizowane nakłady finansowe
po zmianach</t>
  </si>
  <si>
    <t>Wydatki na 2007 rok po zmianach, 
z tego ze środków:</t>
  </si>
  <si>
    <t>Wydatki na 2008 rok po zmianach, 
z tego ze środków:</t>
  </si>
  <si>
    <t>Skarbnik Miasta Lublin</t>
  </si>
  <si>
    <t xml:space="preserve">   mgr Irena Szumlak</t>
  </si>
  <si>
    <t>PREZYDENT MIASTA LUBLIN</t>
  </si>
  <si>
    <t xml:space="preserve">       Andrzej Pruszkowski</t>
  </si>
  <si>
    <t>Wydatki na 2006 rok
ogółem
z późn. zm.</t>
  </si>
  <si>
    <t xml:space="preserve">
z tego ze środków:</t>
  </si>
  <si>
    <t>Wydatki na 2006 rok
ogółem
po zmianach</t>
  </si>
  <si>
    <t>infrastruktura techniczna dla inwestorów budownictwa wielorodzinnego</t>
  </si>
  <si>
    <t>Promocja jednostek samorządu terytorialnego</t>
  </si>
  <si>
    <t>Załącznik nr 1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</si>
  <si>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</si>
  <si>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(nazwa działu, rozdziału, zadania)</t>
  </si>
  <si>
    <t>w tym: inwestycje</t>
  </si>
  <si>
    <t>w tym: remonty</t>
  </si>
  <si>
    <t>Zespół Szkół Ogólnokształcących nr 6 (SP nr 17)</t>
  </si>
  <si>
    <t>rozdz. 85407 - Placówki wychowania pozaszkolnego</t>
  </si>
  <si>
    <t>Przedszkole nr 4</t>
  </si>
  <si>
    <t>Przedszkole nr 10</t>
  </si>
  <si>
    <t>Przedszkole nr 25</t>
  </si>
  <si>
    <t>Przedszkole nr 78</t>
  </si>
  <si>
    <t>rozdz. 85446 - Dokształcanie 
i doskonalenie nauczycieli</t>
  </si>
  <si>
    <t>Młodzieżowy Dom Kultury nr 2</t>
  </si>
  <si>
    <t>Szkoła Podstawowa nr 46</t>
  </si>
  <si>
    <t>Zespół Szkół Ogólnokształcących nr 4 (SP nr 44)</t>
  </si>
  <si>
    <t>Szkoła Podstawowa nr 25</t>
  </si>
  <si>
    <t>rozdz. 80113 - Dowożenie uczniów do szkół</t>
  </si>
  <si>
    <t>rozdz. 80121 - Licea ogólnokształcące specjalne</t>
  </si>
  <si>
    <t>rozdz. 80123 - Licea profilowane</t>
  </si>
  <si>
    <t>§ 4280</t>
  </si>
  <si>
    <t>zdrowotnych</t>
  </si>
  <si>
    <t>sprzątanie przystanków i utrzymanie wiat przystankowych</t>
  </si>
  <si>
    <t>Kary i odszkodowania wypłacane na rzecz osób prawnych i innych jednostek organizacyjnych</t>
  </si>
  <si>
    <t>przebudowa ulic: Mełgiewskiej, Metalurgicznej i częściowo Grygowej w celu połączenia z węzłem drogowym obwodnicy Mełgiew</t>
  </si>
  <si>
    <t>Zespoły do spraw orzekania o niepełnosprawności</t>
  </si>
  <si>
    <t>Zespół Szkół Ogólnokształcących nr 2 (SP nr 11)</t>
  </si>
  <si>
    <t>Zespół Szkół Ogólnokształcących nr 5 (SP nr 22)</t>
  </si>
  <si>
    <t>Zespół Szkół nr 4 (SP nr 49)</t>
  </si>
  <si>
    <t>Zespół Szkół nr 4</t>
  </si>
  <si>
    <t>Zespół Szkół nr 4 (SP S nr 26)</t>
  </si>
  <si>
    <t>Specjalny Ośrodek Szkolno-Wychowawczy nr 2 (SP S nr 53)</t>
  </si>
  <si>
    <t>Specjalny Ośrodek Szkolno - Wychowawczy dla Dzieci 
i Młodzieży Niesłyszącej i Słabo Słyszącej (SP S nr 55)</t>
  </si>
  <si>
    <t>rozdz. 80102 - Szkoły podstawowe specjalne</t>
  </si>
  <si>
    <t>rozdz. 80105 - Przedszkola specjalne</t>
  </si>
  <si>
    <t>Przedszkole Specjalne nr 11</t>
  </si>
  <si>
    <t>Zespół Szkół nr 6 (G nr 4 i G dla Dorosłych)</t>
  </si>
  <si>
    <t>rozdz. 80111 - Gimnazja specjalne</t>
  </si>
  <si>
    <t>Zespół Szkół nr 4 (GS nr 20)</t>
  </si>
  <si>
    <t>Specjalny Ośrodek Szkolno-Wychowawczy nr 2  (GS nr 21)</t>
  </si>
  <si>
    <t>Specjalny Ośrodek Szkolno-Wychowawczy dla Dzieci
i Młodzieży Niesłyszącej i Słabo Słyszącej (GS nr 23)</t>
  </si>
  <si>
    <t>Zespół Szkół Elektronicznych (X LO)</t>
  </si>
  <si>
    <t>Państwowe Szkoły Budownictwa i Geodezji (XI LO)</t>
  </si>
  <si>
    <t>Zespół Szkół Ogólnokształcących nr 1 (XIV LO)</t>
  </si>
  <si>
    <t>Zespół Szkół nr 1 (XV LO)</t>
  </si>
  <si>
    <t>Zespół Szkół Ogólnokształcących nr 2 (XVIII LO)</t>
  </si>
  <si>
    <t>Zespół Szkół Ogólnokształcących nr 5 (XIX LO)</t>
  </si>
  <si>
    <t>Zespół Szkół Ogólnokształcących nr 4 (XX LO)</t>
  </si>
  <si>
    <t>Zespół Szkół Ogólnokształcących nr 6 (XXII LO)</t>
  </si>
  <si>
    <t>Zespół Szkół nr 5 (XXIV LO)</t>
  </si>
  <si>
    <t>Specjalny Ośrodek Szkolno-Wychowawczy dla Dzieci
i Młodzieży Słabo Widzącej</t>
  </si>
  <si>
    <t>Zespół Szkół Ekonomicznych (V LP)</t>
  </si>
  <si>
    <t>Zespół Szkół nr 5 (VII LP)</t>
  </si>
  <si>
    <t>Zespół Szkół nr 3 (XI LP z Oddziałami Integracyjnymi)</t>
  </si>
  <si>
    <t>Zespół Szkół Budowlanych (XIII LP)</t>
  </si>
  <si>
    <t>Zespół Szkół Elektronicznych (XX LP)</t>
  </si>
  <si>
    <t>Specjalny Ośrodek Szkolno-Wychowawczy nr 1</t>
  </si>
  <si>
    <t>rozdz. 80140 - Centra kształcenia ustawicznego i praktycznego oraz ośrodki dokształcania zawodowego</t>
  </si>
  <si>
    <t>Pogotowie Opiekuńcze</t>
  </si>
  <si>
    <t>prowadzenie innowacyjnych zajęć edukacyjnych dla dzieci i młodzieży niepełnosprawnej</t>
  </si>
  <si>
    <t>Specjalny Ośrodek Szkolno - Wychowawczy dla Dzieci 
i Młodzieży Niesłyszącej i Słabo Słyszącej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</si>
  <si>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</si>
  <si>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</si>
  <si>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</si>
  <si>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</si>
  <si>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</si>
  <si>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Bursa Szkolna nr 1</t>
  </si>
  <si>
    <t>Bursa Szkolna nr 3</t>
  </si>
  <si>
    <t>Bursa Szkolna nr 5</t>
  </si>
  <si>
    <t xml:space="preserve">Zespół Szkół Budowlanych </t>
  </si>
  <si>
    <t>Zespół Szkół Transportowo-Komunikacyjnych</t>
  </si>
  <si>
    <t>program wyrównywania szans edukacyjnych dzieci i młodzieży</t>
  </si>
  <si>
    <t>Lebelskie Centrum Edukacji Zawodowej</t>
  </si>
  <si>
    <t>Zespół Szkół Ogólnokształcących nr 1 (SP nr 45)</t>
  </si>
  <si>
    <t>Pogotowie Opiekuńcze (SP)</t>
  </si>
  <si>
    <t>§ 4350</t>
  </si>
  <si>
    <t xml:space="preserve">dostępu </t>
  </si>
  <si>
    <t>do sieci</t>
  </si>
  <si>
    <t>Internet</t>
  </si>
  <si>
    <t>Specjalny Ośrodek Szkolno - Wychowawczy dla Dzieci 
i Młodzieży Słabo Widzącej</t>
  </si>
  <si>
    <t>Zespół Szkół Ogólnokształcących nr 4 (G nr 6)</t>
  </si>
  <si>
    <t>Gimnazjum nr 24</t>
  </si>
  <si>
    <t>Specjalny Ośrodek Szkolno-Wychowawczy dla Dzieci 
i Młodzieży Słabo Widzącej (GS nr 22)</t>
  </si>
  <si>
    <t>Zespół Szkół Chemicznych i Przemysłu Spożywczego (XII LO)</t>
  </si>
  <si>
    <t>Zespół Szkół nr 1 (I LP)</t>
  </si>
  <si>
    <t>Zespół Szkół Energetycznych (IV LP)</t>
  </si>
  <si>
    <t>Zespół Szkół Chemicznych i Przemysłu Spożywczego (VI LP)</t>
  </si>
  <si>
    <t>Zespół Szkół Odzieżowo-Włókienniczych (X LP)</t>
  </si>
  <si>
    <t>Zespół Szkół nr 6 (XVII LP dla Dorosłych)</t>
  </si>
  <si>
    <t>Zespół Szkół Włókienniczych (XIX LP)</t>
  </si>
  <si>
    <t>rozdz. 80124 - Licea profilowane specjalne</t>
  </si>
  <si>
    <t>Zespół Poradni nr 1</t>
  </si>
  <si>
    <t>Centra kształcenia ustawicznego i praktycznego oraz ośrodki dokształcania zawodowego</t>
  </si>
  <si>
    <t>rozdz. 80134 - Szkoły zawodowe specjalne</t>
  </si>
  <si>
    <t>rozdz. 85401 - Świetlice szkolne</t>
  </si>
  <si>
    <t>rozdz. 85410 -  Internaty i bursy szkolne</t>
  </si>
  <si>
    <t>Bursa Szkolna nr 2</t>
  </si>
  <si>
    <t>Szkoła Podstawowa nr 40</t>
  </si>
  <si>
    <t>IX Liceum Ogólnokształcące</t>
  </si>
  <si>
    <t>rozdz. 85417 - Szkolne schroniska młodzieżowe</t>
  </si>
  <si>
    <t>Szkolne Schronisko Młodzieżowe</t>
  </si>
  <si>
    <t>Szkoła Podstawowa nr 7</t>
  </si>
  <si>
    <t>Gimnazjum nr 13</t>
  </si>
  <si>
    <t>Zespół Szkół Budowlanych</t>
  </si>
  <si>
    <t>remont obiektu</t>
  </si>
  <si>
    <t>Jednostki specjalistycznego poradnictwa, mieszkania chronione i ośrodki interwencji kryzysowej</t>
  </si>
  <si>
    <t>mieszkania chronione</t>
  </si>
  <si>
    <t>remont mieszkań chronionych</t>
  </si>
  <si>
    <t>Zakup usług remontowych</t>
  </si>
  <si>
    <t>Drogi wewnętrzne</t>
  </si>
  <si>
    <t>remonty, z tego:</t>
  </si>
  <si>
    <t>remont mostów</t>
  </si>
  <si>
    <t>remonty, w tym:</t>
  </si>
  <si>
    <t xml:space="preserve">Dotacje podmiotowe z budżetu dla publicznej jednostki systemu oświaty prowadzonej przez osobę prawną inną niż jednostka samorządu terytorialnego oraz przez osobę fizyczną </t>
  </si>
  <si>
    <t>Katolicka Szkoła Podstawowa im. św Jadwigi Królowej; Parafia Rzymsko-Katolicka św. Jadwigi Królowej, ul. Koncertowa 15, 20-866 Lublin</t>
  </si>
  <si>
    <t>Pierwsza Społeczna Szkoła Podstawowa; Społeczne Stowarzyszenie Edukacyjne, ul. Herbowa 18 A, 20-551 Lublin</t>
  </si>
  <si>
    <t>Prywatne Przedszkole Językowo-Artystyczne "Nasze Przedszkole"; Adriana Michalewska, ul. Reja 8/39, 32-305 Olkusz</t>
  </si>
  <si>
    <t>Przedszkole Niepubliczne im. św. Józefa; Zgromadzenie Sióstr św. Józefa z Cluny, ul. Ks. Michała Słowikowskiego 1a, 20-124 Lublin</t>
  </si>
  <si>
    <t>Przedszkole Niepubliczne z Oddziałami Integracyjnymi im. bł. Bolesławy Lament; Zgromadzenie Sióstr Misjonarek św. Rodziny, ul. Słowackiego 11, 
05-806 Komorów k. Warszawy</t>
  </si>
  <si>
    <t>Przedszkole Prywatne "JAGODY"; Jadwiga Puła, ul. Skierki 1/77, 20-601 Lublin</t>
  </si>
  <si>
    <t>modernizacja węzła cieplnego i kotłowni, wymiana instalacji centralnego ogrzewania oraz okien i drzwi zewnętrznych, docieplenie dachu, stropodachu i ścian zewnętrznych</t>
  </si>
  <si>
    <t>Przedszkole Prywatne "PIOTRUŚ PAN"; Mirosława Kamienobrodzka, 
ul. Krasińskiego 3/53, 20-709 Lublin</t>
  </si>
  <si>
    <t>Przedszkole Sióstr Urszulanek Serca Jezusa Konającego; Zgromadzenie Sióstr Urszulanek SJK DOM ZAKONNY, ul. Orlanda 15-17, 20-712 Lublin</t>
  </si>
  <si>
    <t>Przedszkole Sióstr Urszulanek Serca Jezusa Konającego; Zgromadzenie Sióstr Urszulanek SJK DOM ZAKONNY, ul. Sudecka 49-53, 20-867 Lublin</t>
  </si>
  <si>
    <t>Przedszkole Parafialne im. bł. Honorata Koźmińskiego; Parafia Rzymsko-Katolicka św. Stanisława Biskupa i Męczennika, ul. Zbożowa 75, 20-827 Lublin</t>
  </si>
  <si>
    <t>Przedszkole Niepubliczne im. św. Józefa; Zgromadzenie Sióstr św. Józefa z Cluny, ul. ks. Michała Słowikowskiego 1a, 20-124 Lublin</t>
  </si>
  <si>
    <t>w tym: zakupy inwestycyjne</t>
  </si>
  <si>
    <t>4. Zespół Placówek Wsparcia Dziecka 
i Rodziny</t>
  </si>
  <si>
    <t>Zespół Szkół Ogólnokształcących nr 5</t>
  </si>
  <si>
    <t>V Liceum Ogólnokształcące</t>
  </si>
  <si>
    <t>Zespół Szkół Ekonomicznych</t>
  </si>
  <si>
    <t>Zespół Szkół Włókienniczych</t>
  </si>
  <si>
    <t>Zespół Szkół nr 6</t>
  </si>
  <si>
    <t>3. Zespół Placówek Opiekuńczo-Wychowawczych "Pogodny Dom"</t>
  </si>
  <si>
    <t>1.6 Wydział Organizacyjny</t>
  </si>
  <si>
    <t>modernizacja Szkoły Podstawowej nr 30</t>
  </si>
  <si>
    <t>realizacja projektu utworzenia Gminnego Centrum Informacji</t>
  </si>
  <si>
    <t>Straż miejska</t>
  </si>
  <si>
    <t>Wpłaty na Państwowy Fundusz Rehabilitacji Osób Niepełnosprawnych</t>
  </si>
  <si>
    <t>1.7 Wydział Oświaty i Wychowania</t>
  </si>
  <si>
    <t>dotacja celowa z budżetu państwa na tworzenie, przekształcenie 
i utrzymanie specjalistycznych ośrodków wsparcia dla dla ofiar przemocy w rodzinie</t>
  </si>
  <si>
    <t>Zespoły do spraw orzekania 
o niepełnosprawności</t>
  </si>
  <si>
    <t>1.1 Wydział Bezpieczeństwa Mieszkańców 
i Zarządzania Kryzysowego</t>
  </si>
  <si>
    <t>realizacja zadań wynikających ze strategii działań na rzecz osób niepełnosprawnych</t>
  </si>
  <si>
    <t>zadania realizowane w ramach Gminnego Programu Profilaktyki 
i Rozwiązywania Problemów Alkoholowych</t>
  </si>
  <si>
    <t xml:space="preserve">monitoring wizyjny w ramach programu "Bezpieczny Lublin" </t>
  </si>
  <si>
    <t>11.  Szkoły i placówki oświatowe</t>
  </si>
  <si>
    <t>usunięcie awarii rurociągu tłocznego odprowadzającego odcieki 
z II niecki składowiska w Rokitnie - remonty</t>
  </si>
  <si>
    <t>przebudowa ulicy na odcinku o dł. 0,95 km w zakresie dostosowania do obciążenia 100 kN/oś</t>
  </si>
  <si>
    <t>2005-2008</t>
  </si>
  <si>
    <t>przebudowa ulicy Mełgiewskiej na odcinku o dł.
 0,85 km (od ul. Gospodarczej do końca odcinka dwujezdniowego) w zakresie dostosowania do obciążenia 100 kN/oś</t>
  </si>
  <si>
    <t>Powiatowe urzędy pracy</t>
  </si>
  <si>
    <t>Cmentarze</t>
  </si>
  <si>
    <t>Gospodarka nieruchomościami</t>
  </si>
  <si>
    <t xml:space="preserve">Wydatki na zadania realizowane na podstawie porozumień 
i umów </t>
  </si>
  <si>
    <t>Wynagrodzenia osobowe pracowników</t>
  </si>
  <si>
    <t>Harmonogram realizacji wydatków budżetu miasta w 2006 roku</t>
  </si>
  <si>
    <t>Prezydenta Miasta Lublin</t>
  </si>
  <si>
    <t>w złotych</t>
  </si>
  <si>
    <t>Treść</t>
  </si>
  <si>
    <t>Plan</t>
  </si>
  <si>
    <t>Miesiące</t>
  </si>
  <si>
    <t>Dział</t>
  </si>
  <si>
    <t>Rozdz.</t>
  </si>
  <si>
    <t>(nazwa działu, rozdziału)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</si>
  <si>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</si>
  <si>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</si>
  <si>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</si>
  <si>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</si>
  <si>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</si>
  <si>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</si>
  <si>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</si>
  <si>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</si>
  <si>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</si>
  <si>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</si>
  <si>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</si>
  <si>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</si>
  <si>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 ogółem</t>
  </si>
  <si>
    <t>z tego:</t>
  </si>
  <si>
    <t>1. Urząd Miasta</t>
  </si>
  <si>
    <t>Wydatki na zadania własne</t>
  </si>
  <si>
    <t>Bezpieczeństwo publiczne i ochrona przeciwpożarowa</t>
  </si>
  <si>
    <t>Różne rozliczenia</t>
  </si>
  <si>
    <t>Rezerwy ogólne i celowe</t>
  </si>
  <si>
    <t>Transport i łączność</t>
  </si>
  <si>
    <t>Lokalny transport zbiorowy</t>
  </si>
  <si>
    <t>Pozostała działalność</t>
  </si>
  <si>
    <t>Oświata i wychowanie</t>
  </si>
  <si>
    <t>Pomoc społeczna</t>
  </si>
  <si>
    <t>Edukacyjna opieka wychowawcza</t>
  </si>
  <si>
    <t>Ochrona zdrowia</t>
  </si>
  <si>
    <t>Administracja publiczna</t>
  </si>
  <si>
    <t xml:space="preserve">Podział planowanych dochodów i wydatków budżetu miasta </t>
  </si>
  <si>
    <t>na 2006 rok według jednostek organizacyjnych realizujących budżet</t>
  </si>
  <si>
    <t xml:space="preserve">Rozdz.      </t>
  </si>
  <si>
    <t>§</t>
  </si>
  <si>
    <t xml:space="preserve">Treść   </t>
  </si>
  <si>
    <t>Dochody</t>
  </si>
  <si>
    <t>Wydatki</t>
  </si>
  <si>
    <t>Zmniejszenia</t>
  </si>
  <si>
    <t>Zwiększenia</t>
  </si>
  <si>
    <t>Ogółem</t>
  </si>
  <si>
    <t xml:space="preserve">Wydatki na zadania własne </t>
  </si>
  <si>
    <t>Zakup materiałów i wyposażenia</t>
  </si>
  <si>
    <t>Zakup usług pozostałych</t>
  </si>
  <si>
    <t>Rezerwy</t>
  </si>
  <si>
    <t>Urzędy miast i miast na prawach powiatu</t>
  </si>
  <si>
    <t>wydatki rzeczowe</t>
  </si>
  <si>
    <t>Wydatki budżetu miasta na 2006 rok</t>
  </si>
  <si>
    <t>Dz.</t>
  </si>
  <si>
    <t>przebudowa al. Andersa od al. Spółdzielczości Pracy do ul. Koryznowej (wraz z rondem gen. Berbeckiego) w Lublinie</t>
  </si>
  <si>
    <t>Wydatki                                                                                                                               (nazwa działu, rozdziału, zadania, paragrafu)</t>
  </si>
  <si>
    <t xml:space="preserve">Plan według uchwały    
nr 849/XXXVI/2005                              
Rady Miasta Lublin
z 29.12.2005 r. 
z późn. zm.                      </t>
  </si>
  <si>
    <t>Plan po zmianach</t>
  </si>
  <si>
    <t>Przeciwdziałanie alkoholizmowi</t>
  </si>
  <si>
    <t>Wynagrodzenia bezosobowe</t>
  </si>
  <si>
    <t>Wydatki na zadania realizowane na podstawie porozumień i umów</t>
  </si>
  <si>
    <t>Wydatki na zadania zlecone, z tego:</t>
  </si>
  <si>
    <t>Wydatki na zadania ustawowo zlecone gminie</t>
  </si>
  <si>
    <t>Wydatki na zadania z zakresu administracji rządowej wykonywane przez powiat</t>
  </si>
  <si>
    <t>Gospodarka mieszkaniowa</t>
  </si>
  <si>
    <t>Gospodarka gruntami i nieruchomościami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</si>
  <si>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</si>
  <si>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</si>
  <si>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związanych z realizacją powyższych zadań na 2006 rok</t>
  </si>
  <si>
    <t>Zmiany</t>
  </si>
  <si>
    <t>Plan wydatków 
po zmianach</t>
  </si>
  <si>
    <t>Rozdz.
§</t>
  </si>
  <si>
    <t>(nazwa działu, rozdziału, źródła dochodów, zadania, paragrafu)</t>
  </si>
  <si>
    <t>Zadania zlecone ogółem</t>
  </si>
  <si>
    <t>Zadania ustawowo zlecone gminie</t>
  </si>
  <si>
    <t>Zadania z zakresu administracji rządowej wykonywane przez powiat</t>
  </si>
  <si>
    <t>Pozostałe zadania w zakresie polityki społecznej</t>
  </si>
  <si>
    <t>pochodne od wynagrodzeń</t>
  </si>
  <si>
    <t>Szkoły zawodowe</t>
  </si>
  <si>
    <t xml:space="preserve">Przedszkola </t>
  </si>
  <si>
    <t>Zakup usług remontowych - remonty przedszkoli</t>
  </si>
  <si>
    <t>inwestycyjne</t>
  </si>
  <si>
    <t>jednostek</t>
  </si>
  <si>
    <t>budżetowych</t>
  </si>
  <si>
    <t>Wydatki na zakupy inwestycyjne jednostek budżetowych</t>
  </si>
  <si>
    <t>remonty przedszkoli</t>
  </si>
  <si>
    <t>Dochody
według zarządzenia   
nr 20/2006                              
Prezydenta Miasta Lublin
z 19.01.2006 r.
z późn. zm.</t>
  </si>
  <si>
    <t>Wydatki
według zarządzenia   
nr 20/2006                              
Prezydenta Miasta Lublin
z 19.01.2006 r.
z późn. zm.</t>
  </si>
  <si>
    <t>Dotacja podmiotowa z budżetu dla niepublicznej jednostki systemu oświaty</t>
  </si>
  <si>
    <t>Poradnie psychologiczno - pedagogiczne, w tym poradnie specjalistyczne</t>
  </si>
  <si>
    <t>Podróże służbowe zagraniczne</t>
  </si>
  <si>
    <t>Placówki oświatowe - zmiany</t>
  </si>
  <si>
    <t>Inwestycje</t>
  </si>
  <si>
    <t>Pochodne od wynagrodzeń</t>
  </si>
  <si>
    <t>Wydatki rzeczowe</t>
  </si>
  <si>
    <t>Podróże</t>
  </si>
  <si>
    <t>Różne</t>
  </si>
  <si>
    <t>służbowe</t>
  </si>
  <si>
    <t>opłaty</t>
  </si>
  <si>
    <t>krajowe</t>
  </si>
  <si>
    <t>i składki</t>
  </si>
  <si>
    <t>OGÓŁEM</t>
  </si>
  <si>
    <t>Szkoła Podstawowa nr 30</t>
  </si>
  <si>
    <t>rozdz. 80110 - Gimnazja</t>
  </si>
  <si>
    <t>Gimnazjum nr 14</t>
  </si>
  <si>
    <t>Gimnazjum nr 15</t>
  </si>
  <si>
    <t>Zadania zlecone</t>
  </si>
  <si>
    <t>z dnia 31 października 2006 r.</t>
  </si>
  <si>
    <t>Zadania z zakresu pomocy społecznej</t>
  </si>
  <si>
    <t>Załącznik nr 13</t>
  </si>
  <si>
    <t>Załącznik nr 14</t>
  </si>
  <si>
    <t>Załącznik nr 15</t>
  </si>
  <si>
    <t>Gimnazjum nr 17</t>
  </si>
  <si>
    <t>rozdz. 80120 - Licea ogólnokształcące</t>
  </si>
  <si>
    <t>I Liceum Ogólnokształcące</t>
  </si>
  <si>
    <t>VII Liceum Ogólnokształcące</t>
  </si>
  <si>
    <t>Szkoła Podstawowa nr 2</t>
  </si>
  <si>
    <t>Szkoła Podstawowa nr 3</t>
  </si>
  <si>
    <t>Szkoła Podstawowa nr 4</t>
  </si>
  <si>
    <t>Szkoła Podstawowa nr 6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</si>
  <si>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</si>
  <si>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</si>
  <si>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</si>
  <si>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</si>
  <si>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</si>
  <si>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</si>
  <si>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Składki na ubezpieczenia społeczne</t>
  </si>
  <si>
    <t>Składki na Fundusz Pracy</t>
  </si>
  <si>
    <t>Zakup energii</t>
  </si>
  <si>
    <t>Zakup usług zdrowotnych</t>
  </si>
  <si>
    <t>Różne opłaty i składki</t>
  </si>
  <si>
    <t>Programy polityki zdrowotnej</t>
  </si>
  <si>
    <t>Podróże służbowe krajowe</t>
  </si>
  <si>
    <t>Nagrody o charakterze szczególnym niezaliczone do wynagrodzeń</t>
  </si>
  <si>
    <t>zadania realizowane w ramach Gminnego Programu Profilaktyki i Rozwiązywania Problemów Alkoholowych, z tego: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</si>
  <si>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</si>
  <si>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Zakup środków żywności</t>
  </si>
  <si>
    <t xml:space="preserve">realizacja zadań wynikających ze strategii działań na rzecz osób niepełnosprawnych, z tego: </t>
  </si>
  <si>
    <t xml:space="preserve">dotacja celowa z budżetu państwa na realizację programów korekcyjno-edukacyjnych dla sprawców przemocy w rodzinie </t>
  </si>
  <si>
    <t>zadania realizowane w ramach Gminnego Programu Profilaktyki i Rozwiązywania Problemów Alkoholowych, w tym:</t>
  </si>
  <si>
    <t xml:space="preserve">realizacja zadań wynikających ze strategii działań na rzecz osób niepełnosprawnych, w tym: </t>
  </si>
  <si>
    <t>rozdz. 85195 - Pozostała działalność</t>
  </si>
  <si>
    <t>rozdz. 85154 - Przeciwdziałanie alkoholizmowi</t>
  </si>
  <si>
    <t>Szkoła Podstawowa nr 27</t>
  </si>
  <si>
    <t>Szkoła Podstawowa nr 28</t>
  </si>
  <si>
    <t>Szkoła Podstawowa nr 29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</si>
  <si>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</si>
  <si>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</si>
  <si>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</si>
  <si>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</si>
  <si>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</si>
  <si>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42</t>
  </si>
  <si>
    <t>Szkoła Podstawowa nr 43</t>
  </si>
  <si>
    <t>termomodernizacja budynku Szkoły Podstawowej nr 29</t>
  </si>
  <si>
    <t>ul. Rudlickiego</t>
  </si>
  <si>
    <t>budowa ul. Gnieźnieńskiej nr 106846 L w Lublinie</t>
  </si>
  <si>
    <t>rozbudowa Szkoły Podstawowej nr 21</t>
  </si>
  <si>
    <t>inwestycje</t>
  </si>
  <si>
    <t>w tym: wynagrodzenia</t>
  </si>
  <si>
    <t>remonty</t>
  </si>
  <si>
    <t>przebudowa al. Smorawińskiego od 
al. Solidarności do al. Kompozytorów Polskich (wraz z rondem)</t>
  </si>
  <si>
    <t>przebudowa ulicy na odcinku o dł. 1,05 km w zakresie dostosowania do obciążenia 100 kN/oś</t>
  </si>
  <si>
    <t>przebudowa al. Andersa od 
al. Spółdzielczości Pracy do ul. Koryznowej (wraz z rondem gen. Berbeckiego) w Lublinie</t>
  </si>
  <si>
    <t>przebudowa ulicy na odcinku o dł. 0, 95 km w zakresie dostosowania do obciążenia 100 kN/oś</t>
  </si>
  <si>
    <t>przebudowa ulic: Mełgiewskiej, Metalurgicznej 
i częściowo Grygowej w celu połączenia  
z węzłem drogowym obwodnicy Mełgiew 
- I etap</t>
  </si>
  <si>
    <r>
      <t>w tym:</t>
    </r>
    <r>
      <rPr>
        <b/>
        <sz val="10"/>
        <rFont val="Arial CE"/>
        <family val="2"/>
      </rPr>
      <t xml:space="preserve">
Zadania własne</t>
    </r>
  </si>
  <si>
    <r>
      <t>w tym:</t>
    </r>
    <r>
      <rPr>
        <b/>
        <sz val="10"/>
        <rFont val="Arial CE"/>
        <family val="2"/>
      </rPr>
      <t xml:space="preserve">
Zadania z zakresu administracji rządowej wykonywane przez powiat</t>
    </r>
  </si>
  <si>
    <t>dotacja na tworzenie, przekształcenie i utrzymanie specjalistycznych ośrodków wsparcia dla ofiar przemocy w rodzinie</t>
  </si>
  <si>
    <t>usunięcie awarii rurociągu tłocznego odprowadzającego ścieki z II niecki składowiska w Rokitnie</t>
  </si>
  <si>
    <t>13. Środowiskowy Dom Samopomocy przy ul. Kalinowszczyzna</t>
  </si>
  <si>
    <t>14. Szkoły i placówki oświatowe</t>
  </si>
  <si>
    <t>Zakup usług remontowych - remonty</t>
  </si>
  <si>
    <t>modernizacja i termomodernizacja obiektu</t>
  </si>
  <si>
    <t>Stowarzyszenie Piłki Ręcznej; ul. Mełgiewska 2, 20-209 Lublin</t>
  </si>
  <si>
    <t xml:space="preserve">Przedszkole Zgromadzenia Sióstr Kanoniczek Ducha Świętego im. bł. Ojca Gwidona; Zgromadzenie Sióstr Kanoniczek Ducha Świętego de Saxia, 
ul. Szpitalna 10, 31-024 Kraków                                                          </t>
  </si>
  <si>
    <t>Przedszkole Sióstr Nazaretanek; Zgromadzenie Sióstr Najświętszej Rodziny 
z Nazaretu, ul. Czerniakowska 137, 00-720 Warszawa</t>
  </si>
  <si>
    <t>Przedszkole Niepubliczne z Oddziałami Integracyjnymi im. bł. Bolesławy Lament; Zgromadzenie Sióstr Misjonarek Św. Rodziny, ul. Słowackiego 11, 
05-806 Komorów k. Warszawy</t>
  </si>
  <si>
    <t>Technikum "Lider"; Centrum Usług Szkoleniowych LIDER Sp. z o.o., 
ul. Radziwiłłowska 5, 20-080 Lublin</t>
  </si>
  <si>
    <t xml:space="preserve">dotacje dla publicznych i niepublicznych szkół zawodowych </t>
  </si>
  <si>
    <t>Zasadnicza Szkoła Wielozawodowa ZDZ; Zakład Doskonalenia Zawodowego, 
ul. Królewska 15, 20-950 Lublin</t>
  </si>
  <si>
    <t>usunięcie awarii rurociągu tłocznego odprowadzającego odcieki z II niecki składowiska w Rokitnie</t>
  </si>
  <si>
    <t>1.2 Wydział Funduszy Europejskich</t>
  </si>
  <si>
    <t>realizacja projektu "Zintegrowane oznakowanie turystyczne Lublina"</t>
  </si>
  <si>
    <t xml:space="preserve">1.3 Wydział Finansowy </t>
  </si>
  <si>
    <t>1.4 Wydział Gospodarki Komunalnej</t>
  </si>
  <si>
    <t>1.5 Wydział Informatyki i Telekomunikacji</t>
  </si>
  <si>
    <t>1.6 Wydział Ochrony Środowiska</t>
  </si>
  <si>
    <t>1.7 Wydział Organizacyjny</t>
  </si>
  <si>
    <t>1.8 Wydział Oświaty i Wychowania</t>
  </si>
  <si>
    <t>1.9 Wydział Spraw Społecznych</t>
  </si>
  <si>
    <t>1.10 Wydział Strategii i Rozwoju</t>
  </si>
  <si>
    <t xml:space="preserve">1.11 Biuro Rady Miasta </t>
  </si>
  <si>
    <t xml:space="preserve">1.12 Kancelaria Prezydenta Miasta </t>
  </si>
  <si>
    <t>Specjalny Ośrodek Szkolno - Wychowawczy Nr 1</t>
  </si>
  <si>
    <t>realizacja projektu "Moja przyszłość"</t>
  </si>
  <si>
    <t>Edukacyjna opieka wychowawcza, w tym</t>
  </si>
  <si>
    <t>Urzędy naczelnych organów władzy państwowej, kontroli 
i ochrony prawa oraz sądownictwa</t>
  </si>
  <si>
    <t>usunięcie awarii rurociągu tłocznego odprowadzającego odcieki 
z II niecki składowiskaw Rokitnie</t>
  </si>
  <si>
    <t>funkcjonowanie jednostek pomocniczych miasta</t>
  </si>
  <si>
    <t>przebudowa al. Smorawińskiego od al. Solidarności 
do al. Kompozytorów Polskich (wraz z rondem)</t>
  </si>
  <si>
    <t>przebudowa al. Andersa od al. Spółdzielczości Pracy 
do ul. Koryznowej (wraz z rondem gen. Berbeckiego) w Lublinie</t>
  </si>
  <si>
    <t>przebudowa ulic: Mełgiewskiej, Metalurgicznej i częściowo Grygowej 
w celu połączenia z węzłem drogowym obwodnicy Mełgiew</t>
  </si>
  <si>
    <t xml:space="preserve">budowa i modernizacja zatok, chodników, parkingów i kładek 
dla pieszych </t>
  </si>
  <si>
    <t>Dotacje celowe i inne środki na zadania realizowane na podstawie porozumień 
i umów</t>
  </si>
  <si>
    <t xml:space="preserve">Zmiany </t>
  </si>
  <si>
    <t>2006 rok</t>
  </si>
  <si>
    <t>w tym: inwestycje - monitoring wizyjny</t>
  </si>
  <si>
    <t>nauczanie języka angielskiego w pierwszych klasach szkół podstawowych</t>
  </si>
  <si>
    <t>pomoc osobom dotkniętym przemocą w rodzinie</t>
  </si>
  <si>
    <t>jednostek pomocniczych miasta na 2006 rok</t>
  </si>
  <si>
    <t>1.3 Wydział Gospodarki Komunalnej</t>
  </si>
  <si>
    <t>1.5 Wydział Ochrony Środowiska</t>
  </si>
  <si>
    <t>4. Zespół Placówek Wsparcia Dziecka i Rodziny</t>
  </si>
  <si>
    <t>6. Rodzinny Dom Dziecka</t>
  </si>
  <si>
    <t>7. Pogotowie Opiekuńcze</t>
  </si>
  <si>
    <t>8. Dom Pomocy Społecznej "Betania"</t>
  </si>
  <si>
    <t>9. Dom Pomocy Społecznej Kalina</t>
  </si>
  <si>
    <t>11.  Miejski Ośrodek Pomocy Rodzinie</t>
  </si>
  <si>
    <t>12.  Miejski Urząd Pracy</t>
  </si>
  <si>
    <t>Szkoła Podstawowa nr 51 w os. Widok</t>
  </si>
  <si>
    <t xml:space="preserve">inwestycje - mur oporowy oddzielający boisko II LO im. Zamoyskiego od posesji Starostwa Powiatowego przy ul. Spokojnej </t>
  </si>
  <si>
    <t>budowa Parków Sportowych - skateparków</t>
  </si>
  <si>
    <t>Ośrodek Sportów Terenowych przy ul. Janowskiej</t>
  </si>
  <si>
    <t xml:space="preserve">rozbudowa Szkoły Podstawowej nr 21 </t>
  </si>
  <si>
    <t>mur oporowy oddzielający boisko II LO im. Zamoyskiego od posesji Starostwa Powiatowego przy ul. Spokojnej</t>
  </si>
  <si>
    <t>przebudowa al. Smorawińskiego od al. Solidarności do al. Kompozytorów Polskich (wraz z rondem)</t>
  </si>
  <si>
    <t>1.9 Wydział Strategii i Rozwoju</t>
  </si>
  <si>
    <t>1.8 Wydział Spraw Społecznych</t>
  </si>
  <si>
    <t>Prywatne Przedszkole "STRUMYK" A. i W. Rożek nr 1; Anna i Wiesław Rożek, 
ul. Lwowska 24/34, 20-128 Lublin</t>
  </si>
  <si>
    <t>Prywatne Przedszkole "STRUMYK" A. i W. Rożek nr 2; Anna i Wiesław Rożek, 
ul. Lwowska 24/34, 20-128 Lublin</t>
  </si>
  <si>
    <t>Prywatne Przedszkole "STRUMYK" A. i W. Rożek nr 3; Anna i Wiesław Rożek, 
ul. Lwowska 24/34, 20-128 Lublin</t>
  </si>
  <si>
    <t>Przedszkole Prywatne "MARTYNKA - BIS"; Izabela Czechowska, 
ul. Urzędowska 150, 20-727 Lublin, Agnieszka Sałaga, ul. Radomska 8, 
20-729 Lublin</t>
  </si>
  <si>
    <t>1.1 Wydział Bezpieczeństwa Mieszkańców i Zarządzania Kryzysowego</t>
  </si>
  <si>
    <t>Zakup usług remontowych - remont obiektu</t>
  </si>
  <si>
    <t>Jednostki specjalistycznego poradnictwa, mieszkania chronione
 i ośrodki interwencji kryzysowej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</si>
  <si>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</si>
  <si>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</si>
  <si>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</si>
  <si>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</si>
  <si>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</si>
  <si>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</si>
  <si>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</si>
  <si>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</si>
  <si>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</si>
  <si>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</si>
  <si>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</si>
  <si>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</si>
  <si>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</si>
  <si>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12</t>
  </si>
  <si>
    <t>Gimnazjum nr 16</t>
  </si>
  <si>
    <t>Gimnazjum nr 18</t>
  </si>
  <si>
    <t>Gimnazjum nr 19</t>
  </si>
  <si>
    <t>II Liceum Ogólnokształcące</t>
  </si>
  <si>
    <t>III Liceum Ogólnokształcące</t>
  </si>
  <si>
    <t>IV Liceum Ogólnokształcące</t>
  </si>
  <si>
    <t>VI Liceum Ogólnokształcące</t>
  </si>
  <si>
    <t>VIII Liceum Ogólnokształcące</t>
  </si>
  <si>
    <t>Zespół Szkół Ogólnokształcących nr 2</t>
  </si>
  <si>
    <t>Zespół Szkół Ogólnokształcących nr 4</t>
  </si>
  <si>
    <t>Zespół Szkół Ogólnokształcących nr 6</t>
  </si>
  <si>
    <t>Zespół Szkół Odzieżowo-Włókienniczych</t>
  </si>
  <si>
    <t>Lubelskie Centrum Edukacji Zawodowej</t>
  </si>
  <si>
    <t>Dział 854 - Edukacyjna opieka wychowawcza</t>
  </si>
  <si>
    <t>Wydatki inwestycyjne jednostek budżetowych</t>
  </si>
  <si>
    <t>Gospodarka komunalna i ochrona środowiska</t>
  </si>
  <si>
    <t xml:space="preserve">wynagrodzenia </t>
  </si>
  <si>
    <t>2. Komenda Straży Miejskiej</t>
  </si>
  <si>
    <t>Straż Miejska</t>
  </si>
  <si>
    <t>inwestycje, w tym:</t>
  </si>
  <si>
    <t>pomoc materialna dla uczniów w ramach Narodowego Programu Stypendialnego</t>
  </si>
  <si>
    <t>Stypendia dla uczniów</t>
  </si>
  <si>
    <t>Inne formy pomocy dla uczniów</t>
  </si>
  <si>
    <t>Wynagrodzenia</t>
  </si>
  <si>
    <t xml:space="preserve">       Nazwa</t>
  </si>
  <si>
    <t>§ 4040</t>
  </si>
  <si>
    <t>§ 4170</t>
  </si>
  <si>
    <t>§ 4110</t>
  </si>
  <si>
    <t>§ 4120</t>
  </si>
  <si>
    <t>§ 3240</t>
  </si>
  <si>
    <t>§ 3260</t>
  </si>
  <si>
    <t>§ 4140</t>
  </si>
  <si>
    <t>§ 4210</t>
  </si>
  <si>
    <t>§ 4240</t>
  </si>
  <si>
    <t>§ 4260</t>
  </si>
  <si>
    <t>§ 4270</t>
  </si>
  <si>
    <t>§ 4300</t>
  </si>
  <si>
    <t>Rady miast i miast na prawach powiatu</t>
  </si>
  <si>
    <t>Różne wydatki na rzecz osób fizycznych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</si>
  <si>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</si>
  <si>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</si>
  <si>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wybory samorządowe</t>
  </si>
  <si>
    <t>dotacja celowa z budżetu państwa na sfinansowanie kosztów przeprowadzenia wyborów samorządowych</t>
  </si>
  <si>
    <t>Planowane wydatki na utrzymanie Rad i Zarządów</t>
  </si>
  <si>
    <t>Wydatki związane z funkcjonowaniem jednostek pomocniczych miasta, 
w tym:</t>
  </si>
  <si>
    <t xml:space="preserve"> Dzielnica Bronowice</t>
  </si>
  <si>
    <t>Dzielnica Bronowice</t>
  </si>
  <si>
    <t>Dzielnica Czuby Północne</t>
  </si>
  <si>
    <t>Dzielnica Ponikwoda</t>
  </si>
  <si>
    <t>Dzielnica Tatary</t>
  </si>
  <si>
    <t>Dzielnica Węglin Południowy</t>
  </si>
  <si>
    <t>realizacja projektu "Lublin Miasto Wiedzy"</t>
  </si>
  <si>
    <t>Dotacje celowe na zadania realizowane na podstawie porozumień i umów</t>
  </si>
  <si>
    <t>dotacja celowa z budżetu państwa na realizację zadań z zakresu utrzymania grobów i cmentarzy wojennych</t>
  </si>
  <si>
    <t>Dotacje celowe otrzymane z budżetu państwa na zadania bieżące realizowane przez gminę na podstawie porozumień z organami administracji rządowej</t>
  </si>
  <si>
    <t>wydatki związane z utrzymaniem grobów i cmentarzy</t>
  </si>
  <si>
    <t>świadczenia dla bezrobotnych za wykonywanie prac społecznie użytecznych</t>
  </si>
  <si>
    <t>Specjalistyczna Poradnia dla Rodzin</t>
  </si>
  <si>
    <t>5. Dom Dziecka im. Janusza Korczaka</t>
  </si>
  <si>
    <t xml:space="preserve">  § 4410</t>
  </si>
  <si>
    <t>§ 4430</t>
  </si>
  <si>
    <t xml:space="preserve">           paragrafu</t>
  </si>
  <si>
    <t>Dodatkowe</t>
  </si>
  <si>
    <t>Wynagro-</t>
  </si>
  <si>
    <t>Składki na</t>
  </si>
  <si>
    <t>Składki</t>
  </si>
  <si>
    <t>Stypendia</t>
  </si>
  <si>
    <t>Inne formy</t>
  </si>
  <si>
    <t>Wpłaty na</t>
  </si>
  <si>
    <t>Zakup</t>
  </si>
  <si>
    <t>wynagr.</t>
  </si>
  <si>
    <t>dzenia</t>
  </si>
  <si>
    <t>ubezpiecz.</t>
  </si>
  <si>
    <t xml:space="preserve">na </t>
  </si>
  <si>
    <t>dla</t>
  </si>
  <si>
    <t>pomocy</t>
  </si>
  <si>
    <t>Państwowy</t>
  </si>
  <si>
    <t xml:space="preserve">materiałów </t>
  </si>
  <si>
    <t>energii</t>
  </si>
  <si>
    <t xml:space="preserve">usług </t>
  </si>
  <si>
    <t>usług</t>
  </si>
  <si>
    <t>roczne</t>
  </si>
  <si>
    <t>bezosobowe</t>
  </si>
  <si>
    <t>społeczne</t>
  </si>
  <si>
    <t>Fundusz</t>
  </si>
  <si>
    <t>uczniów</t>
  </si>
  <si>
    <t xml:space="preserve">dla </t>
  </si>
  <si>
    <t>i</t>
  </si>
  <si>
    <t>naukowych,</t>
  </si>
  <si>
    <t>remontowych</t>
  </si>
  <si>
    <t>pozostałych</t>
  </si>
  <si>
    <t>Razem</t>
  </si>
  <si>
    <t>Pracy</t>
  </si>
  <si>
    <t>Rehabilitacji</t>
  </si>
  <si>
    <t>wyposażenia</t>
  </si>
  <si>
    <t>dydaktycznych</t>
  </si>
  <si>
    <t xml:space="preserve">Osób </t>
  </si>
  <si>
    <t>i książek</t>
  </si>
  <si>
    <t xml:space="preserve">       szkoły</t>
  </si>
  <si>
    <t>Niepełnospr.</t>
  </si>
  <si>
    <t>Dział 801 - Oświata i wychowanie</t>
  </si>
  <si>
    <t xml:space="preserve">rozdz. 80104 - Przedszkola </t>
  </si>
  <si>
    <t>rozdz. 80130 - Szkoły zawodowe</t>
  </si>
  <si>
    <t>Zespół Szkół Elektronicznych</t>
  </si>
  <si>
    <t>Zespół Szkół Energetycznych</t>
  </si>
  <si>
    <t xml:space="preserve">Zespół Szkół Transportowo-Komunikacyjnych </t>
  </si>
  <si>
    <t>Zespół Szkół Samochodowych</t>
  </si>
  <si>
    <t>Zespół Szkół nr 1</t>
  </si>
  <si>
    <t>Zespół Szkół nr 3</t>
  </si>
  <si>
    <t>Zespół Szkół nr 5</t>
  </si>
  <si>
    <t>Zespół Szkół Ogólnokształcących nr 1</t>
  </si>
  <si>
    <t>rozdz. 85415 - Pomoc materialna dla uczniów</t>
  </si>
  <si>
    <t>dotacja celowa z budżetu państwa na pomoc materialną dla uczniów w ramach Narodowego Programu Stypendialnego</t>
  </si>
  <si>
    <t>realizacja projektu "Tylko dla orłów"</t>
  </si>
  <si>
    <t>programy zdrowotne</t>
  </si>
  <si>
    <t>rozdz. 85149 - Programy polityki zdrowotnej</t>
  </si>
  <si>
    <t>działalność Komisji Rozwiązywania Problemów Alkoholowych</t>
  </si>
  <si>
    <t>rozdz. 85495 - Pozostała działalność (stołówki szkolne)</t>
  </si>
  <si>
    <t>Dział 851 - Ochrona zdrowia</t>
  </si>
  <si>
    <t>Przedszkola</t>
  </si>
  <si>
    <t>Pomoc materialna dla uczniów</t>
  </si>
  <si>
    <t>Szkoły podstawowe</t>
  </si>
  <si>
    <t>Gimnazja</t>
  </si>
  <si>
    <t>Licea ogólnokształcące</t>
  </si>
  <si>
    <t>Placówki wychowania pozaszkolnego</t>
  </si>
  <si>
    <t>Dokształcanie i doskonalenie nauczycieli</t>
  </si>
  <si>
    <t>Zakup pomocy naukowych, dydaktycznych i książek</t>
  </si>
  <si>
    <t>Drogi publiczne w miastach na prawach powiatu</t>
  </si>
  <si>
    <t>Dotacje celowe z budżetu państwa na zadania zlecone z zakresu administracji rządowej</t>
  </si>
  <si>
    <t>Dochody budżetu miasta na 2006 rok</t>
  </si>
  <si>
    <t>Dochody                                                                                                                                            (nazwa działu, rozdziału, źródła dochodów, paragrafu)</t>
  </si>
  <si>
    <t xml:space="preserve">Plan według uchwały    
nr 849/XXXVI/2005                              
Rady Miasta Lublin
z 29.12.2005 r.
z późn. zm.                    </t>
  </si>
  <si>
    <t>Dochody budżetu miasta ogółem</t>
  </si>
  <si>
    <t>Dochody własne</t>
  </si>
  <si>
    <t>Subwencje i dotacja rekompensująca</t>
  </si>
  <si>
    <t>Dotacje celowe i inne środki na zadania własne</t>
  </si>
  <si>
    <t>Dotacje celowe i inne środki na zadania realizowane na podstawie porozumień i umów</t>
  </si>
  <si>
    <t xml:space="preserve">Dotacje celowe z budżetu państwa na zadania zlecone z zakresu administracji rządowej </t>
  </si>
  <si>
    <t>Subwencje</t>
  </si>
  <si>
    <t>Domy pomocy społecznej</t>
  </si>
  <si>
    <r>
      <t>Dochody gminy ogółem,</t>
    </r>
    <r>
      <rPr>
        <sz val="10"/>
        <rFont val="Arial CE"/>
        <family val="2"/>
      </rPr>
      <t xml:space="preserve"> z tego:</t>
    </r>
  </si>
  <si>
    <t>Dochody gminy, z tego:</t>
  </si>
  <si>
    <t>Harmonogram realizacji dochodów budżetu miasta  w 2006 roku</t>
  </si>
  <si>
    <t xml:space="preserve">Rozdz. </t>
  </si>
  <si>
    <t xml:space="preserve"> (nazwa działu, rozdziału)</t>
  </si>
  <si>
    <t>Dochody ogółem</t>
  </si>
  <si>
    <t>1.1 Wydział Finansowy</t>
  </si>
  <si>
    <t>Internaty i bursy szkolne</t>
  </si>
  <si>
    <t>Centra kształcenia ustawicznego 
i praktycznego oraz ośrodki dokształcania zawodowego</t>
  </si>
  <si>
    <t>Załącznik nr 3</t>
  </si>
  <si>
    <t>Przedszkole nr 69</t>
  </si>
  <si>
    <t>Wydatki osobowe niezaliczone do wynagrodzeń</t>
  </si>
  <si>
    <t>Planowane wydatki majątkowe na 2006 rok</t>
  </si>
  <si>
    <t>Plan według uchwały    
nr 849/XXXVI/2005                              
Rady Miasta Lublin
z 29.12.2005 r.
z późn. zm.</t>
  </si>
  <si>
    <t>z tego ze środków:</t>
  </si>
  <si>
    <t xml:space="preserve">Rozdz.                          </t>
  </si>
  <si>
    <t>Nazwa: działu, rozdziału, 
                             zadania inwestycyjnego</t>
  </si>
  <si>
    <t>własnych 
i innych zwrotnych</t>
  </si>
  <si>
    <t>Unii Europejskiej</t>
  </si>
  <si>
    <t>z budżetu państwa i innych bezzwrotnych</t>
  </si>
  <si>
    <t>inwestycji 
po zmianach</t>
  </si>
  <si>
    <t>Ogółem wydatki majątkowe</t>
  </si>
  <si>
    <t>zakupy inwestycyjne</t>
  </si>
  <si>
    <t>Wydatki na zadania zlecone</t>
  </si>
  <si>
    <t>Plan remontów na 2006 rok</t>
  </si>
  <si>
    <t xml:space="preserve">Nazwa: działu, rozdziału, zadania </t>
  </si>
  <si>
    <t>Zmniejszenie</t>
  </si>
  <si>
    <t>Ogółem remonty</t>
  </si>
  <si>
    <t>Zadania własne</t>
  </si>
  <si>
    <t xml:space="preserve">Plan według uchwały    
nr 849/XXXVI/2005                             
Rady Miasta Lublin
z 29.12.2005 r.     
z późn. zm.            </t>
  </si>
  <si>
    <t>Drogi publiczne gminne</t>
  </si>
  <si>
    <t>Działalność usługowa</t>
  </si>
  <si>
    <t xml:space="preserve">Transport i łączność </t>
  </si>
  <si>
    <t xml:space="preserve">dotacja celowa z budżetu państwa na poprawę bezpieczeństwa ruchu drogowego na ul. Kunickiego </t>
  </si>
  <si>
    <t>wieloletni program "Pomoc państwa w zakresie dożywiania"</t>
  </si>
  <si>
    <t>Załącznik nr 2</t>
  </si>
  <si>
    <t xml:space="preserve">realizacja programów korekcyjno-edukacyjnych dla sprawców przemocy w rodzinie </t>
  </si>
  <si>
    <t xml:space="preserve">realizacja programów korekcyjno-edukacyjnych dla sprawców przemocy 
w rodzinie </t>
  </si>
  <si>
    <t>dotacja na prowadzenie środowiskowych domów samopomocy dla osób z zaburzeniami psychicznymi</t>
  </si>
  <si>
    <t>Dotacja celowa z budżetu na finansowanie lub dofinansowanie zadań zleconych do realizacji fundacjom</t>
  </si>
  <si>
    <t>Zakup usług remontowych - remont mieszkań chronionych</t>
  </si>
  <si>
    <t>Lubelskie Towarzystwo Dobroczynności; ul. Bronowicka, 3 20-301 Lublin, Środowiskowy Dom Samopomocy "Roztocze"</t>
  </si>
  <si>
    <t>Lubelskie Stowarzyszenie Alzheimerowskie; ul. Towarowa 19, 20-205 Lublin</t>
  </si>
  <si>
    <t>Środowiskowy Dom Samopomocy przy ul. Kalinowszczyzna, z tego:</t>
  </si>
  <si>
    <t>Środowiskowy Dom Samopomocy przy ul. Kalinowszczyzna, w tym:</t>
  </si>
  <si>
    <t>Katolickie Przedszkole im. św. Franciszka z Asyżu; Zgromadzenie Siósr Służek NMP Niepokalanej, ul. Mickiewicza 7, 27-600 Sandomierz</t>
  </si>
  <si>
    <t>Przedszkole Sióstr Urszulanek Serca Jezusa Konającego; Zgromadzenie Sióstr Urszulanek SJK DOM ZAKONNY, ul. Orlanada 15-17, 20-712 Lublin</t>
  </si>
  <si>
    <t>Przedszkole Prywatne "PIOTRUŚ PAN 2"; Mirosława Kamienobrodzka,                                   ul. Krasińskiego 3/53, 20-709 Lublin</t>
  </si>
  <si>
    <t>Przedszkole Prywatne "MARTYNKA"; Izabela Czechowska, ul. Urzędowska 150, 20-727 Lublin, Agnieszka Sałaga, ul. Radomska 8, 20-729 Lublin</t>
  </si>
  <si>
    <t>Oświetlenie ulic, placów i dróg</t>
  </si>
  <si>
    <t>oświetlenie dróg</t>
  </si>
  <si>
    <t>inwestycje - oświetlenie ulic</t>
  </si>
  <si>
    <t>oświetlenie ulic</t>
  </si>
  <si>
    <t>prace porządkowe doraźne</t>
  </si>
  <si>
    <t>utrzymanie miejsc pamięci narodowej</t>
  </si>
  <si>
    <t>Komisje egzaminacyjne</t>
  </si>
  <si>
    <t>Gospodarstwa pomocnicze</t>
  </si>
  <si>
    <t>dotacja celowa z budżetu państwa na realizację programu z zakresu opieki nad dzieckiem i rodziną</t>
  </si>
  <si>
    <t>Dotacje celowe otrzymane z budżetu państwa na zadania bieżące realizowane przez powiat na podstawie porozumień z organami administracji rządowej</t>
  </si>
  <si>
    <t>realizacja programu z zakresu opieki nad dzieckiem i rodziną</t>
  </si>
  <si>
    <t>poprawa bezpieczeństwa na ul. Kunickiego</t>
  </si>
  <si>
    <t>Dotacje celowe otrzymane z budżetu państwa na inwestycje i zakupy inwestycyjne realizowane przez powiat na podstawie porozumień z organami administracji rządowej</t>
  </si>
  <si>
    <t>z dnia 31 października 2006 roku</t>
  </si>
  <si>
    <t>dotacja celowa z budżetu państwa na dofinansowanie realizacji programu wieloletniego "Pomoc państwa w zakresie dożywiania"</t>
  </si>
  <si>
    <t>Ośrodki wsparcia</t>
  </si>
  <si>
    <t>dotacja celowa z budżetu państwa na sfinansowanie wprowadzenia od 1 września 2006 r. nauczania języka angielskiego w pierwszych klasach</t>
  </si>
  <si>
    <t>realizacja programu "Bezpieczny Lublin"</t>
  </si>
  <si>
    <t>zakupy inwestycyjne w ramach programu "Bezpieczny Lublin"</t>
  </si>
  <si>
    <t>Dział 754 -Bezpieczeństwo publiczne i ochrona przeciwpożarowa</t>
  </si>
  <si>
    <t>rozdz. 75495 - Pozostała działalność</t>
  </si>
  <si>
    <t>§ 6050</t>
  </si>
  <si>
    <t>przebudowa skrzyżowań wraz z sygnalizacjami świetlnymi</t>
  </si>
  <si>
    <t xml:space="preserve">budowa i modernizacja zatok, chodników, parkingów i kładek dla pieszych </t>
  </si>
  <si>
    <t>Gospodarka komunalna</t>
  </si>
  <si>
    <t>Plany zagospodarowania przestrzennego</t>
  </si>
  <si>
    <t>Gospodarka ściekowa i ochrona wód</t>
  </si>
  <si>
    <t>Gospodarka odpadami</t>
  </si>
  <si>
    <t>Oczyszczanie miast i wsi</t>
  </si>
  <si>
    <t>Kultura i ochrona dziedzictwa narodowego</t>
  </si>
  <si>
    <t>Kultura fizyczna i sport</t>
  </si>
  <si>
    <t>Centra kultury i sztuki</t>
  </si>
  <si>
    <t>Instytucje kultury fizycznej</t>
  </si>
  <si>
    <t>dokształcanie i doskonalenie zawodowe nauczycieli</t>
  </si>
  <si>
    <t>Oddziały przedszkolne w szkołach podstawowych</t>
  </si>
  <si>
    <t>Szkoły podstawowe specjalne</t>
  </si>
  <si>
    <t>Przedszkola specjalne</t>
  </si>
  <si>
    <t>Turystyka</t>
  </si>
  <si>
    <t>Zadania w zakresie upowszechniania turystyki</t>
  </si>
  <si>
    <t>realizacja projektu „Zintegrowane oznakowanie turystyczne Lublina”</t>
  </si>
  <si>
    <t xml:space="preserve">Zakup usług remontowych - remonty obiektów </t>
  </si>
  <si>
    <t>Przedszkole nr 16</t>
  </si>
  <si>
    <t>Przedszkole nr 36</t>
  </si>
  <si>
    <t>Przedszkole nr 39</t>
  </si>
  <si>
    <t>Przedszkole nr 47</t>
  </si>
  <si>
    <t>Przedszkole nr 48</t>
  </si>
  <si>
    <t>Przedszkole nr 58</t>
  </si>
  <si>
    <t>rozdz. 85403 - Specjalne ośrodki szkolno-wychowawcze</t>
  </si>
  <si>
    <t>Dochody powiatu ogółem, z tego:</t>
  </si>
  <si>
    <t>dotacja celowa z budżetu państwa na utrzymanie zespołu do spraw orzekania 
o niepełnosprawności</t>
  </si>
  <si>
    <t>dotacja celowa z budżetu państwa na tworzenie, przekształcenie i utrzymanie specjalistycznych ośrodków wsparcia dla ofiar przemocy w rodzinie</t>
  </si>
  <si>
    <t>Wybory do rad gmin, rad powiatów i sejmików województw, wybory wójtów, burmistrzów i prezydentów miast oraz referenda gminne, powiatowe 
i wojewódzkie</t>
  </si>
  <si>
    <t>Dotacje celowe otrzymane z budżetu państwa na realizację zadań bieżących 
z zakresu administracji rządowej oraz innych zadań zleconych gminie ustawami</t>
  </si>
  <si>
    <t>Specjalny Ośrodek Szkolno - Wychowawczy dla Dzieci i Młodzieży Słabo Widzącej</t>
  </si>
  <si>
    <t>Specjalny Ośrodek Szkolno-Wychowawczy nr 2</t>
  </si>
  <si>
    <t>remonty obiektów</t>
  </si>
  <si>
    <t>Zakup usług remontowych - remonty obiektów</t>
  </si>
  <si>
    <t>Specjalne ośrodki szkolno - wychowawcze</t>
  </si>
  <si>
    <t>dokumentacja przyszłościowa</t>
  </si>
  <si>
    <t>Gimnazja specjalne</t>
  </si>
  <si>
    <t>Dowożenie uczniów do szkół</t>
  </si>
  <si>
    <t>Licea ogólnokształcące specjalne</t>
  </si>
  <si>
    <t>Licea profilowane</t>
  </si>
  <si>
    <t>Licea profilowane specjalne</t>
  </si>
  <si>
    <t>Szkoły artystyczne</t>
  </si>
  <si>
    <t>Szkoły zawodowe specjalne</t>
  </si>
  <si>
    <t>Zadania w zakresie kultury fizycznej i sportu</t>
  </si>
  <si>
    <t>Świetlice szkolne</t>
  </si>
  <si>
    <t>Specjalne ośrodki szkolno-wychowawcze</t>
  </si>
  <si>
    <t>Poradnie psychologiczno - pedagogiczne, 
w tym poradnie specjalistyczne</t>
  </si>
  <si>
    <t>Szkolne schroniska młodzieżowe</t>
  </si>
  <si>
    <t>Młodzieżowe ośrodki socjoterapii</t>
  </si>
  <si>
    <t>Składki na ubezpieczenie zdrowotne oraz świadczenia dla osób nieobjętych obowiązkiem ubezpieczenia zdrowotnego</t>
  </si>
  <si>
    <t>Wydatki na zadania realizowane 
na podstawie porozumień i umów</t>
  </si>
  <si>
    <t>Dotacje celowe otrzymane z budżetu państwa na realizację własnych zadań bieżących gmin</t>
  </si>
  <si>
    <t>Placówki opiekuńczo-wychowawcze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</si>
  <si>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</si>
  <si>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</si>
  <si>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</si>
  <si>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</si>
  <si>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</si>
  <si>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</si>
  <si>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stołówki szkolne, w tym:</t>
  </si>
  <si>
    <t>Ochrona zabytków i opieka nad zabytkami</t>
  </si>
  <si>
    <t>Plan dochodów 
po zmianach</t>
  </si>
  <si>
    <t>Zakup usług remontowych - remonty szkół</t>
  </si>
  <si>
    <t xml:space="preserve">termomodernizacje obiektów </t>
  </si>
  <si>
    <t>remonty szkół</t>
  </si>
  <si>
    <t>termomodernizacje obiektów</t>
  </si>
  <si>
    <t>rozdz. 80101 - Szkoły podstawowe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</si>
</sst>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.00\ &quot;zł&quot;"/>
    <numFmt numFmtId="174" formatCode="#,##0.0"/>
    <numFmt numFmtId="175" formatCode="0.0"/>
    <numFmt numFmtId="176" formatCode="#,##0.0000"/>
    <numFmt numFmtId="177" formatCode="###0"/>
    <numFmt numFmtId="178" formatCode="h:m"/>
    <numFmt numFmtId="179" formatCode="#,##0.00\ &quot;zł&quot;;[Red]#,##0.00\ &quot;zł&quot;"/>
    <numFmt numFmtId="180" formatCode="#,##0\ &quot;zł&quot;"/>
    <numFmt numFmtId="181" formatCode="#,##0.000"/>
    <numFmt numFmtId="182" formatCode="#,##0.00\ _z_ł"/>
    <numFmt numFmtId="183" formatCode="#,##0\ _z_ł"/>
    <numFmt numFmtId="184" formatCode="#,##0_ ;\-#,##0\ "/>
    <numFmt numFmtId="185" formatCode="#,##0_ ;[Red]\-#,##0\ "/>
    <numFmt numFmtId="186" formatCode="#,##0;&quot;-&quot;#,##0"/>
    <numFmt numFmtId="187" formatCode="#,##0;[Red]&quot;-&quot;#,##0"/>
    <numFmt numFmtId="188" formatCode="#,##0.00;&quot;-&quot;#,##0.00"/>
    <numFmt numFmtId="189" formatCode="#,##0.00;[Red]&quot;-&quot;#,##0.00"/>
    <numFmt numFmtId="190" formatCode="\ h\ h:m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u val="single"/>
      <sz val="12"/>
      <name val="Arial CE"/>
      <family val="2"/>
    </font>
    <font>
      <i/>
      <sz val="9"/>
      <name val="Arial CE"/>
      <family val="2"/>
    </font>
    <font>
      <b/>
      <i/>
      <u val="single"/>
      <sz val="11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i/>
      <sz val="16"/>
      <name val="Arial CE"/>
      <family val="2"/>
    </font>
    <font>
      <sz val="18"/>
      <name val="Arial CE"/>
      <family val="2"/>
    </font>
    <font>
      <sz val="12"/>
      <color indexed="8"/>
      <name val="Arial CE"/>
      <family val="0"/>
    </font>
    <font>
      <b/>
      <i/>
      <sz val="14"/>
      <color indexed="10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0"/>
      <color indexed="48"/>
      <name val="Arial CE"/>
      <family val="0"/>
    </font>
    <font>
      <sz val="10"/>
      <color indexed="12"/>
      <name val="Arial CE"/>
      <family val="0"/>
    </font>
    <font>
      <sz val="32"/>
      <name val="Arial CE"/>
      <family val="2"/>
    </font>
    <font>
      <i/>
      <sz val="32"/>
      <name val="Arial CE"/>
      <family val="2"/>
    </font>
    <font>
      <sz val="34"/>
      <name val="Arial CE"/>
      <family val="2"/>
    </font>
    <font>
      <sz val="26"/>
      <name val="Arial CE"/>
      <family val="2"/>
    </font>
    <font>
      <i/>
      <sz val="26"/>
      <name val="Arial CE"/>
      <family val="2"/>
    </font>
    <font>
      <i/>
      <sz val="18"/>
      <name val="Arial CE"/>
      <family val="2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1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double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ashDotDot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double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dashDotDot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ashDot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dotted"/>
      <bottom style="dashDotDot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ashDotDot"/>
      <bottom style="thin"/>
    </border>
    <border>
      <left style="thin"/>
      <right style="thin"/>
      <top style="dashed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12" fillId="0" borderId="0" xfId="0" applyFont="1" applyAlignment="1">
      <alignment horizontal="right"/>
    </xf>
    <xf numFmtId="3" fontId="13" fillId="0" borderId="1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4" borderId="13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3" fontId="15" fillId="4" borderId="16" xfId="0" applyNumberFormat="1" applyFont="1" applyFill="1" applyBorder="1" applyAlignment="1">
      <alignment wrapText="1"/>
    </xf>
    <xf numFmtId="3" fontId="15" fillId="4" borderId="16" xfId="0" applyNumberFormat="1" applyFont="1" applyFill="1" applyBorder="1" applyAlignment="1">
      <alignment horizontal="right" wrapText="1"/>
    </xf>
    <xf numFmtId="0" fontId="13" fillId="2" borderId="17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0" fontId="0" fillId="3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right" wrapText="1"/>
    </xf>
    <xf numFmtId="0" fontId="13" fillId="4" borderId="13" xfId="0" applyFont="1" applyFill="1" applyBorder="1" applyAlignment="1">
      <alignment/>
    </xf>
    <xf numFmtId="0" fontId="13" fillId="4" borderId="15" xfId="0" applyFont="1" applyFill="1" applyBorder="1" applyAlignment="1">
      <alignment/>
    </xf>
    <xf numFmtId="3" fontId="13" fillId="2" borderId="15" xfId="0" applyNumberFormat="1" applyFont="1" applyFill="1" applyBorder="1" applyAlignment="1">
      <alignment horizontal="right" wrapText="1"/>
    </xf>
    <xf numFmtId="3" fontId="15" fillId="0" borderId="16" xfId="0" applyNumberFormat="1" applyFont="1" applyBorder="1" applyAlignment="1">
      <alignment horizontal="right"/>
    </xf>
    <xf numFmtId="0" fontId="13" fillId="2" borderId="17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5" fillId="4" borderId="16" xfId="0" applyFont="1" applyFill="1" applyBorder="1" applyAlignment="1">
      <alignment/>
    </xf>
    <xf numFmtId="0" fontId="13" fillId="2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3" fontId="13" fillId="2" borderId="15" xfId="0" applyNumberFormat="1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12" fillId="0" borderId="13" xfId="0" applyFont="1" applyBorder="1" applyAlignment="1">
      <alignment vertical="top"/>
    </xf>
    <xf numFmtId="3" fontId="14" fillId="0" borderId="13" xfId="0" applyNumberFormat="1" applyFont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14" fillId="4" borderId="13" xfId="0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horizontal="right"/>
    </xf>
    <xf numFmtId="3" fontId="14" fillId="4" borderId="13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/>
    </xf>
    <xf numFmtId="3" fontId="15" fillId="4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15" fillId="0" borderId="16" xfId="0" applyNumberFormat="1" applyFont="1" applyFill="1" applyBorder="1" applyAlignment="1">
      <alignment wrapText="1"/>
    </xf>
    <xf numFmtId="3" fontId="15" fillId="0" borderId="16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5" fillId="4" borderId="1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3" fillId="0" borderId="17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13" fillId="3" borderId="13" xfId="0" applyFont="1" applyFill="1" applyBorder="1" applyAlignment="1">
      <alignment/>
    </xf>
    <xf numFmtId="0" fontId="13" fillId="2" borderId="17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13" fillId="3" borderId="17" xfId="0" applyFont="1" applyFill="1" applyBorder="1" applyAlignment="1">
      <alignment/>
    </xf>
    <xf numFmtId="3" fontId="13" fillId="3" borderId="17" xfId="0" applyNumberFormat="1" applyFont="1" applyFill="1" applyBorder="1" applyAlignment="1">
      <alignment horizontal="right"/>
    </xf>
    <xf numFmtId="3" fontId="0" fillId="3" borderId="22" xfId="0" applyNumberFormat="1" applyFont="1" applyFill="1" applyBorder="1" applyAlignment="1">
      <alignment horizontal="right"/>
    </xf>
    <xf numFmtId="3" fontId="12" fillId="3" borderId="2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18" fillId="0" borderId="16" xfId="0" applyNumberFormat="1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left" wrapText="1"/>
    </xf>
    <xf numFmtId="3" fontId="10" fillId="0" borderId="16" xfId="0" applyNumberFormat="1" applyFont="1" applyBorder="1" applyAlignment="1">
      <alignment horizontal="right"/>
    </xf>
    <xf numFmtId="0" fontId="12" fillId="3" borderId="1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3" fillId="3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3" borderId="24" xfId="0" applyFont="1" applyFill="1" applyBorder="1" applyAlignment="1">
      <alignment/>
    </xf>
    <xf numFmtId="0" fontId="12" fillId="0" borderId="13" xfId="0" applyFont="1" applyBorder="1" applyAlignment="1">
      <alignment/>
    </xf>
    <xf numFmtId="3" fontId="14" fillId="4" borderId="13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3" borderId="15" xfId="0" applyNumberFormat="1" applyFont="1" applyFill="1" applyBorder="1" applyAlignment="1">
      <alignment horizontal="right" wrapText="1"/>
    </xf>
    <xf numFmtId="0" fontId="13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4" borderId="16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wrapText="1"/>
    </xf>
    <xf numFmtId="0" fontId="13" fillId="2" borderId="29" xfId="0" applyFont="1" applyFill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3" fontId="12" fillId="4" borderId="25" xfId="0" applyNumberFormat="1" applyFont="1" applyFill="1" applyBorder="1" applyAlignment="1">
      <alignment horizontal="right"/>
    </xf>
    <xf numFmtId="3" fontId="15" fillId="4" borderId="16" xfId="0" applyNumberFormat="1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 wrapText="1"/>
    </xf>
    <xf numFmtId="3" fontId="13" fillId="2" borderId="29" xfId="0" applyNumberFormat="1" applyFont="1" applyFill="1" applyBorder="1" applyAlignment="1">
      <alignment horizontal="right" wrapText="1"/>
    </xf>
    <xf numFmtId="3" fontId="13" fillId="4" borderId="1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1" xfId="0" applyFont="1" applyFill="1" applyBorder="1" applyAlignment="1">
      <alignment/>
    </xf>
    <xf numFmtId="0" fontId="13" fillId="4" borderId="30" xfId="0" applyFont="1" applyFill="1" applyBorder="1" applyAlignment="1">
      <alignment horizontal="right"/>
    </xf>
    <xf numFmtId="3" fontId="13" fillId="4" borderId="30" xfId="0" applyNumberFormat="1" applyFont="1" applyFill="1" applyBorder="1" applyAlignment="1">
      <alignment horizontal="right"/>
    </xf>
    <xf numFmtId="3" fontId="0" fillId="4" borderId="13" xfId="0" applyNumberFormat="1" applyFont="1" applyFill="1" applyBorder="1" applyAlignment="1">
      <alignment horizontal="right"/>
    </xf>
    <xf numFmtId="0" fontId="13" fillId="4" borderId="31" xfId="0" applyFont="1" applyFill="1" applyBorder="1" applyAlignment="1">
      <alignment/>
    </xf>
    <xf numFmtId="3" fontId="13" fillId="4" borderId="31" xfId="0" applyNumberFormat="1" applyFont="1" applyFill="1" applyBorder="1" applyAlignment="1">
      <alignment horizontal="right"/>
    </xf>
    <xf numFmtId="0" fontId="15" fillId="4" borderId="32" xfId="0" applyFont="1" applyFill="1" applyBorder="1" applyAlignment="1">
      <alignment/>
    </xf>
    <xf numFmtId="3" fontId="15" fillId="4" borderId="32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wrapText="1"/>
    </xf>
    <xf numFmtId="3" fontId="15" fillId="3" borderId="16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 wrapText="1"/>
    </xf>
    <xf numFmtId="0" fontId="13" fillId="2" borderId="29" xfId="0" applyFont="1" applyFill="1" applyBorder="1" applyAlignment="1">
      <alignment/>
    </xf>
    <xf numFmtId="3" fontId="13" fillId="2" borderId="27" xfId="0" applyNumberFormat="1" applyFont="1" applyFill="1" applyBorder="1" applyAlignment="1">
      <alignment horizontal="right" wrapText="1"/>
    </xf>
    <xf numFmtId="0" fontId="0" fillId="3" borderId="24" xfId="0" applyFont="1" applyFill="1" applyBorder="1" applyAlignment="1">
      <alignment horizontal="right"/>
    </xf>
    <xf numFmtId="0" fontId="13" fillId="3" borderId="27" xfId="0" applyFont="1" applyFill="1" applyBorder="1" applyAlignment="1">
      <alignment/>
    </xf>
    <xf numFmtId="3" fontId="13" fillId="3" borderId="27" xfId="0" applyNumberFormat="1" applyFont="1" applyFill="1" applyBorder="1" applyAlignment="1">
      <alignment horizontal="right" wrapText="1"/>
    </xf>
    <xf numFmtId="3" fontId="0" fillId="3" borderId="3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1" fontId="12" fillId="0" borderId="27" xfId="0" applyNumberFormat="1" applyFont="1" applyFill="1" applyBorder="1" applyAlignment="1">
      <alignment/>
    </xf>
    <xf numFmtId="3" fontId="12" fillId="4" borderId="15" xfId="0" applyNumberFormat="1" applyFont="1" applyFill="1" applyBorder="1" applyAlignment="1">
      <alignment wrapText="1"/>
    </xf>
    <xf numFmtId="0" fontId="13" fillId="6" borderId="13" xfId="0" applyFont="1" applyFill="1" applyBorder="1" applyAlignment="1">
      <alignment/>
    </xf>
    <xf numFmtId="0" fontId="15" fillId="6" borderId="16" xfId="0" applyFont="1" applyFill="1" applyBorder="1" applyAlignment="1">
      <alignment wrapText="1"/>
    </xf>
    <xf numFmtId="3" fontId="13" fillId="0" borderId="3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0" fontId="13" fillId="2" borderId="34" xfId="0" applyFont="1" applyFill="1" applyBorder="1" applyAlignment="1">
      <alignment horizontal="right" wrapText="1"/>
    </xf>
    <xf numFmtId="0" fontId="15" fillId="4" borderId="31" xfId="0" applyFont="1" applyFill="1" applyBorder="1" applyAlignment="1">
      <alignment horizontal="left"/>
    </xf>
    <xf numFmtId="3" fontId="15" fillId="4" borderId="31" xfId="0" applyNumberFormat="1" applyFont="1" applyFill="1" applyBorder="1" applyAlignment="1">
      <alignment horizontal="center"/>
    </xf>
    <xf numFmtId="0" fontId="15" fillId="4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3" borderId="30" xfId="0" applyNumberFormat="1" applyFont="1" applyFill="1" applyBorder="1" applyAlignment="1">
      <alignment horizontal="right" wrapText="1"/>
    </xf>
    <xf numFmtId="3" fontId="5" fillId="3" borderId="13" xfId="0" applyNumberFormat="1" applyFont="1" applyFill="1" applyBorder="1" applyAlignment="1">
      <alignment horizontal="right" wrapText="1"/>
    </xf>
    <xf numFmtId="3" fontId="5" fillId="0" borderId="2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3" borderId="30" xfId="0" applyFont="1" applyFill="1" applyBorder="1" applyAlignment="1">
      <alignment horizontal="center" wrapText="1"/>
    </xf>
    <xf numFmtId="3" fontId="5" fillId="3" borderId="23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9" fillId="3" borderId="13" xfId="0" applyFont="1" applyFill="1" applyBorder="1" applyAlignment="1">
      <alignment horizontal="center" wrapText="1"/>
    </xf>
    <xf numFmtId="3" fontId="9" fillId="3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wrapText="1"/>
    </xf>
    <xf numFmtId="3" fontId="21" fillId="3" borderId="13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/>
    </xf>
    <xf numFmtId="0" fontId="10" fillId="4" borderId="16" xfId="0" applyFont="1" applyFill="1" applyBorder="1" applyAlignment="1">
      <alignment wrapText="1"/>
    </xf>
    <xf numFmtId="3" fontId="10" fillId="3" borderId="16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13" xfId="0" applyFont="1" applyFill="1" applyBorder="1" applyAlignment="1">
      <alignment wrapText="1"/>
    </xf>
    <xf numFmtId="3" fontId="13" fillId="2" borderId="34" xfId="0" applyNumberFormat="1" applyFont="1" applyFill="1" applyBorder="1" applyAlignment="1">
      <alignment wrapText="1"/>
    </xf>
    <xf numFmtId="3" fontId="1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3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4" borderId="35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4" xfId="0" applyFont="1" applyFill="1" applyBorder="1" applyAlignment="1">
      <alignment wrapText="1"/>
    </xf>
    <xf numFmtId="3" fontId="0" fillId="0" borderId="37" xfId="0" applyNumberFormat="1" applyFont="1" applyFill="1" applyBorder="1" applyAlignment="1">
      <alignment/>
    </xf>
    <xf numFmtId="3" fontId="0" fillId="4" borderId="38" xfId="0" applyNumberFormat="1" applyFont="1" applyFill="1" applyBorder="1" applyAlignment="1">
      <alignment/>
    </xf>
    <xf numFmtId="3" fontId="0" fillId="4" borderId="39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4" borderId="7" xfId="0" applyNumberFormat="1" applyFont="1" applyFill="1" applyBorder="1" applyAlignment="1">
      <alignment/>
    </xf>
    <xf numFmtId="3" fontId="15" fillId="4" borderId="40" xfId="0" applyNumberFormat="1" applyFont="1" applyFill="1" applyBorder="1" applyAlignment="1">
      <alignment/>
    </xf>
    <xf numFmtId="3" fontId="15" fillId="4" borderId="16" xfId="0" applyNumberFormat="1" applyFont="1" applyFill="1" applyBorder="1" applyAlignment="1">
      <alignment/>
    </xf>
    <xf numFmtId="3" fontId="15" fillId="4" borderId="28" xfId="0" applyNumberFormat="1" applyFont="1" applyFill="1" applyBorder="1" applyAlignment="1">
      <alignment/>
    </xf>
    <xf numFmtId="1" fontId="13" fillId="3" borderId="41" xfId="0" applyNumberFormat="1" applyFont="1" applyFill="1" applyBorder="1" applyAlignment="1">
      <alignment/>
    </xf>
    <xf numFmtId="3" fontId="13" fillId="3" borderId="41" xfId="0" applyNumberFormat="1" applyFont="1" applyFill="1" applyBorder="1" applyAlignment="1">
      <alignment wrapText="1"/>
    </xf>
    <xf numFmtId="3" fontId="13" fillId="0" borderId="42" xfId="0" applyNumberFormat="1" applyFont="1" applyBorder="1" applyAlignment="1">
      <alignment wrapText="1"/>
    </xf>
    <xf numFmtId="3" fontId="13" fillId="0" borderId="43" xfId="0" applyNumberFormat="1" applyFont="1" applyBorder="1" applyAlignment="1">
      <alignment wrapText="1"/>
    </xf>
    <xf numFmtId="3" fontId="13" fillId="0" borderId="44" xfId="0" applyNumberFormat="1" applyFont="1" applyBorder="1" applyAlignment="1">
      <alignment wrapText="1"/>
    </xf>
    <xf numFmtId="3" fontId="13" fillId="0" borderId="41" xfId="0" applyNumberFormat="1" applyFont="1" applyBorder="1" applyAlignment="1">
      <alignment wrapText="1"/>
    </xf>
    <xf numFmtId="3" fontId="13" fillId="0" borderId="45" xfId="0" applyNumberFormat="1" applyFont="1" applyBorder="1" applyAlignment="1">
      <alignment wrapText="1"/>
    </xf>
    <xf numFmtId="1" fontId="13" fillId="3" borderId="13" xfId="0" applyNumberFormat="1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23" xfId="0" applyNumberFormat="1" applyFont="1" applyBorder="1" applyAlignment="1">
      <alignment wrapText="1"/>
    </xf>
    <xf numFmtId="3" fontId="13" fillId="0" borderId="6" xfId="0" applyNumberFormat="1" applyFont="1" applyBorder="1" applyAlignment="1">
      <alignment wrapText="1"/>
    </xf>
    <xf numFmtId="3" fontId="13" fillId="0" borderId="46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wrapText="1"/>
    </xf>
    <xf numFmtId="0" fontId="0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0" fillId="4" borderId="2" xfId="0" applyFont="1" applyFill="1" applyBorder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right"/>
    </xf>
    <xf numFmtId="0" fontId="15" fillId="4" borderId="16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3" fontId="13" fillId="2" borderId="17" xfId="0" applyNumberFormat="1" applyFont="1" applyFill="1" applyBorder="1" applyAlignment="1">
      <alignment horizontal="right" wrapText="1"/>
    </xf>
    <xf numFmtId="0" fontId="13" fillId="3" borderId="17" xfId="0" applyFont="1" applyFill="1" applyBorder="1" applyAlignment="1">
      <alignment horizontal="left" wrapText="1"/>
    </xf>
    <xf numFmtId="3" fontId="13" fillId="3" borderId="17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0" fillId="3" borderId="13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0" fontId="15" fillId="3" borderId="0" xfId="0" applyFont="1" applyFill="1" applyAlignment="1">
      <alignment/>
    </xf>
    <xf numFmtId="0" fontId="15" fillId="4" borderId="17" xfId="0" applyFont="1" applyFill="1" applyBorder="1" applyAlignment="1">
      <alignment wrapText="1"/>
    </xf>
    <xf numFmtId="3" fontId="15" fillId="4" borderId="17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3" fontId="0" fillId="0" borderId="47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1" fontId="0" fillId="3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2" borderId="50" xfId="0" applyFont="1" applyFill="1" applyBorder="1" applyAlignment="1">
      <alignment wrapText="1"/>
    </xf>
    <xf numFmtId="3" fontId="13" fillId="0" borderId="29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13" fillId="2" borderId="15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51" xfId="0" applyFont="1" applyFill="1" applyBorder="1" applyAlignment="1">
      <alignment wrapText="1"/>
    </xf>
    <xf numFmtId="3" fontId="10" fillId="0" borderId="5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wrapText="1"/>
    </xf>
    <xf numFmtId="0" fontId="13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4" borderId="21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0" fontId="12" fillId="0" borderId="15" xfId="0" applyFont="1" applyBorder="1" applyAlignment="1">
      <alignment vertical="top"/>
    </xf>
    <xf numFmtId="3" fontId="23" fillId="0" borderId="16" xfId="0" applyNumberFormat="1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53" xfId="0" applyNumberFormat="1" applyFont="1" applyFill="1" applyBorder="1" applyAlignment="1">
      <alignment horizontal="right"/>
    </xf>
    <xf numFmtId="0" fontId="12" fillId="0" borderId="15" xfId="0" applyFont="1" applyBorder="1" applyAlignment="1">
      <alignment wrapText="1"/>
    </xf>
    <xf numFmtId="3" fontId="12" fillId="0" borderId="54" xfId="0" applyNumberFormat="1" applyFont="1" applyFill="1" applyBorder="1" applyAlignment="1">
      <alignment horizontal="right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3" fontId="13" fillId="0" borderId="55" xfId="0" applyNumberFormat="1" applyFont="1" applyBorder="1" applyAlignment="1">
      <alignment/>
    </xf>
    <xf numFmtId="3" fontId="13" fillId="0" borderId="56" xfId="0" applyNumberFormat="1" applyFont="1" applyBorder="1" applyAlignment="1">
      <alignment wrapText="1"/>
    </xf>
    <xf numFmtId="3" fontId="13" fillId="0" borderId="57" xfId="0" applyNumberFormat="1" applyFont="1" applyBorder="1" applyAlignment="1">
      <alignment wrapText="1"/>
    </xf>
    <xf numFmtId="3" fontId="13" fillId="0" borderId="58" xfId="0" applyNumberFormat="1" applyFont="1" applyBorder="1" applyAlignment="1">
      <alignment wrapText="1"/>
    </xf>
    <xf numFmtId="3" fontId="13" fillId="0" borderId="55" xfId="0" applyNumberFormat="1" applyFont="1" applyBorder="1" applyAlignment="1">
      <alignment wrapText="1"/>
    </xf>
    <xf numFmtId="3" fontId="13" fillId="0" borderId="59" xfId="0" applyNumberFormat="1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0" fontId="12" fillId="0" borderId="53" xfId="0" applyFont="1" applyBorder="1" applyAlignment="1">
      <alignment/>
    </xf>
    <xf numFmtId="3" fontId="12" fillId="0" borderId="53" xfId="0" applyNumberFormat="1" applyFont="1" applyBorder="1" applyAlignment="1">
      <alignment/>
    </xf>
    <xf numFmtId="0" fontId="13" fillId="3" borderId="27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3" fontId="12" fillId="0" borderId="27" xfId="0" applyNumberFormat="1" applyFont="1" applyFill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3" fontId="0" fillId="4" borderId="0" xfId="0" applyNumberFormat="1" applyFont="1" applyFill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60" xfId="0" applyNumberFormat="1" applyFont="1" applyFill="1" applyBorder="1" applyAlignment="1">
      <alignment horizontal="left"/>
    </xf>
    <xf numFmtId="3" fontId="13" fillId="4" borderId="61" xfId="15" applyNumberFormat="1" applyFont="1" applyFill="1" applyBorder="1" applyAlignment="1">
      <alignment horizontal="center"/>
    </xf>
    <xf numFmtId="3" fontId="13" fillId="4" borderId="4" xfId="15" applyNumberFormat="1" applyFont="1" applyFill="1" applyBorder="1" applyAlignment="1">
      <alignment horizontal="center"/>
    </xf>
    <xf numFmtId="3" fontId="13" fillId="4" borderId="62" xfId="15" applyNumberFormat="1" applyFont="1" applyFill="1" applyBorder="1" applyAlignment="1">
      <alignment horizontal="center"/>
    </xf>
    <xf numFmtId="3" fontId="0" fillId="4" borderId="63" xfId="0" applyNumberFormat="1" applyFont="1" applyFill="1" applyBorder="1" applyAlignment="1">
      <alignment/>
    </xf>
    <xf numFmtId="3" fontId="0" fillId="4" borderId="46" xfId="0" applyNumberFormat="1" applyFont="1" applyFill="1" applyBorder="1" applyAlignment="1">
      <alignment horizontal="center"/>
    </xf>
    <xf numFmtId="3" fontId="0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64" xfId="0" applyNumberFormat="1" applyFont="1" applyFill="1" applyBorder="1" applyAlignment="1">
      <alignment horizontal="center"/>
    </xf>
    <xf numFmtId="3" fontId="17" fillId="4" borderId="23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vertical="center"/>
    </xf>
    <xf numFmtId="3" fontId="17" fillId="4" borderId="13" xfId="0" applyNumberFormat="1" applyFont="1" applyFill="1" applyBorder="1" applyAlignment="1">
      <alignment horizontal="center"/>
    </xf>
    <xf numFmtId="3" fontId="0" fillId="4" borderId="64" xfId="0" applyNumberFormat="1" applyFont="1" applyFill="1" applyBorder="1" applyAlignment="1">
      <alignment horizontal="left"/>
    </xf>
    <xf numFmtId="3" fontId="0" fillId="4" borderId="27" xfId="0" applyNumberFormat="1" applyFont="1" applyFill="1" applyBorder="1" applyAlignment="1">
      <alignment horizontal="center"/>
    </xf>
    <xf numFmtId="3" fontId="17" fillId="4" borderId="27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3" fontId="7" fillId="4" borderId="65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13" fillId="4" borderId="66" xfId="0" applyNumberFormat="1" applyFont="1" applyFill="1" applyBorder="1" applyAlignment="1">
      <alignment horizontal="center" vertical="center"/>
    </xf>
    <xf numFmtId="3" fontId="15" fillId="4" borderId="67" xfId="0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13" fillId="4" borderId="68" xfId="0" applyNumberFormat="1" applyFont="1" applyFill="1" applyBorder="1" applyAlignment="1">
      <alignment horizontal="left" vertical="center" wrapText="1"/>
    </xf>
    <xf numFmtId="3" fontId="0" fillId="6" borderId="69" xfId="0" applyNumberFormat="1" applyFont="1" applyFill="1" applyBorder="1" applyAlignment="1">
      <alignment horizontal="left" vertical="center" wrapText="1"/>
    </xf>
    <xf numFmtId="3" fontId="12" fillId="4" borderId="0" xfId="0" applyNumberFormat="1" applyFont="1" applyFill="1" applyBorder="1" applyAlignment="1">
      <alignment vertical="center"/>
    </xf>
    <xf numFmtId="3" fontId="13" fillId="4" borderId="70" xfId="0" applyNumberFormat="1" applyFont="1" applyFill="1" applyBorder="1" applyAlignment="1">
      <alignment horizontal="left" vertical="center" wrapText="1"/>
    </xf>
    <xf numFmtId="0" fontId="13" fillId="4" borderId="70" xfId="0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/>
    </xf>
    <xf numFmtId="3" fontId="8" fillId="4" borderId="29" xfId="0" applyNumberFormat="1" applyFont="1" applyFill="1" applyBorder="1" applyAlignment="1">
      <alignment/>
    </xf>
    <xf numFmtId="0" fontId="15" fillId="4" borderId="67" xfId="0" applyNumberFormat="1" applyFont="1" applyFill="1" applyBorder="1" applyAlignment="1">
      <alignment vertical="center" wrapText="1"/>
    </xf>
    <xf numFmtId="3" fontId="0" fillId="0" borderId="24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12" fillId="0" borderId="24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 wrapText="1"/>
    </xf>
    <xf numFmtId="3" fontId="13" fillId="2" borderId="17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left"/>
    </xf>
    <xf numFmtId="3" fontId="13" fillId="3" borderId="17" xfId="0" applyNumberFormat="1" applyFont="1" applyFill="1" applyBorder="1" applyAlignment="1">
      <alignment horizontal="left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/>
    </xf>
    <xf numFmtId="0" fontId="0" fillId="0" borderId="71" xfId="0" applyFont="1" applyBorder="1" applyAlignment="1">
      <alignment wrapText="1"/>
    </xf>
    <xf numFmtId="3" fontId="0" fillId="0" borderId="71" xfId="0" applyNumberFormat="1" applyFont="1" applyBorder="1" applyAlignment="1">
      <alignment horizontal="right" wrapText="1"/>
    </xf>
    <xf numFmtId="0" fontId="0" fillId="0" borderId="72" xfId="0" applyFont="1" applyBorder="1" applyAlignment="1">
      <alignment wrapText="1"/>
    </xf>
    <xf numFmtId="3" fontId="0" fillId="0" borderId="72" xfId="0" applyNumberFormat="1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74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3" borderId="15" xfId="0" applyFont="1" applyFill="1" applyBorder="1" applyAlignment="1">
      <alignment/>
    </xf>
    <xf numFmtId="3" fontId="24" fillId="0" borderId="71" xfId="18" applyNumberFormat="1" applyFont="1" applyFill="1" applyBorder="1" applyAlignment="1">
      <alignment/>
      <protection/>
    </xf>
    <xf numFmtId="3" fontId="24" fillId="0" borderId="71" xfId="18" applyNumberFormat="1" applyFont="1" applyFill="1" applyBorder="1" applyAlignment="1">
      <alignment horizontal="right"/>
      <protection/>
    </xf>
    <xf numFmtId="3" fontId="24" fillId="0" borderId="0" xfId="18" applyNumberFormat="1" applyFont="1" applyBorder="1">
      <alignment/>
      <protection/>
    </xf>
    <xf numFmtId="3" fontId="26" fillId="0" borderId="0" xfId="18" applyNumberFormat="1" applyFont="1" applyBorder="1">
      <alignment/>
      <protection/>
    </xf>
    <xf numFmtId="3" fontId="19" fillId="0" borderId="0" xfId="18" applyNumberFormat="1" applyFont="1" applyBorder="1">
      <alignment/>
      <protection/>
    </xf>
    <xf numFmtId="3" fontId="25" fillId="0" borderId="21" xfId="18" applyNumberFormat="1" applyFont="1" applyFill="1" applyBorder="1" applyAlignment="1">
      <alignment horizontal="right"/>
      <protection/>
    </xf>
    <xf numFmtId="3" fontId="19" fillId="0" borderId="0" xfId="18" applyNumberFormat="1" applyBorder="1" applyAlignment="1">
      <alignment vertical="center"/>
      <protection/>
    </xf>
    <xf numFmtId="3" fontId="12" fillId="0" borderId="15" xfId="0" applyNumberFormat="1" applyFont="1" applyBorder="1" applyAlignment="1">
      <alignment horizontal="right"/>
    </xf>
    <xf numFmtId="0" fontId="12" fillId="0" borderId="53" xfId="0" applyFont="1" applyBorder="1" applyAlignment="1">
      <alignment/>
    </xf>
    <xf numFmtId="3" fontId="0" fillId="0" borderId="73" xfId="0" applyNumberFormat="1" applyFont="1" applyBorder="1" applyAlignment="1">
      <alignment horizontal="right"/>
    </xf>
    <xf numFmtId="3" fontId="17" fillId="4" borderId="0" xfId="0" applyNumberFormat="1" applyFont="1" applyFill="1" applyBorder="1" applyAlignment="1">
      <alignment horizontal="center"/>
    </xf>
    <xf numFmtId="3" fontId="0" fillId="4" borderId="75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2" fillId="0" borderId="54" xfId="0" applyNumberFormat="1" applyFont="1" applyBorder="1" applyAlignment="1">
      <alignment wrapText="1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3" fontId="13" fillId="0" borderId="15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2" fillId="3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3" fontId="0" fillId="0" borderId="29" xfId="0" applyNumberFormat="1" applyFont="1" applyBorder="1" applyAlignment="1">
      <alignment wrapText="1"/>
    </xf>
    <xf numFmtId="3" fontId="0" fillId="0" borderId="76" xfId="0" applyNumberFormat="1" applyFont="1" applyBorder="1" applyAlignment="1">
      <alignment wrapText="1"/>
    </xf>
    <xf numFmtId="3" fontId="0" fillId="0" borderId="7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0" fillId="0" borderId="78" xfId="0" applyFont="1" applyBorder="1" applyAlignment="1">
      <alignment/>
    </xf>
    <xf numFmtId="3" fontId="0" fillId="0" borderId="78" xfId="0" applyNumberFormat="1" applyFont="1" applyFill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wrapText="1"/>
    </xf>
    <xf numFmtId="3" fontId="12" fillId="0" borderId="53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3" fillId="4" borderId="79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/>
    </xf>
    <xf numFmtId="0" fontId="0" fillId="4" borderId="8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6" fillId="0" borderId="0" xfId="18" applyNumberFormat="1" applyFont="1" applyBorder="1">
      <alignment/>
      <protection/>
    </xf>
    <xf numFmtId="3" fontId="29" fillId="4" borderId="4" xfId="15" applyNumberFormat="1" applyFont="1" applyFill="1" applyBorder="1" applyAlignment="1">
      <alignment horizontal="left"/>
    </xf>
    <xf numFmtId="3" fontId="13" fillId="4" borderId="5" xfId="15" applyNumberFormat="1" applyFont="1" applyFill="1" applyBorder="1" applyAlignment="1">
      <alignment horizontal="left"/>
    </xf>
    <xf numFmtId="3" fontId="0" fillId="4" borderId="79" xfId="0" applyNumberFormat="1" applyFont="1" applyFill="1" applyBorder="1" applyAlignment="1">
      <alignment horizontal="center"/>
    </xf>
    <xf numFmtId="3" fontId="17" fillId="4" borderId="79" xfId="0" applyNumberFormat="1" applyFont="1" applyFill="1" applyBorder="1" applyAlignment="1">
      <alignment horizontal="center"/>
    </xf>
    <xf numFmtId="3" fontId="7" fillId="4" borderId="79" xfId="0" applyNumberFormat="1" applyFont="1" applyFill="1" applyBorder="1" applyAlignment="1">
      <alignment horizontal="center"/>
    </xf>
    <xf numFmtId="3" fontId="7" fillId="4" borderId="80" xfId="0" applyNumberFormat="1" applyFont="1" applyFill="1" applyBorder="1" applyAlignment="1">
      <alignment horizontal="center"/>
    </xf>
    <xf numFmtId="3" fontId="17" fillId="4" borderId="80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50" xfId="0" applyNumberFormat="1" applyFont="1" applyFill="1" applyBorder="1" applyAlignment="1">
      <alignment horizontal="center"/>
    </xf>
    <xf numFmtId="3" fontId="13" fillId="4" borderId="5" xfId="15" applyNumberFormat="1" applyFont="1" applyFill="1" applyBorder="1" applyAlignment="1">
      <alignment horizontal="center"/>
    </xf>
    <xf numFmtId="3" fontId="13" fillId="2" borderId="15" xfId="0" applyNumberFormat="1" applyFont="1" applyFill="1" applyBorder="1" applyAlignment="1">
      <alignment wrapText="1"/>
    </xf>
    <xf numFmtId="3" fontId="0" fillId="4" borderId="24" xfId="0" applyNumberFormat="1" applyFont="1" applyFill="1" applyBorder="1" applyAlignment="1">
      <alignment horizontal="center"/>
    </xf>
    <xf numFmtId="3" fontId="7" fillId="4" borderId="75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wrapText="1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horizontal="right" wrapText="1"/>
    </xf>
    <xf numFmtId="0" fontId="0" fillId="3" borderId="17" xfId="0" applyFont="1" applyFill="1" applyBorder="1" applyAlignment="1">
      <alignment horizontal="left" wrapText="1"/>
    </xf>
    <xf numFmtId="3" fontId="0" fillId="3" borderId="17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0" fontId="12" fillId="0" borderId="54" xfId="0" applyFont="1" applyBorder="1" applyAlignment="1">
      <alignment/>
    </xf>
    <xf numFmtId="3" fontId="12" fillId="0" borderId="54" xfId="0" applyNumberFormat="1" applyFont="1" applyBorder="1" applyAlignment="1">
      <alignment/>
    </xf>
    <xf numFmtId="3" fontId="0" fillId="0" borderId="27" xfId="0" applyNumberFormat="1" applyFont="1" applyBorder="1" applyAlignment="1">
      <alignment wrapText="1"/>
    </xf>
    <xf numFmtId="3" fontId="0" fillId="0" borderId="81" xfId="0" applyNumberFormat="1" applyFont="1" applyBorder="1" applyAlignment="1">
      <alignment wrapText="1"/>
    </xf>
    <xf numFmtId="3" fontId="0" fillId="0" borderId="82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0" fontId="15" fillId="4" borderId="32" xfId="0" applyFont="1" applyFill="1" applyBorder="1" applyAlignment="1">
      <alignment wrapText="1"/>
    </xf>
    <xf numFmtId="3" fontId="13" fillId="3" borderId="16" xfId="0" applyNumberFormat="1" applyFont="1" applyFill="1" applyBorder="1" applyAlignment="1">
      <alignment horizontal="right"/>
    </xf>
    <xf numFmtId="0" fontId="15" fillId="4" borderId="30" xfId="0" applyFont="1" applyFill="1" applyBorder="1" applyAlignment="1">
      <alignment wrapText="1"/>
    </xf>
    <xf numFmtId="3" fontId="15" fillId="0" borderId="30" xfId="0" applyNumberFormat="1" applyFont="1" applyFill="1" applyBorder="1" applyAlignment="1">
      <alignment horizontal="right"/>
    </xf>
    <xf numFmtId="3" fontId="15" fillId="4" borderId="30" xfId="0" applyNumberFormat="1" applyFont="1" applyFill="1" applyBorder="1" applyAlignment="1">
      <alignment horizontal="right"/>
    </xf>
    <xf numFmtId="0" fontId="13" fillId="2" borderId="27" xfId="0" applyFont="1" applyFill="1" applyBorder="1" applyAlignment="1">
      <alignment horizontal="left" wrapText="1"/>
    </xf>
    <xf numFmtId="3" fontId="15" fillId="4" borderId="15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 horizontal="right"/>
    </xf>
    <xf numFmtId="3" fontId="13" fillId="4" borderId="41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 wrapText="1"/>
    </xf>
    <xf numFmtId="3" fontId="15" fillId="4" borderId="1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wrapText="1"/>
    </xf>
    <xf numFmtId="0" fontId="15" fillId="0" borderId="51" xfId="0" applyFont="1" applyBorder="1" applyAlignment="1">
      <alignment wrapText="1"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25" xfId="0" applyNumberFormat="1" applyFont="1" applyBorder="1" applyAlignment="1">
      <alignment horizontal="right"/>
    </xf>
    <xf numFmtId="3" fontId="12" fillId="0" borderId="25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15" fillId="4" borderId="16" xfId="0" applyFont="1" applyFill="1" applyBorder="1" applyAlignment="1">
      <alignment horizontal="left" wrapText="1"/>
    </xf>
    <xf numFmtId="3" fontId="0" fillId="4" borderId="17" xfId="15" applyNumberFormat="1" applyFont="1" applyFill="1" applyBorder="1" applyAlignment="1">
      <alignment horizontal="right"/>
    </xf>
    <xf numFmtId="3" fontId="13" fillId="4" borderId="45" xfId="0" applyNumberFormat="1" applyFont="1" applyFill="1" applyBorder="1" applyAlignment="1">
      <alignment horizontal="right"/>
    </xf>
    <xf numFmtId="3" fontId="13" fillId="4" borderId="41" xfId="15" applyNumberFormat="1" applyFont="1" applyFill="1" applyBorder="1" applyAlignment="1">
      <alignment horizontal="right"/>
    </xf>
    <xf numFmtId="3" fontId="13" fillId="4" borderId="15" xfId="0" applyNumberFormat="1" applyFont="1" applyFill="1" applyBorder="1" applyAlignment="1">
      <alignment/>
    </xf>
    <xf numFmtId="3" fontId="13" fillId="4" borderId="31" xfId="0" applyNumberFormat="1" applyFont="1" applyFill="1" applyBorder="1" applyAlignment="1">
      <alignment/>
    </xf>
    <xf numFmtId="3" fontId="13" fillId="4" borderId="31" xfId="15" applyNumberFormat="1" applyFont="1" applyFill="1" applyBorder="1" applyAlignment="1">
      <alignment horizontal="right"/>
    </xf>
    <xf numFmtId="3" fontId="0" fillId="4" borderId="27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13" fillId="4" borderId="83" xfId="0" applyNumberFormat="1" applyFont="1" applyFill="1" applyBorder="1" applyAlignment="1">
      <alignment/>
    </xf>
    <xf numFmtId="3" fontId="13" fillId="4" borderId="83" xfId="15" applyNumberFormat="1" applyFont="1" applyFill="1" applyBorder="1" applyAlignment="1">
      <alignment horizontal="right"/>
    </xf>
    <xf numFmtId="3" fontId="0" fillId="4" borderId="15" xfId="15" applyNumberFormat="1" applyFont="1" applyFill="1" applyBorder="1" applyAlignment="1">
      <alignment horizontal="right"/>
    </xf>
    <xf numFmtId="3" fontId="0" fillId="4" borderId="27" xfId="15" applyNumberFormat="1" applyFont="1" applyFill="1" applyBorder="1" applyAlignment="1">
      <alignment horizontal="right"/>
    </xf>
    <xf numFmtId="3" fontId="0" fillId="4" borderId="17" xfId="15" applyNumberFormat="1" applyFont="1" applyFill="1" applyBorder="1" applyAlignment="1">
      <alignment horizontal="right"/>
    </xf>
    <xf numFmtId="3" fontId="0" fillId="4" borderId="29" xfId="15" applyNumberFormat="1" applyFont="1" applyFill="1" applyBorder="1" applyAlignment="1">
      <alignment horizontal="right"/>
    </xf>
    <xf numFmtId="3" fontId="6" fillId="4" borderId="28" xfId="15" applyNumberFormat="1" applyFont="1" applyFill="1" applyBorder="1" applyAlignment="1">
      <alignment horizontal="right"/>
    </xf>
    <xf numFmtId="3" fontId="13" fillId="4" borderId="83" xfId="0" applyNumberFormat="1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1" fontId="13" fillId="0" borderId="17" xfId="0" applyNumberFormat="1" applyFont="1" applyBorder="1" applyAlignment="1">
      <alignment/>
    </xf>
    <xf numFmtId="3" fontId="13" fillId="0" borderId="15" xfId="0" applyNumberFormat="1" applyFont="1" applyBorder="1" applyAlignment="1">
      <alignment wrapText="1"/>
    </xf>
    <xf numFmtId="3" fontId="13" fillId="0" borderId="29" xfId="0" applyNumberFormat="1" applyFont="1" applyBorder="1" applyAlignment="1">
      <alignment wrapText="1"/>
    </xf>
    <xf numFmtId="3" fontId="13" fillId="0" borderId="76" xfId="0" applyNumberFormat="1" applyFont="1" applyBorder="1" applyAlignment="1">
      <alignment wrapText="1"/>
    </xf>
    <xf numFmtId="3" fontId="13" fillId="0" borderId="77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3" fillId="0" borderId="52" xfId="0" applyNumberFormat="1" applyFont="1" applyBorder="1" applyAlignment="1">
      <alignment wrapText="1"/>
    </xf>
    <xf numFmtId="0" fontId="6" fillId="0" borderId="84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15" fillId="3" borderId="85" xfId="0" applyFont="1" applyFill="1" applyBorder="1" applyAlignment="1">
      <alignment horizontal="left" wrapText="1"/>
    </xf>
    <xf numFmtId="3" fontId="15" fillId="3" borderId="16" xfId="0" applyNumberFormat="1" applyFont="1" applyFill="1" applyBorder="1" applyAlignment="1">
      <alignment horizontal="right" wrapText="1"/>
    </xf>
    <xf numFmtId="1" fontId="13" fillId="3" borderId="31" xfId="0" applyNumberFormat="1" applyFont="1" applyFill="1" applyBorder="1" applyAlignment="1">
      <alignment/>
    </xf>
    <xf numFmtId="3" fontId="13" fillId="3" borderId="31" xfId="0" applyNumberFormat="1" applyFont="1" applyFill="1" applyBorder="1" applyAlignment="1">
      <alignment wrapText="1"/>
    </xf>
    <xf numFmtId="3" fontId="13" fillId="0" borderId="86" xfId="0" applyNumberFormat="1" applyFont="1" applyBorder="1" applyAlignment="1">
      <alignment wrapText="1"/>
    </xf>
    <xf numFmtId="3" fontId="13" fillId="0" borderId="87" xfId="0" applyNumberFormat="1" applyFont="1" applyBorder="1" applyAlignment="1">
      <alignment wrapText="1"/>
    </xf>
    <xf numFmtId="3" fontId="13" fillId="0" borderId="88" xfId="0" applyNumberFormat="1" applyFont="1" applyBorder="1" applyAlignment="1">
      <alignment wrapText="1"/>
    </xf>
    <xf numFmtId="3" fontId="13" fillId="0" borderId="31" xfId="0" applyNumberFormat="1" applyFont="1" applyBorder="1" applyAlignment="1">
      <alignment wrapText="1"/>
    </xf>
    <xf numFmtId="3" fontId="13" fillId="0" borderId="89" xfId="0" applyNumberFormat="1" applyFont="1" applyBorder="1" applyAlignment="1">
      <alignment wrapText="1"/>
    </xf>
    <xf numFmtId="3" fontId="0" fillId="0" borderId="73" xfId="0" applyNumberFormat="1" applyFont="1" applyBorder="1" applyAlignment="1">
      <alignment wrapText="1"/>
    </xf>
    <xf numFmtId="3" fontId="0" fillId="0" borderId="90" xfId="0" applyNumberFormat="1" applyFont="1" applyBorder="1" applyAlignment="1">
      <alignment wrapText="1"/>
    </xf>
    <xf numFmtId="3" fontId="0" fillId="0" borderId="91" xfId="0" applyNumberFormat="1" applyFont="1" applyBorder="1" applyAlignment="1">
      <alignment wrapText="1"/>
    </xf>
    <xf numFmtId="3" fontId="0" fillId="0" borderId="92" xfId="0" applyNumberFormat="1" applyFont="1" applyBorder="1" applyAlignment="1">
      <alignment wrapText="1"/>
    </xf>
    <xf numFmtId="3" fontId="0" fillId="0" borderId="9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3" fillId="3" borderId="15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wrapText="1"/>
    </xf>
    <xf numFmtId="3" fontId="12" fillId="0" borderId="27" xfId="0" applyNumberFormat="1" applyFont="1" applyBorder="1" applyAlignment="1">
      <alignment wrapText="1"/>
    </xf>
    <xf numFmtId="3" fontId="13" fillId="3" borderId="29" xfId="0" applyNumberFormat="1" applyFont="1" applyFill="1" applyBorder="1" applyAlignment="1">
      <alignment horizontal="right" wrapText="1"/>
    </xf>
    <xf numFmtId="0" fontId="15" fillId="4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right" wrapText="1"/>
    </xf>
    <xf numFmtId="3" fontId="15" fillId="4" borderId="16" xfId="0" applyNumberFormat="1" applyFont="1" applyFill="1" applyBorder="1" applyAlignment="1">
      <alignment horizontal="righ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0" xfId="0" applyFont="1" applyFill="1" applyAlignment="1">
      <alignment/>
    </xf>
    <xf numFmtId="3" fontId="12" fillId="0" borderId="25" xfId="0" applyNumberFormat="1" applyFont="1" applyBorder="1" applyAlignment="1">
      <alignment wrapText="1"/>
    </xf>
    <xf numFmtId="0" fontId="6" fillId="2" borderId="15" xfId="0" applyFont="1" applyFill="1" applyBorder="1" applyAlignment="1">
      <alignment/>
    </xf>
    <xf numFmtId="3" fontId="12" fillId="0" borderId="54" xfId="0" applyNumberFormat="1" applyFont="1" applyFill="1" applyBorder="1" applyAlignment="1">
      <alignment horizontal="right"/>
    </xf>
    <xf numFmtId="1" fontId="13" fillId="3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3" fontId="0" fillId="0" borderId="94" xfId="0" applyNumberFormat="1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3" fontId="13" fillId="0" borderId="24" xfId="0" applyNumberFormat="1" applyFont="1" applyBorder="1" applyAlignment="1">
      <alignment/>
    </xf>
    <xf numFmtId="0" fontId="15" fillId="0" borderId="51" xfId="0" applyFont="1" applyBorder="1" applyAlignment="1">
      <alignment/>
    </xf>
    <xf numFmtId="3" fontId="12" fillId="3" borderId="25" xfId="0" applyNumberFormat="1" applyFont="1" applyFill="1" applyBorder="1" applyAlignment="1">
      <alignment horizontal="right"/>
    </xf>
    <xf numFmtId="3" fontId="15" fillId="3" borderId="17" xfId="0" applyNumberFormat="1" applyFont="1" applyFill="1" applyBorder="1" applyAlignment="1">
      <alignment horizontal="right" wrapText="1"/>
    </xf>
    <xf numFmtId="3" fontId="0" fillId="4" borderId="73" xfId="0" applyNumberFormat="1" applyFont="1" applyFill="1" applyBorder="1" applyAlignment="1">
      <alignment horizontal="right"/>
    </xf>
    <xf numFmtId="0" fontId="12" fillId="4" borderId="13" xfId="0" applyFont="1" applyFill="1" applyBorder="1" applyAlignment="1">
      <alignment/>
    </xf>
    <xf numFmtId="3" fontId="12" fillId="0" borderId="95" xfId="0" applyNumberFormat="1" applyFont="1" applyBorder="1" applyAlignment="1">
      <alignment horizontal="right"/>
    </xf>
    <xf numFmtId="3" fontId="12" fillId="4" borderId="95" xfId="0" applyNumberFormat="1" applyFont="1" applyFill="1" applyBorder="1" applyAlignment="1">
      <alignment/>
    </xf>
    <xf numFmtId="3" fontId="12" fillId="0" borderId="54" xfId="0" applyNumberFormat="1" applyFont="1" applyBorder="1" applyAlignment="1">
      <alignment horizontal="right"/>
    </xf>
    <xf numFmtId="3" fontId="12" fillId="4" borderId="54" xfId="0" applyNumberFormat="1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2" fillId="4" borderId="15" xfId="0" applyFont="1" applyFill="1" applyBorder="1" applyAlignment="1">
      <alignment/>
    </xf>
    <xf numFmtId="1" fontId="13" fillId="0" borderId="13" xfId="0" applyNumberFormat="1" applyFont="1" applyBorder="1" applyAlignment="1">
      <alignment/>
    </xf>
    <xf numFmtId="3" fontId="13" fillId="0" borderId="24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96" xfId="0" applyNumberFormat="1" applyFont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3" fontId="0" fillId="0" borderId="98" xfId="0" applyNumberFormat="1" applyFont="1" applyBorder="1" applyAlignment="1">
      <alignment wrapText="1"/>
    </xf>
    <xf numFmtId="3" fontId="12" fillId="0" borderId="53" xfId="0" applyNumberFormat="1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12" fillId="0" borderId="95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6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4" borderId="12" xfId="0" applyFont="1" applyFill="1" applyBorder="1" applyAlignment="1">
      <alignment/>
    </xf>
    <xf numFmtId="0" fontId="6" fillId="4" borderId="12" xfId="0" applyFont="1" applyFill="1" applyBorder="1" applyAlignment="1">
      <alignment horizontal="right" wrapText="1"/>
    </xf>
    <xf numFmtId="0" fontId="6" fillId="4" borderId="31" xfId="0" applyFont="1" applyFill="1" applyBorder="1" applyAlignment="1">
      <alignment wrapText="1"/>
    </xf>
    <xf numFmtId="0" fontId="6" fillId="4" borderId="31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horizontal="right"/>
    </xf>
    <xf numFmtId="0" fontId="6" fillId="2" borderId="5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 wrapText="1"/>
    </xf>
    <xf numFmtId="3" fontId="33" fillId="0" borderId="17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right" wrapText="1"/>
    </xf>
    <xf numFmtId="3" fontId="8" fillId="0" borderId="73" xfId="0" applyNumberFormat="1" applyFont="1" applyBorder="1" applyAlignment="1">
      <alignment wrapText="1"/>
    </xf>
    <xf numFmtId="3" fontId="8" fillId="0" borderId="73" xfId="0" applyNumberFormat="1" applyFont="1" applyBorder="1" applyAlignment="1">
      <alignment horizontal="right" wrapText="1"/>
    </xf>
    <xf numFmtId="1" fontId="6" fillId="0" borderId="17" xfId="0" applyNumberFormat="1" applyFont="1" applyBorder="1" applyAlignment="1">
      <alignment/>
    </xf>
    <xf numFmtId="3" fontId="17" fillId="0" borderId="17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right" wrapText="1"/>
    </xf>
    <xf numFmtId="1" fontId="8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/>
    </xf>
    <xf numFmtId="0" fontId="12" fillId="3" borderId="25" xfId="0" applyFont="1" applyFill="1" applyBorder="1" applyAlignment="1">
      <alignment/>
    </xf>
    <xf numFmtId="0" fontId="13" fillId="0" borderId="24" xfId="0" applyFont="1" applyBorder="1" applyAlignment="1">
      <alignment/>
    </xf>
    <xf numFmtId="0" fontId="0" fillId="0" borderId="22" xfId="0" applyFont="1" applyBorder="1" applyAlignment="1">
      <alignment wrapText="1"/>
    </xf>
    <xf numFmtId="3" fontId="12" fillId="3" borderId="17" xfId="0" applyNumberFormat="1" applyFont="1" applyFill="1" applyBorder="1" applyAlignment="1">
      <alignment horizontal="right"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3" fillId="4" borderId="4" xfId="15" applyNumberFormat="1" applyFont="1" applyFill="1" applyBorder="1" applyAlignment="1">
      <alignment horizontal="left"/>
    </xf>
    <xf numFmtId="3" fontId="0" fillId="4" borderId="100" xfId="0" applyNumberFormat="1" applyFont="1" applyFill="1" applyBorder="1" applyAlignment="1">
      <alignment horizontal="center"/>
    </xf>
    <xf numFmtId="3" fontId="17" fillId="4" borderId="64" xfId="0" applyNumberFormat="1" applyFont="1" applyFill="1" applyBorder="1" applyAlignment="1">
      <alignment horizontal="center"/>
    </xf>
    <xf numFmtId="3" fontId="17" fillId="4" borderId="101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3" fontId="12" fillId="0" borderId="5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12" fillId="0" borderId="25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3" fontId="13" fillId="2" borderId="34" xfId="0" applyNumberFormat="1" applyFont="1" applyFill="1" applyBorder="1" applyAlignment="1">
      <alignment horizontal="right" wrapText="1"/>
    </xf>
    <xf numFmtId="0" fontId="12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3" fontId="12" fillId="4" borderId="25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3" fontId="15" fillId="0" borderId="51" xfId="0" applyNumberFormat="1" applyFont="1" applyBorder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13" fillId="2" borderId="17" xfId="0" applyFont="1" applyFill="1" applyBorder="1" applyAlignment="1">
      <alignment wrapText="1"/>
    </xf>
    <xf numFmtId="3" fontId="0" fillId="4" borderId="13" xfId="0" applyNumberFormat="1" applyFont="1" applyFill="1" applyBorder="1" applyAlignment="1">
      <alignment/>
    </xf>
    <xf numFmtId="0" fontId="0" fillId="0" borderId="73" xfId="0" applyFont="1" applyBorder="1" applyAlignment="1">
      <alignment wrapText="1"/>
    </xf>
    <xf numFmtId="3" fontId="15" fillId="4" borderId="17" xfId="15" applyNumberFormat="1" applyFont="1" applyFill="1" applyBorder="1" applyAlignment="1">
      <alignment horizontal="right"/>
    </xf>
    <xf numFmtId="0" fontId="12" fillId="0" borderId="53" xfId="0" applyFont="1" applyBorder="1" applyAlignment="1">
      <alignment wrapText="1"/>
    </xf>
    <xf numFmtId="3" fontId="13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wrapText="1"/>
    </xf>
    <xf numFmtId="0" fontId="12" fillId="0" borderId="21" xfId="0" applyFont="1" applyBorder="1" applyAlignment="1">
      <alignment wrapText="1"/>
    </xf>
    <xf numFmtId="3" fontId="0" fillId="0" borderId="13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37" fillId="0" borderId="0" xfId="0" applyFont="1" applyFill="1" applyAlignment="1">
      <alignment/>
    </xf>
    <xf numFmtId="0" fontId="41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4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0" fontId="36" fillId="4" borderId="13" xfId="0" applyFont="1" applyFill="1" applyBorder="1" applyAlignment="1">
      <alignment/>
    </xf>
    <xf numFmtId="0" fontId="35" fillId="4" borderId="12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wrapText="1"/>
    </xf>
    <xf numFmtId="0" fontId="35" fillId="4" borderId="12" xfId="0" applyFont="1" applyFill="1" applyBorder="1" applyAlignment="1">
      <alignment horizontal="center" wrapText="1"/>
    </xf>
    <xf numFmtId="3" fontId="35" fillId="4" borderId="12" xfId="0" applyNumberFormat="1" applyFont="1" applyFill="1" applyBorder="1" applyAlignment="1">
      <alignment horizontal="right"/>
    </xf>
    <xf numFmtId="0" fontId="3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1" fontId="34" fillId="0" borderId="13" xfId="0" applyNumberFormat="1" applyFont="1" applyBorder="1" applyAlignment="1">
      <alignment/>
    </xf>
    <xf numFmtId="3" fontId="34" fillId="0" borderId="73" xfId="0" applyNumberFormat="1" applyFont="1" applyBorder="1" applyAlignment="1">
      <alignment horizontal="right" wrapText="1"/>
    </xf>
    <xf numFmtId="3" fontId="34" fillId="0" borderId="73" xfId="0" applyNumberFormat="1" applyFont="1" applyBorder="1" applyAlignment="1">
      <alignment/>
    </xf>
    <xf numFmtId="0" fontId="36" fillId="4" borderId="31" xfId="0" applyFont="1" applyFill="1" applyBorder="1" applyAlignment="1">
      <alignment/>
    </xf>
    <xf numFmtId="0" fontId="35" fillId="4" borderId="41" xfId="0" applyFont="1" applyFill="1" applyBorder="1" applyAlignment="1">
      <alignment horizontal="left" wrapText="1"/>
    </xf>
    <xf numFmtId="0" fontId="35" fillId="4" borderId="41" xfId="0" applyFont="1" applyFill="1" applyBorder="1" applyAlignment="1">
      <alignment wrapText="1"/>
    </xf>
    <xf numFmtId="0" fontId="35" fillId="4" borderId="41" xfId="0" applyFont="1" applyFill="1" applyBorder="1" applyAlignment="1">
      <alignment horizontal="center" wrapText="1"/>
    </xf>
    <xf numFmtId="3" fontId="35" fillId="4" borderId="41" xfId="0" applyNumberFormat="1" applyFont="1" applyFill="1" applyBorder="1" applyAlignment="1">
      <alignment horizontal="right"/>
    </xf>
    <xf numFmtId="3" fontId="35" fillId="4" borderId="13" xfId="0" applyNumberFormat="1" applyFont="1" applyFill="1" applyBorder="1" applyAlignment="1">
      <alignment horizontal="right"/>
    </xf>
    <xf numFmtId="3" fontId="6" fillId="4" borderId="16" xfId="15" applyNumberFormat="1" applyFont="1" applyFill="1" applyBorder="1" applyAlignment="1">
      <alignment horizontal="right"/>
    </xf>
    <xf numFmtId="3" fontId="0" fillId="4" borderId="24" xfId="0" applyNumberFormat="1" applyFont="1" applyFill="1" applyBorder="1" applyAlignment="1">
      <alignment/>
    </xf>
    <xf numFmtId="3" fontId="0" fillId="4" borderId="24" xfId="15" applyNumberFormat="1" applyFont="1" applyFill="1" applyBorder="1" applyAlignment="1">
      <alignment horizontal="right"/>
    </xf>
    <xf numFmtId="3" fontId="13" fillId="4" borderId="102" xfId="15" applyNumberFormat="1" applyFont="1" applyFill="1" applyBorder="1" applyAlignment="1">
      <alignment horizontal="right"/>
    </xf>
    <xf numFmtId="3" fontId="13" fillId="4" borderId="89" xfId="15" applyNumberFormat="1" applyFont="1" applyFill="1" applyBorder="1" applyAlignment="1">
      <alignment horizontal="right"/>
    </xf>
    <xf numFmtId="0" fontId="5" fillId="2" borderId="52" xfId="0" applyFont="1" applyFill="1" applyBorder="1" applyAlignment="1">
      <alignment wrapText="1"/>
    </xf>
    <xf numFmtId="3" fontId="5" fillId="2" borderId="17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13" fillId="2" borderId="15" xfId="0" applyFont="1" applyFill="1" applyBorder="1" applyAlignment="1">
      <alignment horizontal="right"/>
    </xf>
    <xf numFmtId="0" fontId="13" fillId="2" borderId="27" xfId="0" applyFont="1" applyFill="1" applyBorder="1" applyAlignment="1">
      <alignment/>
    </xf>
    <xf numFmtId="3" fontId="24" fillId="0" borderId="14" xfId="18" applyNumberFormat="1" applyFont="1" applyFill="1" applyBorder="1" applyAlignment="1">
      <alignment/>
      <protection/>
    </xf>
    <xf numFmtId="3" fontId="24" fillId="0" borderId="14" xfId="18" applyNumberFormat="1" applyFont="1" applyFill="1" applyBorder="1" applyAlignment="1">
      <alignment horizontal="center"/>
      <protection/>
    </xf>
    <xf numFmtId="3" fontId="24" fillId="0" borderId="14" xfId="18" applyNumberFormat="1" applyFont="1" applyFill="1" applyBorder="1" applyAlignment="1">
      <alignment horizontal="right"/>
      <protection/>
    </xf>
    <xf numFmtId="3" fontId="24" fillId="0" borderId="13" xfId="18" applyNumberFormat="1" applyFont="1" applyFill="1" applyBorder="1" applyAlignment="1">
      <alignment horizontal="right"/>
      <protection/>
    </xf>
    <xf numFmtId="3" fontId="12" fillId="0" borderId="103" xfId="0" applyNumberFormat="1" applyFont="1" applyFill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104" xfId="0" applyFont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13" fillId="4" borderId="105" xfId="0" applyNumberFormat="1" applyFont="1" applyFill="1" applyBorder="1" applyAlignment="1">
      <alignment/>
    </xf>
    <xf numFmtId="3" fontId="13" fillId="4" borderId="106" xfId="0" applyNumberFormat="1" applyFont="1" applyFill="1" applyBorder="1" applyAlignment="1">
      <alignment horizontal="left" vertical="center"/>
    </xf>
    <xf numFmtId="3" fontId="13" fillId="4" borderId="51" xfId="0" applyNumberFormat="1" applyFont="1" applyFill="1" applyBorder="1" applyAlignment="1">
      <alignment horizontal="right"/>
    </xf>
    <xf numFmtId="3" fontId="13" fillId="4" borderId="51" xfId="15" applyNumberFormat="1" applyFont="1" applyFill="1" applyBorder="1" applyAlignment="1">
      <alignment horizontal="right"/>
    </xf>
    <xf numFmtId="0" fontId="6" fillId="0" borderId="32" xfId="18" applyFont="1" applyFill="1" applyBorder="1" applyAlignment="1">
      <alignment horizontal="left" wrapText="1"/>
      <protection/>
    </xf>
    <xf numFmtId="3" fontId="28" fillId="0" borderId="32" xfId="18" applyNumberFormat="1" applyFont="1" applyFill="1" applyBorder="1" applyAlignment="1">
      <alignment horizontal="right" wrapText="1"/>
      <protection/>
    </xf>
    <xf numFmtId="0" fontId="0" fillId="0" borderId="13" xfId="0" applyFont="1" applyFill="1" applyBorder="1" applyAlignment="1">
      <alignment wrapText="1"/>
    </xf>
    <xf numFmtId="3" fontId="25" fillId="0" borderId="98" xfId="18" applyNumberFormat="1" applyFont="1" applyFill="1" applyBorder="1" applyAlignment="1">
      <alignment/>
      <protection/>
    </xf>
    <xf numFmtId="3" fontId="24" fillId="0" borderId="25" xfId="18" applyNumberFormat="1" applyFont="1" applyFill="1" applyBorder="1" applyAlignment="1">
      <alignment horizontal="right"/>
      <protection/>
    </xf>
    <xf numFmtId="3" fontId="25" fillId="0" borderId="22" xfId="18" applyNumberFormat="1" applyFont="1" applyFill="1" applyBorder="1" applyAlignment="1">
      <alignment/>
      <protection/>
    </xf>
    <xf numFmtId="3" fontId="25" fillId="0" borderId="22" xfId="18" applyNumberFormat="1" applyFont="1" applyFill="1" applyBorder="1" applyAlignment="1">
      <alignment horizontal="center"/>
      <protection/>
    </xf>
    <xf numFmtId="3" fontId="25" fillId="0" borderId="22" xfId="18" applyNumberFormat="1" applyFont="1" applyFill="1" applyBorder="1" applyAlignment="1">
      <alignment horizontal="right"/>
      <protection/>
    </xf>
    <xf numFmtId="3" fontId="24" fillId="0" borderId="107" xfId="18" applyNumberFormat="1" applyFont="1" applyFill="1" applyBorder="1" applyAlignment="1">
      <alignment/>
      <protection/>
    </xf>
    <xf numFmtId="3" fontId="24" fillId="0" borderId="108" xfId="18" applyNumberFormat="1" applyFont="1" applyFill="1" applyBorder="1" applyAlignment="1">
      <alignment/>
      <protection/>
    </xf>
    <xf numFmtId="3" fontId="24" fillId="0" borderId="108" xfId="18" applyNumberFormat="1" applyFont="1" applyFill="1" applyBorder="1" applyAlignment="1">
      <alignment horizontal="right"/>
      <protection/>
    </xf>
    <xf numFmtId="3" fontId="24" fillId="0" borderId="107" xfId="18" applyNumberFormat="1" applyFont="1" applyFill="1" applyBorder="1" applyAlignment="1">
      <alignment horizontal="right"/>
      <protection/>
    </xf>
    <xf numFmtId="0" fontId="0" fillId="0" borderId="13" xfId="0" applyFont="1" applyBorder="1" applyAlignment="1">
      <alignment/>
    </xf>
    <xf numFmtId="3" fontId="0" fillId="0" borderId="13" xfId="0" applyNumberFormat="1" applyFont="1" applyFill="1" applyBorder="1" applyAlignment="1">
      <alignment wrapText="1"/>
    </xf>
    <xf numFmtId="0" fontId="13" fillId="3" borderId="1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vertical="top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0" fontId="0" fillId="0" borderId="78" xfId="0" applyFont="1" applyBorder="1" applyAlignment="1">
      <alignment/>
    </xf>
    <xf numFmtId="3" fontId="0" fillId="0" borderId="78" xfId="0" applyNumberFormat="1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09" xfId="0" applyFont="1" applyBorder="1" applyAlignment="1">
      <alignment/>
    </xf>
    <xf numFmtId="3" fontId="0" fillId="0" borderId="109" xfId="0" applyNumberFormat="1" applyFont="1" applyFill="1" applyBorder="1" applyAlignment="1">
      <alignment horizontal="right"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 horizontal="right" wrapText="1"/>
    </xf>
    <xf numFmtId="0" fontId="12" fillId="0" borderId="95" xfId="0" applyFont="1" applyBorder="1" applyAlignment="1">
      <alignment/>
    </xf>
    <xf numFmtId="3" fontId="12" fillId="0" borderId="95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12" fillId="0" borderId="103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 wrapText="1"/>
    </xf>
    <xf numFmtId="3" fontId="12" fillId="0" borderId="17" xfId="0" applyNumberFormat="1" applyFont="1" applyFill="1" applyBorder="1" applyAlignment="1">
      <alignment horizontal="right" wrapText="1"/>
    </xf>
    <xf numFmtId="0" fontId="0" fillId="0" borderId="33" xfId="0" applyFont="1" applyBorder="1" applyAlignment="1">
      <alignment horizontal="left" wrapText="1"/>
    </xf>
    <xf numFmtId="0" fontId="12" fillId="0" borderId="27" xfId="0" applyFont="1" applyBorder="1" applyAlignment="1">
      <alignment wrapText="1"/>
    </xf>
    <xf numFmtId="3" fontId="12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3" fillId="5" borderId="15" xfId="0" applyFont="1" applyFill="1" applyBorder="1" applyAlignment="1">
      <alignment/>
    </xf>
    <xf numFmtId="0" fontId="0" fillId="4" borderId="25" xfId="0" applyFont="1" applyFill="1" applyBorder="1" applyAlignment="1">
      <alignment horizontal="left"/>
    </xf>
    <xf numFmtId="3" fontId="12" fillId="0" borderId="13" xfId="0" applyNumberFormat="1" applyFont="1" applyBorder="1" applyAlignment="1">
      <alignment horizontal="right"/>
    </xf>
    <xf numFmtId="3" fontId="12" fillId="4" borderId="13" xfId="0" applyNumberFormat="1" applyFont="1" applyFill="1" applyBorder="1" applyAlignment="1">
      <alignment/>
    </xf>
    <xf numFmtId="0" fontId="12" fillId="0" borderId="95" xfId="0" applyFont="1" applyBorder="1" applyAlignment="1">
      <alignment wrapText="1"/>
    </xf>
    <xf numFmtId="0" fontId="12" fillId="0" borderId="110" xfId="0" applyFont="1" applyBorder="1" applyAlignment="1">
      <alignment/>
    </xf>
    <xf numFmtId="3" fontId="12" fillId="0" borderId="110" xfId="0" applyNumberFormat="1" applyFont="1" applyBorder="1" applyAlignment="1">
      <alignment horizontal="right"/>
    </xf>
    <xf numFmtId="0" fontId="12" fillId="0" borderId="95" xfId="0" applyFont="1" applyBorder="1" applyAlignment="1">
      <alignment/>
    </xf>
    <xf numFmtId="3" fontId="12" fillId="0" borderId="95" xfId="0" applyNumberFormat="1" applyFont="1" applyBorder="1" applyAlignment="1">
      <alignment horizontal="right"/>
    </xf>
    <xf numFmtId="0" fontId="12" fillId="0" borderId="110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12" fillId="0" borderId="111" xfId="0" applyFont="1" applyFill="1" applyBorder="1" applyAlignment="1">
      <alignment wrapText="1"/>
    </xf>
    <xf numFmtId="0" fontId="25" fillId="0" borderId="54" xfId="0" applyFont="1" applyFill="1" applyBorder="1" applyAlignment="1">
      <alignment wrapText="1"/>
    </xf>
    <xf numFmtId="0" fontId="0" fillId="3" borderId="15" xfId="0" applyFont="1" applyFill="1" applyBorder="1" applyAlignment="1">
      <alignment/>
    </xf>
    <xf numFmtId="0" fontId="12" fillId="3" borderId="23" xfId="0" applyFont="1" applyFill="1" applyBorder="1" applyAlignment="1">
      <alignment/>
    </xf>
    <xf numFmtId="0" fontId="18" fillId="0" borderId="16" xfId="0" applyFont="1" applyBorder="1" applyAlignment="1">
      <alignment/>
    </xf>
    <xf numFmtId="3" fontId="0" fillId="4" borderId="13" xfId="15" applyNumberFormat="1" applyFont="1" applyFill="1" applyBorder="1" applyAlignment="1">
      <alignment horizontal="right"/>
    </xf>
    <xf numFmtId="3" fontId="0" fillId="4" borderId="41" xfId="0" applyNumberFormat="1" applyFont="1" applyFill="1" applyBorder="1" applyAlignment="1">
      <alignment/>
    </xf>
    <xf numFmtId="3" fontId="0" fillId="4" borderId="42" xfId="0" applyNumberFormat="1" applyFont="1" applyFill="1" applyBorder="1" applyAlignment="1">
      <alignment/>
    </xf>
    <xf numFmtId="3" fontId="0" fillId="4" borderId="41" xfId="15" applyNumberFormat="1" applyFont="1" applyFill="1" applyBorder="1" applyAlignment="1">
      <alignment horizontal="right"/>
    </xf>
    <xf numFmtId="3" fontId="0" fillId="4" borderId="13" xfId="15" applyNumberFormat="1" applyFont="1" applyFill="1" applyBorder="1" applyAlignment="1">
      <alignment horizontal="right"/>
    </xf>
    <xf numFmtId="3" fontId="0" fillId="4" borderId="23" xfId="15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13" xfId="0" applyNumberFormat="1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3" xfId="0" applyFont="1" applyBorder="1" applyAlignment="1">
      <alignment wrapText="1"/>
    </xf>
    <xf numFmtId="3" fontId="12" fillId="4" borderId="15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0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3" fontId="12" fillId="0" borderId="103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3" borderId="23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5" fillId="0" borderId="31" xfId="0" applyFont="1" applyBorder="1" applyAlignment="1">
      <alignment/>
    </xf>
    <xf numFmtId="3" fontId="15" fillId="0" borderId="31" xfId="0" applyNumberFormat="1" applyFont="1" applyBorder="1" applyAlignment="1">
      <alignment/>
    </xf>
    <xf numFmtId="3" fontId="24" fillId="0" borderId="49" xfId="18" applyNumberFormat="1" applyFont="1" applyFill="1" applyBorder="1" applyAlignment="1">
      <alignment/>
      <protection/>
    </xf>
    <xf numFmtId="3" fontId="12" fillId="0" borderId="24" xfId="0" applyNumberFormat="1" applyFont="1" applyBorder="1" applyAlignment="1">
      <alignment horizontal="right"/>
    </xf>
    <xf numFmtId="3" fontId="12" fillId="0" borderId="103" xfId="0" applyNumberFormat="1" applyFont="1" applyBorder="1" applyAlignment="1">
      <alignment horizontal="right"/>
    </xf>
    <xf numFmtId="0" fontId="3" fillId="0" borderId="17" xfId="0" applyFont="1" applyBorder="1" applyAlignment="1">
      <alignment wrapText="1"/>
    </xf>
    <xf numFmtId="0" fontId="12" fillId="3" borderId="15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3" fontId="15" fillId="0" borderId="13" xfId="0" applyNumberFormat="1" applyFont="1" applyFill="1" applyBorder="1" applyAlignment="1">
      <alignment horizontal="right"/>
    </xf>
    <xf numFmtId="3" fontId="13" fillId="2" borderId="61" xfId="0" applyNumberFormat="1" applyFont="1" applyFill="1" applyBorder="1" applyAlignment="1">
      <alignment horizontal="right" wrapText="1"/>
    </xf>
    <xf numFmtId="0" fontId="13" fillId="2" borderId="34" xfId="0" applyFont="1" applyFill="1" applyBorder="1" applyAlignment="1">
      <alignment wrapText="1"/>
    </xf>
    <xf numFmtId="0" fontId="0" fillId="0" borderId="103" xfId="0" applyFont="1" applyBorder="1" applyAlignment="1">
      <alignment/>
    </xf>
    <xf numFmtId="0" fontId="12" fillId="3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3" fontId="13" fillId="2" borderId="34" xfId="0" applyNumberFormat="1" applyFont="1" applyFill="1" applyBorder="1" applyAlignment="1">
      <alignment horizontal="right"/>
    </xf>
    <xf numFmtId="3" fontId="43" fillId="0" borderId="17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wrapText="1"/>
    </xf>
    <xf numFmtId="0" fontId="12" fillId="0" borderId="25" xfId="0" applyFont="1" applyBorder="1" applyAlignment="1">
      <alignment/>
    </xf>
    <xf numFmtId="0" fontId="12" fillId="0" borderId="13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0" fillId="4" borderId="23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vertical="center"/>
    </xf>
    <xf numFmtId="3" fontId="0" fillId="4" borderId="55" xfId="0" applyNumberFormat="1" applyFont="1" applyFill="1" applyBorder="1" applyAlignment="1">
      <alignment/>
    </xf>
    <xf numFmtId="3" fontId="0" fillId="4" borderId="56" xfId="0" applyNumberFormat="1" applyFont="1" applyFill="1" applyBorder="1" applyAlignment="1">
      <alignment/>
    </xf>
    <xf numFmtId="3" fontId="0" fillId="4" borderId="55" xfId="15" applyNumberFormat="1" applyFont="1" applyFill="1" applyBorder="1" applyAlignment="1">
      <alignment horizontal="right"/>
    </xf>
    <xf numFmtId="3" fontId="0" fillId="4" borderId="23" xfId="0" applyNumberFormat="1" applyFont="1" applyFill="1" applyBorder="1" applyAlignment="1">
      <alignment/>
    </xf>
    <xf numFmtId="0" fontId="12" fillId="0" borderId="54" xfId="0" applyFont="1" applyBorder="1" applyAlignment="1">
      <alignment/>
    </xf>
    <xf numFmtId="3" fontId="13" fillId="0" borderId="29" xfId="0" applyNumberFormat="1" applyFont="1" applyBorder="1" applyAlignment="1">
      <alignment wrapText="1"/>
    </xf>
    <xf numFmtId="3" fontId="13" fillId="0" borderId="76" xfId="0" applyNumberFormat="1" applyFont="1" applyBorder="1" applyAlignment="1">
      <alignment wrapText="1"/>
    </xf>
    <xf numFmtId="3" fontId="13" fillId="0" borderId="77" xfId="0" applyNumberFormat="1" applyFont="1" applyBorder="1" applyAlignment="1">
      <alignment wrapText="1"/>
    </xf>
    <xf numFmtId="3" fontId="13" fillId="0" borderId="52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0" fillId="0" borderId="112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10" fillId="0" borderId="51" xfId="0" applyNumberFormat="1" applyFont="1" applyFill="1" applyBorder="1" applyAlignment="1">
      <alignment horizontal="left" wrapText="1"/>
    </xf>
    <xf numFmtId="0" fontId="13" fillId="4" borderId="113" xfId="0" applyFont="1" applyFill="1" applyBorder="1" applyAlignment="1">
      <alignment vertical="center" wrapText="1"/>
    </xf>
    <xf numFmtId="0" fontId="6" fillId="4" borderId="106" xfId="0" applyFont="1" applyFill="1" applyBorder="1" applyAlignment="1">
      <alignment horizontal="left" vertical="center" wrapText="1"/>
    </xf>
    <xf numFmtId="3" fontId="13" fillId="4" borderId="113" xfId="0" applyNumberFormat="1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3" fontId="12" fillId="4" borderId="13" xfId="0" applyNumberFormat="1" applyFont="1" applyFill="1" applyBorder="1" applyAlignment="1">
      <alignment wrapText="1"/>
    </xf>
    <xf numFmtId="0" fontId="15" fillId="4" borderId="51" xfId="0" applyFont="1" applyFill="1" applyBorder="1" applyAlignment="1">
      <alignment horizontal="left" wrapText="1"/>
    </xf>
    <xf numFmtId="3" fontId="15" fillId="0" borderId="51" xfId="0" applyNumberFormat="1" applyFont="1" applyFill="1" applyBorder="1" applyAlignment="1">
      <alignment horizontal="right"/>
    </xf>
    <xf numFmtId="3" fontId="15" fillId="4" borderId="51" xfId="0" applyNumberFormat="1" applyFont="1" applyFill="1" applyBorder="1" applyAlignment="1">
      <alignment horizontal="right"/>
    </xf>
    <xf numFmtId="3" fontId="13" fillId="2" borderId="34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12" fillId="4" borderId="111" xfId="0" applyNumberFormat="1" applyFont="1" applyFill="1" applyBorder="1" applyAlignment="1">
      <alignment/>
    </xf>
    <xf numFmtId="0" fontId="15" fillId="0" borderId="95" xfId="0" applyFont="1" applyBorder="1" applyAlignment="1">
      <alignment wrapText="1"/>
    </xf>
    <xf numFmtId="0" fontId="15" fillId="0" borderId="95" xfId="0" applyFont="1" applyBorder="1" applyAlignment="1">
      <alignment/>
    </xf>
    <xf numFmtId="3" fontId="12" fillId="0" borderId="95" xfId="0" applyNumberFormat="1" applyFont="1" applyBorder="1" applyAlignment="1">
      <alignment/>
    </xf>
    <xf numFmtId="3" fontId="12" fillId="0" borderId="53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0" fontId="12" fillId="0" borderId="95" xfId="0" applyFont="1" applyFill="1" applyBorder="1" applyAlignment="1">
      <alignment/>
    </xf>
    <xf numFmtId="3" fontId="12" fillId="0" borderId="54" xfId="0" applyNumberFormat="1" applyFont="1" applyFill="1" applyBorder="1" applyAlignment="1">
      <alignment/>
    </xf>
    <xf numFmtId="3" fontId="12" fillId="0" borderId="110" xfId="0" applyNumberFormat="1" applyFont="1" applyFill="1" applyBorder="1" applyAlignment="1">
      <alignment horizontal="right"/>
    </xf>
    <xf numFmtId="3" fontId="12" fillId="0" borderId="110" xfId="0" applyNumberFormat="1" applyFont="1" applyBorder="1" applyAlignment="1">
      <alignment horizontal="right"/>
    </xf>
    <xf numFmtId="0" fontId="12" fillId="0" borderId="110" xfId="0" applyFont="1" applyBorder="1" applyAlignment="1">
      <alignment/>
    </xf>
    <xf numFmtId="3" fontId="0" fillId="0" borderId="24" xfId="0" applyNumberFormat="1" applyFont="1" applyBorder="1" applyAlignment="1">
      <alignment wrapText="1"/>
    </xf>
    <xf numFmtId="3" fontId="0" fillId="0" borderId="112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39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0" fillId="0" borderId="94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0" borderId="103" xfId="0" applyNumberFormat="1" applyFont="1" applyBorder="1" applyAlignment="1">
      <alignment wrapText="1"/>
    </xf>
    <xf numFmtId="3" fontId="0" fillId="0" borderId="114" xfId="0" applyNumberFormat="1" applyFont="1" applyBorder="1" applyAlignment="1">
      <alignment wrapText="1"/>
    </xf>
    <xf numFmtId="3" fontId="0" fillId="0" borderId="115" xfId="0" applyNumberFormat="1" applyFont="1" applyBorder="1" applyAlignment="1">
      <alignment wrapText="1"/>
    </xf>
    <xf numFmtId="3" fontId="0" fillId="0" borderId="116" xfId="0" applyNumberFormat="1" applyFont="1" applyBorder="1" applyAlignment="1">
      <alignment wrapText="1"/>
    </xf>
    <xf numFmtId="3" fontId="0" fillId="0" borderId="117" xfId="0" applyNumberFormat="1" applyFont="1" applyBorder="1" applyAlignment="1">
      <alignment wrapText="1"/>
    </xf>
    <xf numFmtId="3" fontId="0" fillId="0" borderId="118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 wrapText="1"/>
    </xf>
    <xf numFmtId="0" fontId="0" fillId="0" borderId="103" xfId="0" applyFont="1" applyBorder="1" applyAlignment="1">
      <alignment wrapText="1"/>
    </xf>
    <xf numFmtId="3" fontId="44" fillId="4" borderId="41" xfId="0" applyNumberFormat="1" applyFont="1" applyFill="1" applyBorder="1" applyAlignment="1">
      <alignment horizontal="right"/>
    </xf>
    <xf numFmtId="0" fontId="0" fillId="0" borderId="21" xfId="0" applyFont="1" applyBorder="1" applyAlignment="1">
      <alignment wrapText="1"/>
    </xf>
    <xf numFmtId="3" fontId="45" fillId="0" borderId="0" xfId="0" applyNumberFormat="1" applyFont="1" applyFill="1" applyAlignment="1">
      <alignment/>
    </xf>
    <xf numFmtId="0" fontId="15" fillId="0" borderId="16" xfId="0" applyFont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3" fontId="0" fillId="0" borderId="73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wrapText="1"/>
    </xf>
    <xf numFmtId="3" fontId="0" fillId="0" borderId="47" xfId="0" applyNumberFormat="1" applyFont="1" applyFill="1" applyBorder="1" applyAlignment="1">
      <alignment wrapText="1"/>
    </xf>
    <xf numFmtId="3" fontId="0" fillId="0" borderId="48" xfId="0" applyNumberFormat="1" applyFont="1" applyFill="1" applyBorder="1" applyAlignment="1">
      <alignment wrapText="1"/>
    </xf>
    <xf numFmtId="3" fontId="0" fillId="0" borderId="94" xfId="0" applyNumberFormat="1" applyFont="1" applyFill="1" applyBorder="1" applyAlignment="1">
      <alignment wrapText="1"/>
    </xf>
    <xf numFmtId="3" fontId="0" fillId="0" borderId="49" xfId="0" applyNumberFormat="1" applyFont="1" applyFill="1" applyBorder="1" applyAlignment="1">
      <alignment wrapText="1"/>
    </xf>
    <xf numFmtId="3" fontId="8" fillId="0" borderId="17" xfId="0" applyNumberFormat="1" applyFont="1" applyBorder="1" applyAlignment="1">
      <alignment wrapText="1"/>
    </xf>
    <xf numFmtId="3" fontId="6" fillId="0" borderId="17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3" fontId="8" fillId="0" borderId="17" xfId="0" applyNumberFormat="1" applyFont="1" applyBorder="1" applyAlignment="1">
      <alignment horizontal="center" wrapText="1"/>
    </xf>
    <xf numFmtId="3" fontId="0" fillId="0" borderId="112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0" borderId="39" xfId="0" applyNumberFormat="1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1" fontId="15" fillId="3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3" fontId="15" fillId="0" borderId="51" xfId="0" applyNumberFormat="1" applyFont="1" applyBorder="1" applyAlignment="1">
      <alignment wrapText="1"/>
    </xf>
    <xf numFmtId="3" fontId="15" fillId="0" borderId="119" xfId="0" applyNumberFormat="1" applyFont="1" applyBorder="1" applyAlignment="1">
      <alignment wrapText="1"/>
    </xf>
    <xf numFmtId="3" fontId="15" fillId="0" borderId="19" xfId="0" applyNumberFormat="1" applyFont="1" applyBorder="1" applyAlignment="1">
      <alignment wrapText="1"/>
    </xf>
    <xf numFmtId="3" fontId="15" fillId="0" borderId="120" xfId="0" applyNumberFormat="1" applyFont="1" applyBorder="1" applyAlignment="1">
      <alignment wrapText="1"/>
    </xf>
    <xf numFmtId="3" fontId="15" fillId="0" borderId="121" xfId="0" applyNumberFormat="1" applyFont="1" applyBorder="1" applyAlignment="1">
      <alignment wrapText="1"/>
    </xf>
    <xf numFmtId="1" fontId="13" fillId="0" borderId="15" xfId="0" applyNumberFormat="1" applyFont="1" applyBorder="1" applyAlignment="1">
      <alignment/>
    </xf>
    <xf numFmtId="0" fontId="12" fillId="0" borderId="53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103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right" wrapText="1"/>
    </xf>
    <xf numFmtId="0" fontId="13" fillId="4" borderId="99" xfId="0" applyFont="1" applyFill="1" applyBorder="1" applyAlignment="1">
      <alignment horizontal="center" vertical="center" wrapText="1"/>
    </xf>
    <xf numFmtId="3" fontId="6" fillId="2" borderId="50" xfId="0" applyNumberFormat="1" applyFont="1" applyFill="1" applyBorder="1" applyAlignment="1">
      <alignment horizontal="right"/>
    </xf>
    <xf numFmtId="3" fontId="6" fillId="0" borderId="52" xfId="0" applyNumberFormat="1" applyFont="1" applyBorder="1" applyAlignment="1">
      <alignment horizontal="right" wrapText="1"/>
    </xf>
    <xf numFmtId="3" fontId="6" fillId="0" borderId="26" xfId="0" applyNumberFormat="1" applyFont="1" applyBorder="1" applyAlignment="1">
      <alignment horizontal="right" wrapText="1"/>
    </xf>
    <xf numFmtId="0" fontId="13" fillId="4" borderId="46" xfId="0" applyFont="1" applyFill="1" applyBorder="1" applyAlignment="1">
      <alignment horizontal="center" vertical="top" wrapText="1"/>
    </xf>
    <xf numFmtId="0" fontId="7" fillId="0" borderId="122" xfId="0" applyFont="1" applyBorder="1" applyAlignment="1">
      <alignment horizontal="center" vertical="center" wrapText="1"/>
    </xf>
    <xf numFmtId="3" fontId="6" fillId="4" borderId="86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6" fillId="0" borderId="29" xfId="0" applyNumberFormat="1" applyFont="1" applyBorder="1" applyAlignment="1">
      <alignment horizontal="right" wrapText="1"/>
    </xf>
    <xf numFmtId="3" fontId="8" fillId="0" borderId="27" xfId="0" applyNumberFormat="1" applyFont="1" applyBorder="1" applyAlignment="1">
      <alignment horizontal="right" wrapText="1"/>
    </xf>
    <xf numFmtId="3" fontId="8" fillId="0" borderId="47" xfId="0" applyNumberFormat="1" applyFont="1" applyBorder="1" applyAlignment="1">
      <alignment horizontal="right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2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3" fontId="6" fillId="4" borderId="105" xfId="0" applyNumberFormat="1" applyFont="1" applyFill="1" applyBorder="1" applyAlignment="1">
      <alignment horizontal="right"/>
    </xf>
    <xf numFmtId="3" fontId="6" fillId="2" borderId="124" xfId="0" applyNumberFormat="1" applyFont="1" applyFill="1" applyBorder="1" applyAlignment="1">
      <alignment/>
    </xf>
    <xf numFmtId="3" fontId="6" fillId="0" borderId="125" xfId="0" applyNumberFormat="1" applyFont="1" applyBorder="1" applyAlignment="1">
      <alignment horizontal="right" wrapText="1"/>
    </xf>
    <xf numFmtId="3" fontId="8" fillId="0" borderId="126" xfId="0" applyNumberFormat="1" applyFont="1" applyBorder="1" applyAlignment="1">
      <alignment/>
    </xf>
    <xf numFmtId="3" fontId="6" fillId="0" borderId="126" xfId="0" applyNumberFormat="1" applyFont="1" applyBorder="1" applyAlignment="1">
      <alignment horizontal="right" wrapText="1"/>
    </xf>
    <xf numFmtId="3" fontId="35" fillId="0" borderId="41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24" fillId="0" borderId="25" xfId="18" applyNumberFormat="1" applyFont="1" applyFill="1" applyBorder="1" applyAlignment="1">
      <alignment/>
      <protection/>
    </xf>
    <xf numFmtId="3" fontId="24" fillId="0" borderId="25" xfId="18" applyNumberFormat="1" applyFont="1" applyFill="1" applyBorder="1" applyAlignment="1">
      <alignment horizontal="center"/>
      <protection/>
    </xf>
    <xf numFmtId="3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3" fontId="12" fillId="0" borderId="15" xfId="0" applyNumberFormat="1" applyFont="1" applyBorder="1" applyAlignment="1">
      <alignment wrapText="1"/>
    </xf>
    <xf numFmtId="3" fontId="12" fillId="0" borderId="111" xfId="0" applyNumberFormat="1" applyFont="1" applyFill="1" applyBorder="1" applyAlignment="1">
      <alignment horizontal="right"/>
    </xf>
    <xf numFmtId="3" fontId="12" fillId="4" borderId="54" xfId="0" applyNumberFormat="1" applyFont="1" applyFill="1" applyBorder="1" applyAlignment="1">
      <alignment/>
    </xf>
    <xf numFmtId="3" fontId="12" fillId="4" borderId="95" xfId="0" applyNumberFormat="1" applyFont="1" applyFill="1" applyBorder="1" applyAlignment="1">
      <alignment/>
    </xf>
    <xf numFmtId="0" fontId="12" fillId="4" borderId="54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3" fontId="46" fillId="0" borderId="0" xfId="0" applyNumberFormat="1" applyFont="1" applyFill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33" xfId="0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1" fontId="0" fillId="3" borderId="13" xfId="0" applyNumberFormat="1" applyFont="1" applyFill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13" fillId="4" borderId="106" xfId="0" applyNumberFormat="1" applyFont="1" applyFill="1" applyBorder="1" applyAlignment="1">
      <alignment horizontal="left" vertical="center" wrapText="1"/>
    </xf>
    <xf numFmtId="3" fontId="0" fillId="0" borderId="103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wrapText="1"/>
    </xf>
    <xf numFmtId="3" fontId="13" fillId="2" borderId="15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13" fillId="3" borderId="29" xfId="0" applyFont="1" applyFill="1" applyBorder="1" applyAlignment="1">
      <alignment/>
    </xf>
    <xf numFmtId="0" fontId="12" fillId="0" borderId="27" xfId="0" applyFont="1" applyFill="1" applyBorder="1" applyAlignment="1">
      <alignment wrapText="1"/>
    </xf>
    <xf numFmtId="0" fontId="5" fillId="2" borderId="15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3" fontId="13" fillId="2" borderId="34" xfId="0" applyNumberFormat="1" applyFont="1" applyFill="1" applyBorder="1" applyAlignment="1">
      <alignment horizontal="left" wrapText="1"/>
    </xf>
    <xf numFmtId="3" fontId="13" fillId="0" borderId="23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73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left" wrapText="1"/>
    </xf>
    <xf numFmtId="3" fontId="13" fillId="0" borderId="12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3" fontId="13" fillId="2" borderId="15" xfId="0" applyNumberFormat="1" applyFont="1" applyFill="1" applyBorder="1" applyAlignment="1">
      <alignment horizontal="left" wrapText="1"/>
    </xf>
    <xf numFmtId="3" fontId="12" fillId="0" borderId="23" xfId="0" applyNumberFormat="1" applyFont="1" applyFill="1" applyBorder="1" applyAlignment="1">
      <alignment horizontal="left"/>
    </xf>
    <xf numFmtId="1" fontId="12" fillId="0" borderId="17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center"/>
    </xf>
    <xf numFmtId="3" fontId="13" fillId="2" borderId="17" xfId="0" applyNumberFormat="1" applyFont="1" applyFill="1" applyBorder="1" applyAlignment="1">
      <alignment horizontal="left"/>
    </xf>
    <xf numFmtId="1" fontId="12" fillId="0" borderId="17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/>
    </xf>
    <xf numFmtId="3" fontId="12" fillId="0" borderId="27" xfId="0" applyNumberFormat="1" applyFont="1" applyFill="1" applyBorder="1" applyAlignment="1">
      <alignment horizontal="left"/>
    </xf>
    <xf numFmtId="3" fontId="13" fillId="0" borderId="27" xfId="0" applyNumberFormat="1" applyFont="1" applyFill="1" applyBorder="1" applyAlignment="1">
      <alignment horizontal="left" wrapText="1"/>
    </xf>
    <xf numFmtId="3" fontId="13" fillId="0" borderId="15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3" fontId="13" fillId="0" borderId="15" xfId="0" applyNumberFormat="1" applyFont="1" applyFill="1" applyBorder="1" applyAlignment="1">
      <alignment wrapText="1"/>
    </xf>
    <xf numFmtId="3" fontId="13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 wrapText="1"/>
    </xf>
    <xf numFmtId="3" fontId="0" fillId="0" borderId="25" xfId="0" applyNumberFormat="1" applyFont="1" applyFill="1" applyBorder="1" applyAlignment="1">
      <alignment horizontal="right" wrapText="1"/>
    </xf>
    <xf numFmtId="3" fontId="0" fillId="0" borderId="25" xfId="0" applyNumberFormat="1" applyFont="1" applyFill="1" applyBorder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left"/>
    </xf>
    <xf numFmtId="3" fontId="12" fillId="3" borderId="15" xfId="0" applyNumberFormat="1" applyFont="1" applyFill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0" fillId="4" borderId="15" xfId="0" applyFont="1" applyFill="1" applyBorder="1" applyAlignment="1">
      <alignment/>
    </xf>
    <xf numFmtId="0" fontId="12" fillId="3" borderId="13" xfId="0" applyFont="1" applyFill="1" applyBorder="1" applyAlignment="1">
      <alignment horizontal="right"/>
    </xf>
    <xf numFmtId="0" fontId="12" fillId="3" borderId="13" xfId="0" applyFont="1" applyFill="1" applyBorder="1" applyAlignment="1" quotePrefix="1">
      <alignment horizontal="right"/>
    </xf>
    <xf numFmtId="0" fontId="13" fillId="5" borderId="17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13" fillId="2" borderId="27" xfId="0" applyFont="1" applyFill="1" applyBorder="1" applyAlignment="1">
      <alignment wrapText="1"/>
    </xf>
    <xf numFmtId="0" fontId="13" fillId="4" borderId="24" xfId="0" applyFont="1" applyFill="1" applyBorder="1" applyAlignment="1">
      <alignment/>
    </xf>
    <xf numFmtId="0" fontId="13" fillId="4" borderId="17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13" fillId="0" borderId="29" xfId="0" applyFont="1" applyBorder="1" applyAlignment="1">
      <alignment wrapText="1"/>
    </xf>
    <xf numFmtId="0" fontId="0" fillId="7" borderId="24" xfId="0" applyFont="1" applyFill="1" applyBorder="1" applyAlignment="1">
      <alignment/>
    </xf>
    <xf numFmtId="0" fontId="12" fillId="7" borderId="27" xfId="0" applyFont="1" applyFill="1" applyBorder="1" applyAlignment="1">
      <alignment/>
    </xf>
    <xf numFmtId="0" fontId="12" fillId="0" borderId="15" xfId="0" applyFont="1" applyBorder="1" applyAlignment="1" quotePrefix="1">
      <alignment horizontal="right"/>
    </xf>
    <xf numFmtId="0" fontId="0" fillId="0" borderId="33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12" fillId="0" borderId="25" xfId="0" applyFont="1" applyBorder="1" applyAlignment="1">
      <alignment horizontal="left" wrapText="1"/>
    </xf>
    <xf numFmtId="3" fontId="12" fillId="0" borderId="25" xfId="0" applyNumberFormat="1" applyFont="1" applyFill="1" applyBorder="1" applyAlignment="1">
      <alignment wrapText="1"/>
    </xf>
    <xf numFmtId="0" fontId="0" fillId="0" borderId="127" xfId="0" applyFont="1" applyBorder="1" applyAlignment="1">
      <alignment/>
    </xf>
    <xf numFmtId="3" fontId="0" fillId="0" borderId="127" xfId="0" applyNumberFormat="1" applyFont="1" applyFill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25" xfId="0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3" fillId="0" borderId="1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12" fillId="0" borderId="17" xfId="0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0" fontId="12" fillId="0" borderId="110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0" fillId="0" borderId="33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3" fontId="12" fillId="0" borderId="54" xfId="0" applyNumberFormat="1" applyFont="1" applyBorder="1" applyAlignment="1">
      <alignment wrapText="1"/>
    </xf>
    <xf numFmtId="3" fontId="12" fillId="0" borderId="53" xfId="0" applyNumberFormat="1" applyFont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46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8" fillId="0" borderId="103" xfId="0" applyNumberFormat="1" applyFont="1" applyBorder="1" applyAlignment="1">
      <alignment wrapText="1"/>
    </xf>
    <xf numFmtId="3" fontId="0" fillId="0" borderId="128" xfId="0" applyNumberFormat="1" applyFont="1" applyBorder="1" applyAlignment="1">
      <alignment wrapText="1"/>
    </xf>
    <xf numFmtId="3" fontId="48" fillId="0" borderId="0" xfId="0" applyNumberFormat="1" applyFont="1" applyAlignment="1">
      <alignment/>
    </xf>
    <xf numFmtId="3" fontId="12" fillId="0" borderId="110" xfId="0" applyNumberFormat="1" applyFont="1" applyFill="1" applyBorder="1" applyAlignment="1">
      <alignment wrapText="1"/>
    </xf>
    <xf numFmtId="0" fontId="12" fillId="0" borderId="110" xfId="0" applyFont="1" applyBorder="1" applyAlignment="1">
      <alignment/>
    </xf>
    <xf numFmtId="3" fontId="12" fillId="0" borderId="110" xfId="0" applyNumberFormat="1" applyFont="1" applyBorder="1" applyAlignment="1">
      <alignment/>
    </xf>
    <xf numFmtId="3" fontId="12" fillId="0" borderId="110" xfId="0" applyNumberFormat="1" applyFont="1" applyFill="1" applyBorder="1" applyAlignment="1">
      <alignment horizontal="right"/>
    </xf>
    <xf numFmtId="0" fontId="12" fillId="0" borderId="110" xfId="0" applyFont="1" applyBorder="1" applyAlignment="1">
      <alignment wrapText="1"/>
    </xf>
    <xf numFmtId="3" fontId="12" fillId="0" borderId="110" xfId="0" applyNumberFormat="1" applyFont="1" applyBorder="1" applyAlignment="1">
      <alignment/>
    </xf>
    <xf numFmtId="0" fontId="12" fillId="0" borderId="54" xfId="0" applyFont="1" applyBorder="1" applyAlignment="1">
      <alignment wrapText="1"/>
    </xf>
    <xf numFmtId="3" fontId="0" fillId="0" borderId="73" xfId="0" applyNumberFormat="1" applyFont="1" applyFill="1" applyBorder="1" applyAlignment="1">
      <alignment wrapText="1"/>
    </xf>
    <xf numFmtId="3" fontId="0" fillId="0" borderId="90" xfId="0" applyNumberFormat="1" applyFont="1" applyBorder="1" applyAlignment="1">
      <alignment wrapText="1"/>
    </xf>
    <xf numFmtId="3" fontId="0" fillId="0" borderId="91" xfId="0" applyNumberFormat="1" applyFont="1" applyBorder="1" applyAlignment="1">
      <alignment wrapText="1"/>
    </xf>
    <xf numFmtId="3" fontId="0" fillId="0" borderId="92" xfId="0" applyNumberFormat="1" applyFont="1" applyBorder="1" applyAlignment="1">
      <alignment wrapText="1"/>
    </xf>
    <xf numFmtId="3" fontId="0" fillId="0" borderId="73" xfId="0" applyNumberFormat="1" applyFont="1" applyBorder="1" applyAlignment="1">
      <alignment wrapText="1"/>
    </xf>
    <xf numFmtId="3" fontId="0" fillId="0" borderId="93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4" borderId="1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4" borderId="41" xfId="15" applyNumberFormat="1" applyFont="1" applyFill="1" applyBorder="1" applyAlignment="1">
      <alignment horizontal="right"/>
    </xf>
    <xf numFmtId="3" fontId="0" fillId="4" borderId="42" xfId="15" applyNumberFormat="1" applyFont="1" applyFill="1" applyBorder="1" applyAlignment="1">
      <alignment horizontal="right"/>
    </xf>
    <xf numFmtId="3" fontId="0" fillId="0" borderId="13" xfId="15" applyNumberFormat="1" applyFont="1" applyFill="1" applyBorder="1" applyAlignment="1">
      <alignment horizontal="right"/>
    </xf>
    <xf numFmtId="3" fontId="0" fillId="4" borderId="55" xfId="15" applyNumberFormat="1" applyFont="1" applyFill="1" applyBorder="1" applyAlignment="1">
      <alignment horizontal="right"/>
    </xf>
    <xf numFmtId="3" fontId="0" fillId="0" borderId="55" xfId="15" applyNumberFormat="1" applyFont="1" applyFill="1" applyBorder="1" applyAlignment="1">
      <alignment horizontal="right"/>
    </xf>
    <xf numFmtId="3" fontId="0" fillId="4" borderId="56" xfId="15" applyNumberFormat="1" applyFont="1" applyFill="1" applyBorder="1" applyAlignment="1">
      <alignment horizontal="right"/>
    </xf>
    <xf numFmtId="3" fontId="0" fillId="0" borderId="17" xfId="15" applyNumberFormat="1" applyFont="1" applyFill="1" applyBorder="1" applyAlignment="1">
      <alignment horizontal="right"/>
    </xf>
    <xf numFmtId="3" fontId="0" fillId="4" borderId="129" xfId="0" applyNumberFormat="1" applyFont="1" applyFill="1" applyBorder="1" applyAlignment="1">
      <alignment/>
    </xf>
    <xf numFmtId="3" fontId="0" fillId="4" borderId="130" xfId="0" applyNumberFormat="1" applyFont="1" applyFill="1" applyBorder="1" applyAlignment="1">
      <alignment/>
    </xf>
    <xf numFmtId="3" fontId="0" fillId="4" borderId="129" xfId="15" applyNumberFormat="1" applyFont="1" applyFill="1" applyBorder="1" applyAlignment="1">
      <alignment horizontal="right"/>
    </xf>
    <xf numFmtId="3" fontId="0" fillId="4" borderId="41" xfId="0" applyNumberFormat="1" applyFont="1" applyFill="1" applyBorder="1" applyAlignment="1">
      <alignment/>
    </xf>
    <xf numFmtId="3" fontId="0" fillId="4" borderId="42" xfId="0" applyNumberFormat="1" applyFont="1" applyFill="1" applyBorder="1" applyAlignment="1">
      <alignment/>
    </xf>
    <xf numFmtId="3" fontId="0" fillId="4" borderId="83" xfId="15" applyNumberFormat="1" applyFont="1" applyFill="1" applyBorder="1" applyAlignment="1">
      <alignment horizontal="right"/>
    </xf>
    <xf numFmtId="3" fontId="0" fillId="4" borderId="131" xfId="15" applyNumberFormat="1" applyFont="1" applyFill="1" applyBorder="1" applyAlignment="1">
      <alignment horizontal="right"/>
    </xf>
    <xf numFmtId="3" fontId="0" fillId="4" borderId="83" xfId="15" applyNumberFormat="1" applyFont="1" applyFill="1" applyBorder="1" applyAlignment="1">
      <alignment horizontal="right"/>
    </xf>
    <xf numFmtId="3" fontId="0" fillId="0" borderId="15" xfId="15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46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78" xfId="0" applyFont="1" applyBorder="1" applyAlignment="1">
      <alignment wrapText="1"/>
    </xf>
    <xf numFmtId="0" fontId="12" fillId="0" borderId="0" xfId="0" applyFont="1" applyAlignment="1" quotePrefix="1">
      <alignment/>
    </xf>
    <xf numFmtId="3" fontId="0" fillId="0" borderId="69" xfId="0" applyNumberFormat="1" applyFont="1" applyFill="1" applyBorder="1" applyAlignment="1">
      <alignment horizontal="left" vertical="center" wrapText="1"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13" fillId="0" borderId="9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3" fontId="13" fillId="0" borderId="41" xfId="0" applyNumberFormat="1" applyFont="1" applyBorder="1" applyAlignment="1">
      <alignment horizontal="right"/>
    </xf>
    <xf numFmtId="0" fontId="13" fillId="0" borderId="41" xfId="0" applyFont="1" applyBorder="1" applyAlignment="1">
      <alignment horizontal="center"/>
    </xf>
    <xf numFmtId="0" fontId="0" fillId="0" borderId="32" xfId="0" applyFont="1" applyBorder="1" applyAlignment="1">
      <alignment wrapText="1"/>
    </xf>
    <xf numFmtId="3" fontId="13" fillId="0" borderId="32" xfId="0" applyNumberFormat="1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3" fontId="13" fillId="0" borderId="51" xfId="0" applyNumberFormat="1" applyFont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0" fillId="3" borderId="23" xfId="0" applyFont="1" applyFill="1" applyBorder="1" applyAlignment="1">
      <alignment/>
    </xf>
    <xf numFmtId="0" fontId="0" fillId="0" borderId="132" xfId="0" applyFont="1" applyFill="1" applyBorder="1" applyAlignment="1">
      <alignment wrapText="1"/>
    </xf>
    <xf numFmtId="3" fontId="0" fillId="0" borderId="72" xfId="0" applyNumberFormat="1" applyFont="1" applyFill="1" applyBorder="1" applyAlignment="1">
      <alignment horizontal="right"/>
    </xf>
    <xf numFmtId="0" fontId="3" fillId="0" borderId="1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3" borderId="24" xfId="0" applyFont="1" applyFill="1" applyBorder="1" applyAlignment="1">
      <alignment wrapText="1"/>
    </xf>
    <xf numFmtId="0" fontId="0" fillId="3" borderId="78" xfId="0" applyFont="1" applyFill="1" applyBorder="1" applyAlignment="1">
      <alignment wrapText="1"/>
    </xf>
    <xf numFmtId="3" fontId="0" fillId="0" borderId="78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25" fillId="0" borderId="111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3" fontId="0" fillId="0" borderId="78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left"/>
    </xf>
    <xf numFmtId="0" fontId="0" fillId="3" borderId="13" xfId="0" applyFont="1" applyFill="1" applyBorder="1" applyAlignment="1">
      <alignment horizontal="right"/>
    </xf>
    <xf numFmtId="0" fontId="13" fillId="3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3" fontId="0" fillId="0" borderId="78" xfId="0" applyNumberFormat="1" applyFont="1" applyBorder="1" applyAlignment="1">
      <alignment/>
    </xf>
    <xf numFmtId="0" fontId="12" fillId="0" borderId="111" xfId="0" applyFont="1" applyBorder="1" applyAlignment="1">
      <alignment/>
    </xf>
    <xf numFmtId="3" fontId="12" fillId="0" borderId="111" xfId="0" applyNumberFormat="1" applyFont="1" applyBorder="1" applyAlignment="1">
      <alignment horizontal="right"/>
    </xf>
    <xf numFmtId="0" fontId="12" fillId="0" borderId="53" xfId="0" applyFont="1" applyBorder="1" applyAlignment="1">
      <alignment/>
    </xf>
    <xf numFmtId="3" fontId="12" fillId="0" borderId="53" xfId="0" applyNumberFormat="1" applyFont="1" applyBorder="1" applyAlignment="1">
      <alignment horizontal="right"/>
    </xf>
    <xf numFmtId="0" fontId="0" fillId="0" borderId="133" xfId="0" applyFont="1" applyBorder="1" applyAlignment="1">
      <alignment wrapText="1"/>
    </xf>
    <xf numFmtId="3" fontId="0" fillId="3" borderId="3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/>
    </xf>
    <xf numFmtId="3" fontId="0" fillId="0" borderId="78" xfId="0" applyNumberFormat="1" applyFont="1" applyBorder="1" applyAlignment="1">
      <alignment horizontal="right" wrapText="1"/>
    </xf>
    <xf numFmtId="3" fontId="12" fillId="0" borderId="25" xfId="0" applyNumberFormat="1" applyFont="1" applyFill="1" applyBorder="1" applyAlignment="1">
      <alignment horizontal="right" wrapText="1"/>
    </xf>
    <xf numFmtId="0" fontId="26" fillId="0" borderId="111" xfId="0" applyFont="1" applyFill="1" applyBorder="1" applyAlignment="1">
      <alignment horizontal="left" wrapText="1"/>
    </xf>
    <xf numFmtId="0" fontId="26" fillId="0" borderId="54" xfId="0" applyFont="1" applyFill="1" applyBorder="1" applyAlignment="1">
      <alignment horizontal="left" wrapText="1"/>
    </xf>
    <xf numFmtId="0" fontId="26" fillId="0" borderId="11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0" fillId="0" borderId="133" xfId="0" applyFont="1" applyFill="1" applyBorder="1" applyAlignment="1">
      <alignment wrapText="1"/>
    </xf>
    <xf numFmtId="0" fontId="12" fillId="0" borderId="25" xfId="0" applyFont="1" applyFill="1" applyBorder="1" applyAlignment="1">
      <alignment horizontal="left" wrapText="1"/>
    </xf>
    <xf numFmtId="0" fontId="15" fillId="4" borderId="15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 vertical="center" wrapText="1"/>
    </xf>
    <xf numFmtId="3" fontId="0" fillId="0" borderId="69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 wrapText="1"/>
    </xf>
    <xf numFmtId="0" fontId="13" fillId="0" borderId="70" xfId="0" applyFont="1" applyFill="1" applyBorder="1" applyAlignment="1">
      <alignment vertical="center" wrapText="1"/>
    </xf>
    <xf numFmtId="3" fontId="0" fillId="0" borderId="13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0" fillId="0" borderId="135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0" fontId="0" fillId="0" borderId="134" xfId="0" applyFont="1" applyFill="1" applyBorder="1" applyAlignment="1">
      <alignment vertical="center" wrapText="1"/>
    </xf>
    <xf numFmtId="0" fontId="13" fillId="0" borderId="70" xfId="0" applyNumberFormat="1" applyFont="1" applyFill="1" applyBorder="1" applyAlignment="1">
      <alignment vertical="center" wrapText="1"/>
    </xf>
    <xf numFmtId="0" fontId="15" fillId="0" borderId="67" xfId="0" applyNumberFormat="1" applyFont="1" applyFill="1" applyBorder="1" applyAlignment="1">
      <alignment vertical="center" wrapText="1"/>
    </xf>
    <xf numFmtId="3" fontId="13" fillId="0" borderId="83" xfId="15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wrapText="1"/>
    </xf>
    <xf numFmtId="0" fontId="0" fillId="0" borderId="67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25" xfId="0" applyFont="1" applyFill="1" applyBorder="1" applyAlignment="1">
      <alignment wrapText="1"/>
    </xf>
    <xf numFmtId="3" fontId="13" fillId="0" borderId="70" xfId="0" applyNumberFormat="1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wrapText="1"/>
    </xf>
    <xf numFmtId="3" fontId="12" fillId="0" borderId="22" xfId="0" applyNumberFormat="1" applyFont="1" applyFill="1" applyBorder="1" applyAlignment="1">
      <alignment wrapText="1"/>
    </xf>
    <xf numFmtId="1" fontId="0" fillId="0" borderId="67" xfId="0" applyNumberFormat="1" applyFont="1" applyFill="1" applyBorder="1" applyAlignment="1">
      <alignment vertical="center" wrapText="1"/>
    </xf>
    <xf numFmtId="3" fontId="0" fillId="0" borderId="69" xfId="0" applyNumberFormat="1" applyFont="1" applyFill="1" applyBorder="1" applyAlignment="1">
      <alignment horizontal="left" vertical="center" wrapText="1"/>
    </xf>
    <xf numFmtId="3" fontId="0" fillId="0" borderId="134" xfId="0" applyNumberFormat="1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vertical="center" wrapText="1"/>
    </xf>
    <xf numFmtId="3" fontId="0" fillId="0" borderId="70" xfId="0" applyNumberFormat="1" applyFont="1" applyFill="1" applyBorder="1" applyAlignment="1">
      <alignment vertical="center" wrapText="1"/>
    </xf>
    <xf numFmtId="1" fontId="0" fillId="0" borderId="69" xfId="0" applyNumberFormat="1" applyFont="1" applyFill="1" applyBorder="1" applyAlignment="1">
      <alignment vertical="center" wrapText="1"/>
    </xf>
    <xf numFmtId="1" fontId="0" fillId="0" borderId="66" xfId="0" applyNumberFormat="1" applyFont="1" applyFill="1" applyBorder="1" applyAlignment="1">
      <alignment vertical="center" wrapText="1"/>
    </xf>
    <xf numFmtId="3" fontId="0" fillId="0" borderId="134" xfId="0" applyNumberFormat="1" applyFont="1" applyFill="1" applyBorder="1" applyAlignment="1">
      <alignment horizontal="left" vertical="center" wrapText="1"/>
    </xf>
    <xf numFmtId="3" fontId="13" fillId="0" borderId="83" xfId="0" applyNumberFormat="1" applyFont="1" applyFill="1" applyBorder="1" applyAlignment="1">
      <alignment/>
    </xf>
    <xf numFmtId="3" fontId="0" fillId="0" borderId="136" xfId="0" applyNumberFormat="1" applyFont="1" applyFill="1" applyBorder="1" applyAlignment="1">
      <alignment horizontal="left" vertical="center" wrapText="1"/>
    </xf>
    <xf numFmtId="3" fontId="0" fillId="0" borderId="129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 vertical="center"/>
    </xf>
    <xf numFmtId="0" fontId="0" fillId="0" borderId="69" xfId="0" applyNumberFormat="1" applyFont="1" applyFill="1" applyBorder="1" applyAlignment="1">
      <alignment vertical="center" wrapText="1"/>
    </xf>
    <xf numFmtId="0" fontId="0" fillId="0" borderId="66" xfId="0" applyNumberFormat="1" applyFont="1" applyFill="1" applyBorder="1" applyAlignment="1">
      <alignment vertical="center" wrapText="1"/>
    </xf>
    <xf numFmtId="3" fontId="0" fillId="0" borderId="137" xfId="0" applyNumberFormat="1" applyFont="1" applyFill="1" applyBorder="1" applyAlignment="1">
      <alignment horizontal="left" vertical="center" wrapText="1"/>
    </xf>
    <xf numFmtId="3" fontId="0" fillId="0" borderId="91" xfId="0" applyNumberFormat="1" applyFont="1" applyFill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33" xfId="0" applyFont="1" applyBorder="1" applyAlignment="1">
      <alignment wrapText="1"/>
    </xf>
    <xf numFmtId="3" fontId="0" fillId="3" borderId="33" xfId="0" applyNumberFormat="1" applyFont="1" applyFill="1" applyBorder="1" applyAlignment="1">
      <alignment horizontal="right" wrapText="1"/>
    </xf>
    <xf numFmtId="3" fontId="0" fillId="3" borderId="21" xfId="0" applyNumberFormat="1" applyFont="1" applyFill="1" applyBorder="1" applyAlignment="1">
      <alignment horizontal="right" wrapText="1"/>
    </xf>
    <xf numFmtId="0" fontId="0" fillId="3" borderId="15" xfId="0" applyFont="1" applyFill="1" applyBorder="1" applyAlignment="1">
      <alignment horizontal="right"/>
    </xf>
    <xf numFmtId="0" fontId="0" fillId="0" borderId="29" xfId="0" applyFont="1" applyBorder="1" applyAlignment="1">
      <alignment wrapText="1"/>
    </xf>
    <xf numFmtId="3" fontId="0" fillId="3" borderId="29" xfId="0" applyNumberFormat="1" applyFont="1" applyFill="1" applyBorder="1" applyAlignment="1">
      <alignment horizontal="right" wrapText="1"/>
    </xf>
    <xf numFmtId="0" fontId="13" fillId="3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left" wrapText="1"/>
    </xf>
    <xf numFmtId="3" fontId="13" fillId="2" borderId="27" xfId="0" applyNumberFormat="1" applyFont="1" applyFill="1" applyBorder="1" applyAlignment="1">
      <alignment horizontal="right" wrapText="1"/>
    </xf>
    <xf numFmtId="0" fontId="0" fillId="3" borderId="29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0" fontId="0" fillId="0" borderId="73" xfId="0" applyFont="1" applyBorder="1" applyAlignment="1">
      <alignment/>
    </xf>
    <xf numFmtId="3" fontId="0" fillId="0" borderId="73" xfId="0" applyNumberFormat="1" applyFont="1" applyBorder="1" applyAlignment="1">
      <alignment/>
    </xf>
    <xf numFmtId="0" fontId="0" fillId="0" borderId="73" xfId="0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15" xfId="0" applyFont="1" applyBorder="1" applyAlignment="1">
      <alignment wrapText="1"/>
    </xf>
    <xf numFmtId="3" fontId="0" fillId="0" borderId="2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73" xfId="0" applyFont="1" applyBorder="1" applyAlignment="1">
      <alignment/>
    </xf>
    <xf numFmtId="0" fontId="0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95" xfId="0" applyFont="1" applyBorder="1" applyAlignment="1">
      <alignment/>
    </xf>
    <xf numFmtId="3" fontId="0" fillId="0" borderId="95" xfId="0" applyNumberFormat="1" applyFont="1" applyFill="1" applyBorder="1" applyAlignment="1">
      <alignment horizontal="right"/>
    </xf>
    <xf numFmtId="3" fontId="0" fillId="0" borderId="9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73" xfId="0" applyNumberFormat="1" applyFont="1" applyFill="1" applyBorder="1" applyAlignment="1">
      <alignment horizontal="right"/>
    </xf>
    <xf numFmtId="0" fontId="25" fillId="0" borderId="54" xfId="0" applyFont="1" applyBorder="1" applyAlignment="1">
      <alignment wrapText="1"/>
    </xf>
    <xf numFmtId="3" fontId="12" fillId="0" borderId="47" xfId="0" applyNumberFormat="1" applyFont="1" applyBorder="1" applyAlignment="1">
      <alignment wrapText="1"/>
    </xf>
    <xf numFmtId="0" fontId="3" fillId="0" borderId="17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03" xfId="0" applyNumberFormat="1" applyFont="1" applyFill="1" applyBorder="1" applyAlignment="1">
      <alignment horizontal="right"/>
    </xf>
    <xf numFmtId="3" fontId="0" fillId="0" borderId="103" xfId="0" applyNumberFormat="1" applyFont="1" applyBorder="1" applyAlignment="1">
      <alignment horizontal="right"/>
    </xf>
    <xf numFmtId="0" fontId="0" fillId="0" borderId="138" xfId="0" applyFont="1" applyBorder="1" applyAlignment="1">
      <alignment/>
    </xf>
    <xf numFmtId="3" fontId="0" fillId="0" borderId="138" xfId="0" applyNumberFormat="1" applyFont="1" applyFill="1" applyBorder="1" applyAlignment="1">
      <alignment horizontal="right"/>
    </xf>
    <xf numFmtId="3" fontId="0" fillId="0" borderId="138" xfId="0" applyNumberFormat="1" applyFont="1" applyBorder="1" applyAlignment="1">
      <alignment horizontal="right"/>
    </xf>
    <xf numFmtId="0" fontId="0" fillId="0" borderId="15" xfId="0" applyFont="1" applyFill="1" applyBorder="1" applyAlignment="1">
      <alignment wrapText="1"/>
    </xf>
    <xf numFmtId="3" fontId="12" fillId="4" borderId="25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73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0" fillId="0" borderId="139" xfId="0" applyFont="1" applyBorder="1" applyAlignment="1">
      <alignment/>
    </xf>
    <xf numFmtId="3" fontId="0" fillId="0" borderId="139" xfId="0" applyNumberFormat="1" applyFont="1" applyFill="1" applyBorder="1" applyAlignment="1">
      <alignment horizontal="right"/>
    </xf>
    <xf numFmtId="3" fontId="8" fillId="0" borderId="13" xfId="0" applyNumberFormat="1" applyFont="1" applyBorder="1" applyAlignment="1">
      <alignment horizontal="right" wrapText="1"/>
    </xf>
    <xf numFmtId="3" fontId="8" fillId="0" borderId="23" xfId="0" applyNumberFormat="1" applyFont="1" applyBorder="1" applyAlignment="1">
      <alignment horizontal="right" wrapText="1"/>
    </xf>
    <xf numFmtId="3" fontId="8" fillId="0" borderId="2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125" xfId="0" applyNumberFormat="1" applyFont="1" applyBorder="1" applyAlignment="1">
      <alignment/>
    </xf>
    <xf numFmtId="0" fontId="17" fillId="0" borderId="73" xfId="0" applyFont="1" applyBorder="1" applyAlignment="1">
      <alignment horizontal="center" wrapText="1"/>
    </xf>
    <xf numFmtId="0" fontId="8" fillId="0" borderId="73" xfId="0" applyFont="1" applyBorder="1" applyAlignment="1">
      <alignment wrapText="1"/>
    </xf>
    <xf numFmtId="0" fontId="8" fillId="0" borderId="73" xfId="0" applyFont="1" applyBorder="1" applyAlignment="1">
      <alignment horizontal="center" wrapText="1"/>
    </xf>
    <xf numFmtId="1" fontId="8" fillId="0" borderId="13" xfId="0" applyNumberFormat="1" applyFont="1" applyBorder="1" applyAlignment="1">
      <alignment/>
    </xf>
    <xf numFmtId="0" fontId="1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03" xfId="0" applyFont="1" applyBorder="1" applyAlignment="1">
      <alignment horizontal="left" wrapText="1"/>
    </xf>
    <xf numFmtId="0" fontId="17" fillId="0" borderId="103" xfId="0" applyFont="1" applyBorder="1" applyAlignment="1">
      <alignment horizontal="center" wrapText="1"/>
    </xf>
    <xf numFmtId="0" fontId="8" fillId="0" borderId="103" xfId="0" applyFont="1" applyBorder="1" applyAlignment="1">
      <alignment wrapText="1"/>
    </xf>
    <xf numFmtId="0" fontId="8" fillId="0" borderId="103" xfId="0" applyFont="1" applyBorder="1" applyAlignment="1">
      <alignment horizontal="center" wrapText="1"/>
    </xf>
    <xf numFmtId="3" fontId="34" fillId="0" borderId="13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/>
    </xf>
    <xf numFmtId="3" fontId="3" fillId="0" borderId="73" xfId="0" applyNumberFormat="1" applyFont="1" applyBorder="1" applyAlignment="1">
      <alignment wrapText="1"/>
    </xf>
    <xf numFmtId="0" fontId="3" fillId="0" borderId="73" xfId="0" applyFont="1" applyBorder="1" applyAlignment="1">
      <alignment horizontal="center" wrapText="1"/>
    </xf>
    <xf numFmtId="0" fontId="3" fillId="0" borderId="73" xfId="0" applyFont="1" applyBorder="1" applyAlignment="1">
      <alignment wrapText="1"/>
    </xf>
    <xf numFmtId="3" fontId="8" fillId="0" borderId="24" xfId="0" applyNumberFormat="1" applyFont="1" applyBorder="1" applyAlignment="1">
      <alignment horizontal="right" wrapText="1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90" xfId="0" applyNumberFormat="1" applyFont="1" applyBorder="1" applyAlignment="1">
      <alignment horizontal="right" wrapText="1"/>
    </xf>
    <xf numFmtId="3" fontId="8" fillId="0" borderId="73" xfId="0" applyNumberFormat="1" applyFont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8" fillId="0" borderId="141" xfId="0" applyNumberFormat="1" applyFont="1" applyBorder="1" applyAlignment="1">
      <alignment/>
    </xf>
    <xf numFmtId="3" fontId="4" fillId="4" borderId="23" xfId="0" applyNumberFormat="1" applyFont="1" applyFill="1" applyBorder="1" applyAlignment="1">
      <alignment horizontal="right"/>
    </xf>
    <xf numFmtId="3" fontId="35" fillId="4" borderId="84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34" fillId="0" borderId="90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3" fontId="44" fillId="4" borderId="42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3" fontId="35" fillId="4" borderId="142" xfId="0" applyNumberFormat="1" applyFont="1" applyFill="1" applyBorder="1" applyAlignment="1">
      <alignment horizontal="right"/>
    </xf>
    <xf numFmtId="3" fontId="4" fillId="0" borderId="52" xfId="0" applyNumberFormat="1" applyFont="1" applyBorder="1" applyAlignment="1">
      <alignment/>
    </xf>
    <xf numFmtId="3" fontId="34" fillId="0" borderId="93" xfId="0" applyNumberFormat="1" applyFont="1" applyBorder="1" applyAlignment="1">
      <alignment horizontal="right" wrapText="1"/>
    </xf>
    <xf numFmtId="3" fontId="34" fillId="0" borderId="14" xfId="0" applyNumberFormat="1" applyFont="1" applyBorder="1" applyAlignment="1">
      <alignment horizontal="right" wrapText="1"/>
    </xf>
    <xf numFmtId="3" fontId="35" fillId="4" borderId="45" xfId="0" applyNumberFormat="1" applyFont="1" applyFill="1" applyBorder="1" applyAlignment="1">
      <alignment horizontal="right"/>
    </xf>
    <xf numFmtId="3" fontId="4" fillId="4" borderId="143" xfId="0" applyNumberFormat="1" applyFont="1" applyFill="1" applyBorder="1" applyAlignment="1">
      <alignment horizontal="right"/>
    </xf>
    <xf numFmtId="3" fontId="35" fillId="4" borderId="144" xfId="0" applyNumberFormat="1" applyFont="1" applyFill="1" applyBorder="1" applyAlignment="1">
      <alignment horizontal="right"/>
    </xf>
    <xf numFmtId="3" fontId="4" fillId="0" borderId="145" xfId="0" applyNumberFormat="1" applyFont="1" applyBorder="1" applyAlignment="1">
      <alignment/>
    </xf>
    <xf numFmtId="3" fontId="34" fillId="0" borderId="146" xfId="0" applyNumberFormat="1" applyFont="1" applyBorder="1" applyAlignment="1">
      <alignment horizontal="right" wrapText="1"/>
    </xf>
    <xf numFmtId="3" fontId="34" fillId="0" borderId="147" xfId="0" applyNumberFormat="1" applyFont="1" applyBorder="1" applyAlignment="1">
      <alignment horizontal="right" wrapText="1"/>
    </xf>
    <xf numFmtId="3" fontId="44" fillId="4" borderId="148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/>
    </xf>
    <xf numFmtId="3" fontId="8" fillId="0" borderId="9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49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0" fillId="6" borderId="67" xfId="0" applyNumberFormat="1" applyFont="1" applyFill="1" applyBorder="1" applyAlignment="1">
      <alignment horizontal="left" vertical="center" wrapText="1"/>
    </xf>
    <xf numFmtId="3" fontId="0" fillId="4" borderId="15" xfId="15" applyNumberFormat="1" applyFont="1" applyFill="1" applyBorder="1" applyAlignment="1">
      <alignment horizontal="right"/>
    </xf>
    <xf numFmtId="3" fontId="13" fillId="4" borderId="136" xfId="0" applyNumberFormat="1" applyFont="1" applyFill="1" applyBorder="1" applyAlignment="1">
      <alignment horizontal="left" vertical="center" wrapText="1"/>
    </xf>
    <xf numFmtId="3" fontId="13" fillId="4" borderId="55" xfId="0" applyNumberFormat="1" applyFont="1" applyFill="1" applyBorder="1" applyAlignment="1">
      <alignment/>
    </xf>
    <xf numFmtId="3" fontId="13" fillId="4" borderId="56" xfId="0" applyNumberFormat="1" applyFont="1" applyFill="1" applyBorder="1" applyAlignment="1">
      <alignment/>
    </xf>
    <xf numFmtId="3" fontId="13" fillId="4" borderId="59" xfId="15" applyNumberFormat="1" applyFont="1" applyFill="1" applyBorder="1" applyAlignment="1">
      <alignment horizontal="right"/>
    </xf>
    <xf numFmtId="3" fontId="13" fillId="0" borderId="68" xfId="0" applyNumberFormat="1" applyFont="1" applyFill="1" applyBorder="1" applyAlignment="1">
      <alignment horizontal="left" vertical="center" wrapText="1"/>
    </xf>
    <xf numFmtId="1" fontId="0" fillId="0" borderId="136" xfId="0" applyNumberFormat="1" applyFont="1" applyFill="1" applyBorder="1" applyAlignment="1">
      <alignment vertical="center" wrapText="1"/>
    </xf>
    <xf numFmtId="3" fontId="13" fillId="4" borderId="105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24" fillId="0" borderId="0" xfId="18" applyNumberFormat="1" applyFont="1" applyFill="1" applyBorder="1" applyAlignment="1">
      <alignment/>
      <protection/>
    </xf>
    <xf numFmtId="3" fontId="24" fillId="0" borderId="0" xfId="18" applyNumberFormat="1" applyFont="1" applyFill="1" applyBorder="1" applyAlignment="1">
      <alignment horizontal="center"/>
      <protection/>
    </xf>
    <xf numFmtId="3" fontId="24" fillId="0" borderId="0" xfId="18" applyNumberFormat="1" applyFont="1" applyFill="1" applyBorder="1" applyAlignment="1">
      <alignment horizontal="right"/>
      <protection/>
    </xf>
    <xf numFmtId="3" fontId="24" fillId="0" borderId="52" xfId="18" applyNumberFormat="1" applyFont="1" applyFill="1" applyBorder="1" applyAlignment="1">
      <alignment/>
      <protection/>
    </xf>
    <xf numFmtId="3" fontId="24" fillId="0" borderId="52" xfId="18" applyNumberFormat="1" applyFont="1" applyFill="1" applyBorder="1" applyAlignment="1">
      <alignment horizontal="center"/>
      <protection/>
    </xf>
    <xf numFmtId="3" fontId="24" fillId="0" borderId="52" xfId="18" applyNumberFormat="1" applyFont="1" applyFill="1" applyBorder="1" applyAlignment="1">
      <alignment horizontal="right"/>
      <protection/>
    </xf>
    <xf numFmtId="3" fontId="24" fillId="0" borderId="17" xfId="18" applyNumberFormat="1" applyFont="1" applyFill="1" applyBorder="1" applyAlignment="1">
      <alignment horizontal="right"/>
      <protection/>
    </xf>
    <xf numFmtId="0" fontId="13" fillId="4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3" borderId="0" xfId="0" applyNumberFormat="1" applyFont="1" applyFill="1" applyBorder="1" applyAlignment="1">
      <alignment horizontal="right" wrapText="1"/>
    </xf>
    <xf numFmtId="1" fontId="12" fillId="0" borderId="23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 wrapText="1"/>
    </xf>
    <xf numFmtId="3" fontId="12" fillId="0" borderId="23" xfId="0" applyNumberFormat="1" applyFont="1" applyFill="1" applyBorder="1" applyAlignment="1">
      <alignment horizontal="right" wrapText="1"/>
    </xf>
    <xf numFmtId="0" fontId="13" fillId="4" borderId="150" xfId="0" applyFont="1" applyFill="1" applyBorder="1" applyAlignment="1">
      <alignment/>
    </xf>
    <xf numFmtId="1" fontId="12" fillId="0" borderId="150" xfId="0" applyNumberFormat="1" applyFont="1" applyFill="1" applyBorder="1" applyAlignment="1">
      <alignment/>
    </xf>
    <xf numFmtId="3" fontId="12" fillId="0" borderId="150" xfId="0" applyNumberFormat="1" applyFont="1" applyFill="1" applyBorder="1" applyAlignment="1">
      <alignment wrapText="1"/>
    </xf>
    <xf numFmtId="3" fontId="12" fillId="0" borderId="150" xfId="0" applyNumberFormat="1" applyFont="1" applyFill="1" applyBorder="1" applyAlignment="1">
      <alignment horizontal="right" wrapText="1"/>
    </xf>
    <xf numFmtId="3" fontId="12" fillId="4" borderId="150" xfId="0" applyNumberFormat="1" applyFont="1" applyFill="1" applyBorder="1" applyAlignment="1">
      <alignment wrapText="1"/>
    </xf>
    <xf numFmtId="3" fontId="0" fillId="4" borderId="37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13" fillId="2" borderId="15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wrapText="1"/>
    </xf>
    <xf numFmtId="0" fontId="0" fillId="3" borderId="15" xfId="0" applyFont="1" applyFill="1" applyBorder="1" applyAlignment="1">
      <alignment horizontal="left" wrapText="1"/>
    </xf>
    <xf numFmtId="3" fontId="0" fillId="3" borderId="15" xfId="0" applyNumberFormat="1" applyFont="1" applyFill="1" applyBorder="1" applyAlignment="1">
      <alignment horizontal="right" wrapText="1"/>
    </xf>
    <xf numFmtId="3" fontId="0" fillId="0" borderId="21" xfId="0" applyNumberFormat="1" applyFont="1" applyBorder="1" applyAlignment="1">
      <alignment horizontal="right"/>
    </xf>
    <xf numFmtId="0" fontId="13" fillId="2" borderId="27" xfId="0" applyFont="1" applyFill="1" applyBorder="1" applyAlignment="1">
      <alignment horizontal="right" wrapText="1"/>
    </xf>
    <xf numFmtId="0" fontId="15" fillId="3" borderId="85" xfId="0" applyFont="1" applyFill="1" applyBorder="1" applyAlignment="1">
      <alignment wrapText="1"/>
    </xf>
    <xf numFmtId="0" fontId="13" fillId="2" borderId="29" xfId="0" applyFont="1" applyFill="1" applyBorder="1" applyAlignment="1">
      <alignment horizontal="left" wrapText="1"/>
    </xf>
    <xf numFmtId="3" fontId="13" fillId="2" borderId="29" xfId="0" applyNumberFormat="1" applyFont="1" applyFill="1" applyBorder="1" applyAlignment="1">
      <alignment horizontal="right" wrapText="1"/>
    </xf>
    <xf numFmtId="0" fontId="13" fillId="2" borderId="29" xfId="0" applyFont="1" applyFill="1" applyBorder="1" applyAlignment="1">
      <alignment horizontal="right" wrapText="1"/>
    </xf>
    <xf numFmtId="0" fontId="13" fillId="2" borderId="34" xfId="0" applyFont="1" applyFill="1" applyBorder="1" applyAlignment="1">
      <alignment horizontal="right" wrapText="1"/>
    </xf>
    <xf numFmtId="0" fontId="13" fillId="3" borderId="29" xfId="0" applyFont="1" applyFill="1" applyBorder="1" applyAlignment="1">
      <alignment horizontal="left" wrapText="1"/>
    </xf>
    <xf numFmtId="3" fontId="13" fillId="4" borderId="17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0" fontId="12" fillId="3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3" fontId="12" fillId="0" borderId="0" xfId="0" applyNumberFormat="1" applyFont="1" applyBorder="1" applyAlignment="1">
      <alignment/>
    </xf>
    <xf numFmtId="0" fontId="12" fillId="0" borderId="15" xfId="0" applyFont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0" fontId="12" fillId="3" borderId="150" xfId="0" applyFont="1" applyFill="1" applyBorder="1" applyAlignment="1">
      <alignment/>
    </xf>
    <xf numFmtId="0" fontId="12" fillId="0" borderId="150" xfId="0" applyFont="1" applyBorder="1" applyAlignment="1">
      <alignment/>
    </xf>
    <xf numFmtId="0" fontId="12" fillId="0" borderId="150" xfId="0" applyFont="1" applyBorder="1" applyAlignment="1">
      <alignment/>
    </xf>
    <xf numFmtId="0" fontId="12" fillId="0" borderId="150" xfId="0" applyFont="1" applyBorder="1" applyAlignment="1">
      <alignment wrapText="1"/>
    </xf>
    <xf numFmtId="3" fontId="12" fillId="0" borderId="150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 wrapText="1"/>
    </xf>
    <xf numFmtId="0" fontId="12" fillId="3" borderId="150" xfId="0" applyFont="1" applyFill="1" applyBorder="1" applyAlignment="1">
      <alignment/>
    </xf>
    <xf numFmtId="0" fontId="12" fillId="0" borderId="150" xfId="0" applyFont="1" applyFill="1" applyBorder="1" applyAlignment="1">
      <alignment/>
    </xf>
    <xf numFmtId="0" fontId="12" fillId="0" borderId="150" xfId="0" applyFont="1" applyFill="1" applyBorder="1" applyAlignment="1">
      <alignment wrapText="1"/>
    </xf>
    <xf numFmtId="3" fontId="12" fillId="0" borderId="150" xfId="0" applyNumberFormat="1" applyFont="1" applyFill="1" applyBorder="1" applyAlignment="1">
      <alignment horizontal="right" wrapText="1"/>
    </xf>
    <xf numFmtId="0" fontId="12" fillId="0" borderId="110" xfId="0" applyFont="1" applyBorder="1" applyAlignment="1">
      <alignment/>
    </xf>
    <xf numFmtId="0" fontId="12" fillId="0" borderId="95" xfId="0" applyFont="1" applyFill="1" applyBorder="1" applyAlignment="1">
      <alignment wrapText="1"/>
    </xf>
    <xf numFmtId="0" fontId="15" fillId="0" borderId="150" xfId="0" applyFont="1" applyBorder="1" applyAlignment="1">
      <alignment wrapText="1"/>
    </xf>
    <xf numFmtId="0" fontId="15" fillId="0" borderId="150" xfId="0" applyFont="1" applyBorder="1" applyAlignment="1">
      <alignment/>
    </xf>
    <xf numFmtId="3" fontId="12" fillId="0" borderId="150" xfId="0" applyNumberFormat="1" applyFont="1" applyBorder="1" applyAlignment="1">
      <alignment/>
    </xf>
    <xf numFmtId="0" fontId="12" fillId="3" borderId="13" xfId="0" applyFont="1" applyFill="1" applyBorder="1" applyAlignment="1">
      <alignment wrapText="1"/>
    </xf>
    <xf numFmtId="0" fontId="12" fillId="3" borderId="150" xfId="0" applyFont="1" applyFill="1" applyBorder="1" applyAlignment="1">
      <alignment wrapText="1"/>
    </xf>
    <xf numFmtId="0" fontId="12" fillId="3" borderId="27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wrapText="1"/>
    </xf>
    <xf numFmtId="3" fontId="15" fillId="0" borderId="17" xfId="0" applyNumberFormat="1" applyFont="1" applyBorder="1" applyAlignment="1">
      <alignment/>
    </xf>
    <xf numFmtId="0" fontId="0" fillId="3" borderId="103" xfId="0" applyFont="1" applyFill="1" applyBorder="1" applyAlignment="1">
      <alignment wrapText="1"/>
    </xf>
    <xf numFmtId="3" fontId="0" fillId="3" borderId="103" xfId="0" applyNumberFormat="1" applyFont="1" applyFill="1" applyBorder="1" applyAlignment="1">
      <alignment wrapText="1"/>
    </xf>
    <xf numFmtId="0" fontId="22" fillId="0" borderId="13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22" fillId="0" borderId="15" xfId="0" applyFont="1" applyBorder="1" applyAlignment="1">
      <alignment/>
    </xf>
    <xf numFmtId="3" fontId="12" fillId="0" borderId="25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49" fontId="15" fillId="0" borderId="34" xfId="0" applyNumberFormat="1" applyFont="1" applyBorder="1" applyAlignment="1">
      <alignment/>
    </xf>
    <xf numFmtId="3" fontId="15" fillId="0" borderId="34" xfId="0" applyNumberFormat="1" applyFont="1" applyBorder="1" applyAlignment="1">
      <alignment horizontal="right"/>
    </xf>
    <xf numFmtId="3" fontId="15" fillId="0" borderId="61" xfId="0" applyNumberFormat="1" applyFont="1" applyBorder="1" applyAlignment="1">
      <alignment horizontal="right"/>
    </xf>
    <xf numFmtId="3" fontId="15" fillId="0" borderId="151" xfId="0" applyNumberFormat="1" applyFont="1" applyBorder="1" applyAlignment="1">
      <alignment horizontal="right"/>
    </xf>
    <xf numFmtId="3" fontId="15" fillId="0" borderId="62" xfId="0" applyNumberFormat="1" applyFont="1" applyBorder="1" applyAlignment="1">
      <alignment horizontal="right"/>
    </xf>
    <xf numFmtId="3" fontId="12" fillId="0" borderId="110" xfId="0" applyNumberFormat="1" applyFont="1" applyFill="1" applyBorder="1" applyAlignment="1">
      <alignment/>
    </xf>
    <xf numFmtId="3" fontId="12" fillId="4" borderId="110" xfId="0" applyNumberFormat="1" applyFont="1" applyFill="1" applyBorder="1" applyAlignment="1">
      <alignment/>
    </xf>
    <xf numFmtId="3" fontId="12" fillId="0" borderId="95" xfId="0" applyNumberFormat="1" applyFont="1" applyFill="1" applyBorder="1" applyAlignment="1">
      <alignment/>
    </xf>
    <xf numFmtId="0" fontId="0" fillId="3" borderId="150" xfId="0" applyFont="1" applyFill="1" applyBorder="1" applyAlignment="1">
      <alignment/>
    </xf>
    <xf numFmtId="0" fontId="0" fillId="0" borderId="150" xfId="0" applyFont="1" applyBorder="1" applyAlignment="1">
      <alignment/>
    </xf>
    <xf numFmtId="0" fontId="12" fillId="0" borderId="150" xfId="0" applyFont="1" applyBorder="1" applyAlignment="1">
      <alignment/>
    </xf>
    <xf numFmtId="3" fontId="12" fillId="0" borderId="150" xfId="0" applyNumberFormat="1" applyFont="1" applyBorder="1" applyAlignment="1">
      <alignment horizontal="right"/>
    </xf>
    <xf numFmtId="0" fontId="12" fillId="0" borderId="150" xfId="0" applyFont="1" applyBorder="1" applyAlignment="1">
      <alignment/>
    </xf>
    <xf numFmtId="3" fontId="12" fillId="0" borderId="150" xfId="0" applyNumberFormat="1" applyFont="1" applyFill="1" applyBorder="1" applyAlignment="1">
      <alignment horizontal="right"/>
    </xf>
    <xf numFmtId="0" fontId="12" fillId="0" borderId="24" xfId="0" applyFont="1" applyBorder="1" applyAlignment="1">
      <alignment/>
    </xf>
    <xf numFmtId="0" fontId="12" fillId="0" borderId="150" xfId="0" applyFont="1" applyBorder="1" applyAlignment="1">
      <alignment wrapText="1"/>
    </xf>
    <xf numFmtId="0" fontId="12" fillId="0" borderId="150" xfId="0" applyFont="1" applyFill="1" applyBorder="1" applyAlignment="1">
      <alignment/>
    </xf>
    <xf numFmtId="0" fontId="12" fillId="0" borderId="150" xfId="0" applyFont="1" applyFill="1" applyBorder="1" applyAlignment="1">
      <alignment wrapText="1"/>
    </xf>
    <xf numFmtId="0" fontId="3" fillId="0" borderId="150" xfId="0" applyFont="1" applyFill="1" applyBorder="1" applyAlignment="1">
      <alignment/>
    </xf>
    <xf numFmtId="0" fontId="3" fillId="0" borderId="150" xfId="0" applyFont="1" applyFill="1" applyBorder="1" applyAlignment="1">
      <alignment wrapText="1"/>
    </xf>
    <xf numFmtId="3" fontId="3" fillId="0" borderId="15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12" fillId="0" borderId="152" xfId="0" applyFont="1" applyBorder="1" applyAlignment="1">
      <alignment/>
    </xf>
    <xf numFmtId="3" fontId="12" fillId="0" borderId="152" xfId="0" applyNumberFormat="1" applyFont="1" applyFill="1" applyBorder="1" applyAlignment="1">
      <alignment horizontal="right"/>
    </xf>
    <xf numFmtId="3" fontId="12" fillId="0" borderId="15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0" borderId="16" xfId="0" applyNumberFormat="1" applyFont="1" applyBorder="1" applyAlignment="1">
      <alignment wrapText="1"/>
    </xf>
    <xf numFmtId="0" fontId="13" fillId="3" borderId="0" xfId="0" applyFont="1" applyFill="1" applyBorder="1" applyAlignment="1">
      <alignment/>
    </xf>
    <xf numFmtId="3" fontId="12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 wrapText="1"/>
    </xf>
    <xf numFmtId="3" fontId="12" fillId="3" borderId="0" xfId="0" applyNumberFormat="1" applyFont="1" applyFill="1" applyBorder="1" applyAlignment="1">
      <alignment horizontal="right" wrapText="1"/>
    </xf>
    <xf numFmtId="0" fontId="0" fillId="0" borderId="150" xfId="0" applyFont="1" applyBorder="1" applyAlignment="1">
      <alignment horizontal="right"/>
    </xf>
    <xf numFmtId="0" fontId="12" fillId="3" borderId="150" xfId="0" applyFont="1" applyFill="1" applyBorder="1" applyAlignment="1">
      <alignment/>
    </xf>
    <xf numFmtId="3" fontId="12" fillId="0" borderId="150" xfId="0" applyNumberFormat="1" applyFont="1" applyBorder="1" applyAlignment="1">
      <alignment wrapText="1"/>
    </xf>
    <xf numFmtId="3" fontId="12" fillId="3" borderId="150" xfId="0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/>
    </xf>
    <xf numFmtId="1" fontId="34" fillId="3" borderId="17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 wrapText="1"/>
    </xf>
    <xf numFmtId="3" fontId="4" fillId="3" borderId="17" xfId="0" applyNumberFormat="1" applyFont="1" applyFill="1" applyBorder="1" applyAlignment="1">
      <alignment horizontal="center" wrapText="1"/>
    </xf>
    <xf numFmtId="3" fontId="4" fillId="3" borderId="17" xfId="0" applyNumberFormat="1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3" fontId="4" fillId="3" borderId="145" xfId="0" applyNumberFormat="1" applyFont="1" applyFill="1" applyBorder="1" applyAlignment="1">
      <alignment/>
    </xf>
    <xf numFmtId="3" fontId="4" fillId="3" borderId="52" xfId="0" applyNumberFormat="1" applyFont="1" applyFill="1" applyBorder="1" applyAlignment="1">
      <alignment/>
    </xf>
    <xf numFmtId="0" fontId="0" fillId="0" borderId="109" xfId="0" applyFont="1" applyBorder="1" applyAlignment="1">
      <alignment/>
    </xf>
    <xf numFmtId="3" fontId="0" fillId="0" borderId="109" xfId="0" applyNumberFormat="1" applyFont="1" applyBorder="1" applyAlignment="1">
      <alignment/>
    </xf>
    <xf numFmtId="0" fontId="12" fillId="4" borderId="150" xfId="0" applyFont="1" applyFill="1" applyBorder="1" applyAlignment="1">
      <alignment/>
    </xf>
    <xf numFmtId="3" fontId="12" fillId="4" borderId="150" xfId="0" applyNumberFormat="1" applyFont="1" applyFill="1" applyBorder="1" applyAlignment="1">
      <alignment/>
    </xf>
    <xf numFmtId="0" fontId="3" fillId="0" borderId="150" xfId="0" applyFont="1" applyFill="1" applyBorder="1" applyAlignment="1">
      <alignment/>
    </xf>
    <xf numFmtId="0" fontId="3" fillId="3" borderId="150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154" xfId="0" applyFont="1" applyFill="1" applyBorder="1" applyAlignment="1">
      <alignment horizontal="left" vertical="center" wrapText="1"/>
    </xf>
    <xf numFmtId="0" fontId="0" fillId="0" borderId="122" xfId="0" applyBorder="1" applyAlignment="1">
      <alignment horizontal="left" wrapText="1"/>
    </xf>
    <xf numFmtId="0" fontId="0" fillId="0" borderId="99" xfId="0" applyBorder="1" applyAlignment="1">
      <alignment horizontal="left" wrapText="1"/>
    </xf>
    <xf numFmtId="0" fontId="5" fillId="4" borderId="154" xfId="0" applyFont="1" applyFill="1" applyBorder="1" applyAlignment="1">
      <alignment horizontal="left" vertical="center" wrapText="1"/>
    </xf>
    <xf numFmtId="0" fontId="5" fillId="4" borderId="122" xfId="0" applyFont="1" applyFill="1" applyBorder="1" applyAlignment="1">
      <alignment horizontal="left" vertical="center" wrapText="1"/>
    </xf>
    <xf numFmtId="0" fontId="5" fillId="4" borderId="99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13" fillId="4" borderId="155" xfId="0" applyFont="1" applyFill="1" applyBorder="1" applyAlignment="1">
      <alignment horizontal="left" vertical="center" wrapText="1"/>
    </xf>
    <xf numFmtId="0" fontId="13" fillId="4" borderId="122" xfId="0" applyFont="1" applyFill="1" applyBorder="1" applyAlignment="1">
      <alignment horizontal="left" vertical="center" wrapText="1"/>
    </xf>
    <xf numFmtId="0" fontId="13" fillId="4" borderId="99" xfId="0" applyFont="1" applyFill="1" applyBorder="1" applyAlignment="1">
      <alignment horizontal="left" vertical="center" wrapText="1"/>
    </xf>
    <xf numFmtId="0" fontId="13" fillId="4" borderId="15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0" fillId="0" borderId="157" xfId="0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13" fillId="4" borderId="154" xfId="15" applyNumberFormat="1" applyFont="1" applyFill="1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99" xfId="0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NumberFormat="1" applyFont="1" applyAlignment="1">
      <alignment/>
    </xf>
    <xf numFmtId="3" fontId="42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49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_Zmniejszenia-zwiększeni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4" name="Line 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5" name="Line 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6" name="Line 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7" name="Line 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8" name="Line 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9" name="Line 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0" name="Line 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1" name="Line 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2" name="Line 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3" name="Line 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4" name="Line 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5" name="Line 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6" name="Line 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7" name="Line 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8" name="Line 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9" name="Line 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0" name="Line 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1" name="Line 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2" name="Line 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3" name="Line 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4" name="Line 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5" name="Line 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6" name="Line 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7" name="Line 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8" name="Line 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9" name="Line 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0" name="Line 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1" name="Line 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2" name="Line 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3" name="Line 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4" name="Line 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5" name="Line 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6" name="Line 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7" name="Line 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8" name="Line 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9" name="Line 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0" name="Line 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1" name="Line 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2" name="Line 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3" name="Line 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4" name="Line 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5" name="Line 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6" name="Line 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7" name="Line 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8" name="Line 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9" name="Line 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0" name="Line 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1" name="Line 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2" name="Line 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3" name="Line 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4" name="Line 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5" name="Line 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6" name="Line 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7" name="Line 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8" name="Line 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9" name="Line 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0" name="Line 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1" name="Line 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2" name="Line 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3" name="Line 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4" name="Line 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5" name="Line 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6" name="Line 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7" name="Line 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8" name="Line 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9" name="Line 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0" name="Line 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1" name="Line 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2" name="Line 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3" name="Line 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4" name="Line 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5" name="Line 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6" name="Line 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7" name="Line 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8" name="Line 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9" name="Line 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0" name="Line 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1" name="Line 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2" name="Line 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3" name="Line 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4" name="Line 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5" name="Line 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6" name="Line 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7" name="Line 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8" name="Line 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9" name="Line 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0" name="Line 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1" name="Line 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2" name="Line 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3" name="Line 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4" name="Line 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5" name="Line 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6" name="Line 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7" name="Line 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8" name="Line 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9" name="Line 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0" name="Line 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1" name="Line 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2" name="Line 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3" name="Line 1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4" name="Line 1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5" name="Line 1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6" name="Line 1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7" name="Line 1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8" name="Line 1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9" name="Line 1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0" name="Line 1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1" name="Line 1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2" name="Line 1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3" name="Line 1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4" name="Line 1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5" name="Line 1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6" name="Line 1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7" name="Line 1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8" name="Line 1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9" name="Line 1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0" name="Line 1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1" name="Line 1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2" name="Line 1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3" name="Line 1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4" name="Line 1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5" name="Line 1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6" name="Line 1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7" name="Line 1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8" name="Line 1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9" name="Line 1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0" name="Line 1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1" name="Line 1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2" name="Line 1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3" name="Line 1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4" name="Line 1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5" name="Line 1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6" name="Line 1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7" name="Line 1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8" name="Line 1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9" name="Line 1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0" name="Line 1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1" name="Line 1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2" name="Line 1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3" name="Line 1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4" name="Line 1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5" name="Line 1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6" name="Line 1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7" name="Line 1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8" name="Line 1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9" name="Line 1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0" name="Line 1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1" name="Line 1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2" name="Line 1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3" name="Line 1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4" name="Line 1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5" name="Line 1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6" name="Line 1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7" name="Line 1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8" name="Line 1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9" name="Line 1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0" name="Line 1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1" name="Line 1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2" name="Line 1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3" name="Line 1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4" name="Line 1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5" name="Line 1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6" name="Line 1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7" name="Line 1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8" name="Line 1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9" name="Line 1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0" name="Line 1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1" name="Line 1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2" name="Line 1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3" name="Line 1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4" name="Line 1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5" name="Line 1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6" name="Line 1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7" name="Line 1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8" name="Line 1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9" name="Line 1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0" name="Line 1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1" name="Line 1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2" name="Line 1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3" name="Line 1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4" name="Line 1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5" name="Line 1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6" name="Line 1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7" name="Line 1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8" name="Line 1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9" name="Line 1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0" name="Line 1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1" name="Line 1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2" name="Line 1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3" name="Line 1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4" name="Line 1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5" name="Line 1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6" name="Line 1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7" name="Line 1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8" name="Line 1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9" name="Line 1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0" name="Line 1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1" name="Line 1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2" name="Line 1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3" name="Line 2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4" name="Line 2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5" name="Line 2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6" name="Line 2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7" name="Line 2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8" name="Line 2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9" name="Line 2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0" name="Line 2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1" name="Line 2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2" name="Line 2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3" name="Line 2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4" name="Line 2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5" name="Line 2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6" name="Line 2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7" name="Line 2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8" name="Line 2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9" name="Line 2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0" name="Line 2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1" name="Line 2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2" name="Line 2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3" name="Line 2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4" name="Line 2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5" name="Line 2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6" name="Line 2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7" name="Line 2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8" name="Line 2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9" name="Line 2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0" name="Line 2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1" name="Line 2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2" name="Line 2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3" name="Line 2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4" name="Line 2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5" name="Line 2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6" name="Line 2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7" name="Line 2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8" name="Line 2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9" name="Line 2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0" name="Line 2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1" name="Line 2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2" name="Line 2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3" name="Line 2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4" name="Line 2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5" name="Line 2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6" name="Line 2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7" name="Line 2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8" name="Line 2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9" name="Line 2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0" name="Line 2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1" name="Line 2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2" name="Line 2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3" name="Line 2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4" name="Line 2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5" name="Line 2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6" name="Line 2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7" name="Line 2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8" name="Line 2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9" name="Line 2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0" name="Line 2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1" name="Line 2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2" name="Line 2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3" name="Line 2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4" name="Line 2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5" name="Line 2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6" name="Line 2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7" name="Line 2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8" name="Line 2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9" name="Line 2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0" name="Line 2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1" name="Line 2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2" name="Line 2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3" name="Line 2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4" name="Line 2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5" name="Line 2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6" name="Line 2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7" name="Line 2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8" name="Line 2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9" name="Line 2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0" name="Line 2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1" name="Line 2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2" name="Line 2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3" name="Line 2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5" name="Line 2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6" name="Line 2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7" name="Line 2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8" name="Line 2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9" name="Line 2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0" name="Line 2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1" name="Line 2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2" name="Line 2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3" name="Line 2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4" name="Line 2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5" name="Line 2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6" name="Line 2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7" name="Line 2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8" name="Line 2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9" name="Line 2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0" name="Line 2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1" name="Line 2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2" name="Line 2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3" name="Line 3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4" name="Line 3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5" name="Line 3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6" name="Line 3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7" name="Line 3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8" name="Line 3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9" name="Line 3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0" name="Line 3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1" name="Line 3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2" name="Line 3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3" name="Line 3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4" name="Line 3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5" name="Line 3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6" name="Line 3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7" name="Line 3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8" name="Line 3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9" name="Line 3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0" name="Line 3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1" name="Line 3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2" name="Line 3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3" name="Line 3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4" name="Line 3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5" name="Line 3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6" name="Line 3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7" name="Line 3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8" name="Line 3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9" name="Line 3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0" name="Line 3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1" name="Line 3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2" name="Line 3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3" name="Line 3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4" name="Line 3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5" name="Line 3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6" name="Line 3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7" name="Line 3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8" name="Line 3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9" name="Line 3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0" name="Line 3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1" name="Line 3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2" name="Line 3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3" name="Line 3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4" name="Line 3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5" name="Line 3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6" name="Line 3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7" name="Line 3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8" name="Line 3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9" name="Line 3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0" name="Line 3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1" name="Line 3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2" name="Line 3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3" name="Line 3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4" name="Line 3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5" name="Line 3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6" name="Line 3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7" name="Line 3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8" name="Line 3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9" name="Line 3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0" name="Line 3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1" name="Line 3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2" name="Line 3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3" name="Line 3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4" name="Line 3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5" name="Line 3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6" name="Line 3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7" name="Line 3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8" name="Line 3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9" name="Line 3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0" name="Line 3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1" name="Line 3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2" name="Line 3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3" name="Line 3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4" name="Line 3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5" name="Line 3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6" name="Line 3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7" name="Line 3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8" name="Line 3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9" name="Line 3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0" name="Line 3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1" name="Line 3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2" name="Line 3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3" name="Line 3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4" name="Line 3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5" name="Line 3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6" name="Line 3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7" name="Line 3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8" name="Line 3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9" name="Line 3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0" name="Line 3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1" name="Line 3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2" name="Line 3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3" name="Line 3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4" name="Line 3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5" name="Line 3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6" name="Line 3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7" name="Line 3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8" name="Line 3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9" name="Line 3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0" name="Line 3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1" name="Line 3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2" name="Line 3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3" name="Line 4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4" name="Line 4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5" name="Line 4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6" name="Line 4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7" name="Line 4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8" name="Line 4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9" name="Line 4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0" name="Line 4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1" name="Line 4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2" name="Line 4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3" name="Line 4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4" name="Line 4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5" name="Line 4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6" name="Line 4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7" name="Line 4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8" name="Line 4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9" name="Line 4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0" name="Line 4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1" name="Line 4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2" name="Line 4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3" name="Line 4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4" name="Line 4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5" name="Line 4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6" name="Line 4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7" name="Line 4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8" name="Line 4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9" name="Line 4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0" name="Line 4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1" name="Line 4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2" name="Line 4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3" name="Line 4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4" name="Line 4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5" name="Line 4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6" name="Line 4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7" name="Line 4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8" name="Line 4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9" name="Line 4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0" name="Line 4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1" name="Line 4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2" name="Line 4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3" name="Line 4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4" name="Line 4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5" name="Line 4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6" name="Line 4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7" name="Line 4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8" name="Line 4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9" name="Line 4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0" name="Line 4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1" name="Line 4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2" name="Line 4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3" name="Line 4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4" name="Line 4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5" name="Line 4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6" name="Line 4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7" name="Line 4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8" name="Line 4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9" name="Line 4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0" name="Line 4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1" name="Line 4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2" name="Line 4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3" name="Line 4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4" name="Line 4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5" name="Line 4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6" name="Line 4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7" name="Line 4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8" name="Line 4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9" name="Line 4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0" name="Line 4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1" name="Line 4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2" name="Line 4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3" name="Line 4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4" name="Line 4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5" name="Line 4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6" name="Line 4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7" name="Line 4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8" name="Line 4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9" name="Line 4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0" name="Line 4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1" name="Line 4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2" name="Line 4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3" name="Line 4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4" name="Line 4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5" name="Line 4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6" name="Line 4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7" name="Line 4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8" name="Line 4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9" name="Line 4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0" name="Line 4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1" name="Line 4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2" name="Line 4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3" name="Line 4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4" name="Line 4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5" name="Line 4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6" name="Line 4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7" name="Line 4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8" name="Line 4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9" name="Line 4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0" name="Line 4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1" name="Line 4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2" name="Line 4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3" name="Line 5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4" name="Line 5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5" name="Line 5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6" name="Line 5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7" name="Line 5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8" name="Line 5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9" name="Line 5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0" name="Line 5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1" name="Line 5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2" name="Line 5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3" name="Line 5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4" name="Line 5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5" name="Line 5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6" name="Line 5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7" name="Line 5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8" name="Line 5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9" name="Line 5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0" name="Line 5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1" name="Line 5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2" name="Line 5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3" name="Line 5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4" name="Line 5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5" name="Line 5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6" name="Line 5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7" name="Line 5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8" name="Line 5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9" name="Line 5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0" name="Line 5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1" name="Line 5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2" name="Line 5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3" name="Line 5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4" name="Line 5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5" name="Line 5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6" name="Line 5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7" name="Line 5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8" name="Line 5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9" name="Line 5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0" name="Line 5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1" name="Line 5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2" name="Line 5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3" name="Line 5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4" name="Line 5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5" name="Line 5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6" name="Line 5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7" name="Line 5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8" name="Line 5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9" name="Line 5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0" name="Line 5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1" name="Line 5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2" name="Line 5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3" name="Line 5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4" name="Line 5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5" name="Line 5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6" name="Line 5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2457450</xdr:colOff>
      <xdr:row>0</xdr:row>
      <xdr:rowOff>0</xdr:rowOff>
    </xdr:to>
    <xdr:sp>
      <xdr:nvSpPr>
        <xdr:cNvPr id="1577" name="Line 554"/>
        <xdr:cNvSpPr>
          <a:spLocks/>
        </xdr:cNvSpPr>
      </xdr:nvSpPr>
      <xdr:spPr>
        <a:xfrm>
          <a:off x="0" y="0"/>
          <a:ext cx="24574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8" name="Line 5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9" name="Line 5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0" name="Line 5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1" name="Line 5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2" name="Line 5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3" name="Line 5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4" name="Line 5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5" name="Line 5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6" name="Line 5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7" name="Line 5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8" name="Line 5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9" name="Line 5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0" name="Line 5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1" name="Line 5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2" name="Line 5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3" name="Line 5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4" name="Line 5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5" name="Line 5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6" name="Line 5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7" name="Line 5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8" name="Line 5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9" name="Line 5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0" name="Line 5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1" name="Line 5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2" name="Line 5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3" name="Line 5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4" name="Line 5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5" name="Line 5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6" name="Line 5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7" name="Line 5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8" name="Line 5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9" name="Line 5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0" name="Line 5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1" name="Line 5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2" name="Line 5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3" name="Line 5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4" name="Line 5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5" name="Line 5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6" name="Line 5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7" name="Line 5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8" name="Line 5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9" name="Line 5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0" name="Line 5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1" name="Line 5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2" name="Line 5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3" name="Line 6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4" name="Line 6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5" name="Line 6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6" name="Line 6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7" name="Line 6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8" name="Line 6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9" name="Line 6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0" name="Line 6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1" name="Line 6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2" name="Line 6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3" name="Line 6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4" name="Line 6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5" name="Line 6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6" name="Line 6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7" name="Line 6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8" name="Line 6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9" name="Line 6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0" name="Line 6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1" name="Line 6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2" name="Line 6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3" name="Line 6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4" name="Line 6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5" name="Line 6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6" name="Line 6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7" name="Line 6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8" name="Line 6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9" name="Line 6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0" name="Line 6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1" name="Line 6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2" name="Line 6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3" name="Line 6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4" name="Line 6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5" name="Line 6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6" name="Line 6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7" name="Line 6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8" name="Line 6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9" name="Line 6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0" name="Line 6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1" name="Line 6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2" name="Line 6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3" name="Line 6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4" name="Line 6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5" name="Line 6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6" name="Line 6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7" name="Line 6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8" name="Line 6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9" name="Line 6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0" name="Line 6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1" name="Line 6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2" name="Line 6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3" name="Line 6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4" name="Line 6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5" name="Line 6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6" name="Line 6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7" name="Line 6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8" name="Line 6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9" name="Line 6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0" name="Line 6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1" name="Line 6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2" name="Line 6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3" name="Line 6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4" name="Line 6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5" name="Line 6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6" name="Line 6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7" name="Line 6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8" name="Line 6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9" name="Line 6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0" name="Line 6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1" name="Line 6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2" name="Line 6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3" name="Line 6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4" name="Line 6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5" name="Line 6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6" name="Line 6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7" name="Line 6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8" name="Line 6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9" name="Line 6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0" name="Line 6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1" name="Line 6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2" name="Line 6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3" name="Line 6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4" name="Line 6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5" name="Line 6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6" name="Line 6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7" name="Line 6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8" name="Line 6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9" name="Line 6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0" name="Line 6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1" name="Line 6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2" name="Line 6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3" name="Line 6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4" name="Line 6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5" name="Line 6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6" name="Line 6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7" name="Line 6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8" name="Line 6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9" name="Line 6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0" name="Line 6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1" name="Line 6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2" name="Line 6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3" name="Line 7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4" name="Line 7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5" name="Line 7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6" name="Line 7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7" name="Line 7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8" name="Line 7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9" name="Line 7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0" name="Line 7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1" name="Line 7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2" name="Line 7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3" name="Line 7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4" name="Line 7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5" name="Line 7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6" name="Line 7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7" name="Line 7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8" name="Line 7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9" name="Line 7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0" name="Line 7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1" name="Line 7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2" name="Line 7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3" name="Line 7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4" name="Line 7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5" name="Line 7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6" name="Line 7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7" name="Line 7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8" name="Line 7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9" name="Line 7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0" name="Line 7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1" name="Line 7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2" name="Line 7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3" name="Line 7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4" name="Line 7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5" name="Line 7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6" name="Line 7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7" name="Line 7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8" name="Line 7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9" name="Line 7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0" name="Line 7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1" name="Line 7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2" name="Line 7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3" name="Line 7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4" name="Line 7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5" name="Line 7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6" name="Line 7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7" name="Line 7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8" name="Line 7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9" name="Line 7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0" name="Line 7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1" name="Line 7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2" name="Line 7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3" name="Line 7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4" name="Line 7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5" name="Line 7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6" name="Line 7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7" name="Line 7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8" name="Line 7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9" name="Line 7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0" name="Line 7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1" name="Line 7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2" name="Line 7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3" name="Line 7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4" name="Line 7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5" name="Line 7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6" name="Line 7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7" name="Line 7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8" name="Line 7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9" name="Line 7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0" name="Line 7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1" name="Line 7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2" name="Line 7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3" name="Line 7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4" name="Line 7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5" name="Line 7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6" name="Line 7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7" name="Line 7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8" name="Line 7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9" name="Line 7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0" name="Line 7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1" name="Line 7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2" name="Line 7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3" name="Line 7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4" name="Line 7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5" name="Line 7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6" name="Line 7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7" name="Line 7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8" name="Line 7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9" name="Line 7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0" name="Line 7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1" name="Line 7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2" name="Line 7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3" name="Line 7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4" name="Line 7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5" name="Line 7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6" name="Line 7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7" name="Line 7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8" name="Line 7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9" name="Line 7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0" name="Line 7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1" name="Line 7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2" name="Line 7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3" name="Line 8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4" name="Line 8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5" name="Line 8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6" name="Line 8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7" name="Line 8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8" name="Line 8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9" name="Line 8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0" name="Line 8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1" name="Line 8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2" name="Line 8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3" name="Line 8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4" name="Line 8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5" name="Line 8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6" name="Line 8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7" name="Line 8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8" name="Line 8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9" name="Line 8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0" name="Line 8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1" name="Line 8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2" name="Line 8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3" name="Line 8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4" name="Line 8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5" name="Line 8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6" name="Line 8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7" name="Line 8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8" name="Line 8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9" name="Line 8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0" name="Line 8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1" name="Line 8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2" name="Line 8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3" name="Line 8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4" name="Line 8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5" name="Line 8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6" name="Line 8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7" name="Line 8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8" name="Line 8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9" name="Line 8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0" name="Line 8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1" name="Line 8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2" name="Line 8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3" name="Line 8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4" name="Line 8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5" name="Line 8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6" name="Line 8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7" name="Line 8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8" name="Line 8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9" name="Line 8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0" name="Line 8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1" name="Line 8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2" name="Line 8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3" name="Line 8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4" name="Line 8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5" name="Line 8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6" name="Line 8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7" name="Line 8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8" name="Line 8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9" name="Line 8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0" name="Line 8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1" name="Line 8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2" name="Line 8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3" name="Line 8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4" name="Line 8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5" name="Line 8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6" name="Line 8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7" name="Line 8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8" name="Line 8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9" name="Line 8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0" name="Line 8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1" name="Line 8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2" name="Line 8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3" name="Line 8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4" name="Line 8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5" name="Line 8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6" name="Line 8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7" name="Line 8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8" name="Line 8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9" name="Line 8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0" name="Line 8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1" name="Line 8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2" name="Line 8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3" name="Line 8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4" name="Line 8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5" name="Line 8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6" name="Line 8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7" name="Line 8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8" name="Line 8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9" name="Line 8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0" name="Line 8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1" name="Line 8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2" name="Line 8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3" name="Line 8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4" name="Line 8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5" name="Line 8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6" name="Line 8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7" name="Line 8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8" name="Line 8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9" name="Line 8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0" name="Line 8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1" name="Line 8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2" name="Line 8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3" name="Line 9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4" name="Line 9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5" name="Line 9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6" name="Line 9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7" name="Line 9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8" name="Line 9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9" name="Line 9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0" name="Line 9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1" name="Line 9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2" name="Line 9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3" name="Line 9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4" name="Line 9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5" name="Line 9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6" name="Line 9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7" name="Line 9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8" name="Line 9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9" name="Line 9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0" name="Line 9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1" name="Line 9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2" name="Line 9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3" name="Line 9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4" name="Line 9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5" name="Line 9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6" name="Line 9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7" name="Line 92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8" name="Line 92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9" name="Line 92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0" name="Line 92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1" name="Line 92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2" name="Line 92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3" name="Line 93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4" name="Line 93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5" name="Line 93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6" name="Line 93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7" name="Line 93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8" name="Line 93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9" name="Line 93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0" name="Line 93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1" name="Line 93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2" name="Line 93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3" name="Line 94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4" name="Line 94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5" name="Line 94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6" name="Line 94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7" name="Line 94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8" name="Line 94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9" name="Line 94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0" name="Line 94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1" name="Line 94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2" name="Line 94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3" name="Line 95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4" name="Line 95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5" name="Line 95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6" name="Line 95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7" name="Line 95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8" name="Line 95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9" name="Line 95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0" name="Line 95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1" name="Line 95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2" name="Line 95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3" name="Line 96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4" name="Line 96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5" name="Line 96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6" name="Line 96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7" name="Line 96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8" name="Line 96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9" name="Line 96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0" name="Line 96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1" name="Line 96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2" name="Line 96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3" name="Line 97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4" name="Line 97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5" name="Line 97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6" name="Line 97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7" name="Line 97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8" name="Line 97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9" name="Line 97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0" name="Line 97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1" name="Line 97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2" name="Line 97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3" name="Line 98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4" name="Line 98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5" name="Line 98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6" name="Line 98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7" name="Line 98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8" name="Line 98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9" name="Line 98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0" name="Line 98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1" name="Line 98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2" name="Line 98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3" name="Line 99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4" name="Line 99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5" name="Line 99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6" name="Line 99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7" name="Line 99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8" name="Line 99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9" name="Line 99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0" name="Line 99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1" name="Line 99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2" name="Line 99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3" name="Line 100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4" name="Line 100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5" name="Line 100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6" name="Line 100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7" name="Line 100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8" name="Line 100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9" name="Line 100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0" name="Line 100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1" name="Line 100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2" name="Line 100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3" name="Line 101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4" name="Line 101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5" name="Line 101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6" name="Line 101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7" name="Line 1014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8" name="Line 1015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9" name="Line 1016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0" name="Line 1017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1" name="Line 1018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2" name="Line 1019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3" name="Line 102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4" name="Line 1021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5" name="Line 1022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6" name="Line 1023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7" name="Line 0"/>
        <xdr:cNvSpPr>
          <a:spLocks/>
        </xdr:cNvSpPr>
      </xdr:nvSpPr>
      <xdr:spPr>
        <a:xfrm>
          <a:off x="38100" y="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48" name="Line 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049" name="Line 2"/>
        <xdr:cNvSpPr>
          <a:spLocks/>
        </xdr:cNvSpPr>
      </xdr:nvSpPr>
      <xdr:spPr>
        <a:xfrm>
          <a:off x="38100" y="481298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50" name="Line 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051" name="Line 4"/>
        <xdr:cNvSpPr>
          <a:spLocks/>
        </xdr:cNvSpPr>
      </xdr:nvSpPr>
      <xdr:spPr>
        <a:xfrm>
          <a:off x="38100" y="481298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052" name="Line 5"/>
        <xdr:cNvSpPr>
          <a:spLocks/>
        </xdr:cNvSpPr>
      </xdr:nvSpPr>
      <xdr:spPr>
        <a:xfrm>
          <a:off x="38100" y="50187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53" name="Line 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54" name="Line 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55" name="Line 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056" name="Line 9"/>
        <xdr:cNvSpPr>
          <a:spLocks/>
        </xdr:cNvSpPr>
      </xdr:nvSpPr>
      <xdr:spPr>
        <a:xfrm>
          <a:off x="38100" y="50187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057" name="Line 10"/>
        <xdr:cNvSpPr>
          <a:spLocks/>
        </xdr:cNvSpPr>
      </xdr:nvSpPr>
      <xdr:spPr>
        <a:xfrm>
          <a:off x="38100" y="50187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58" name="Line 1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59" name="Line 1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60" name="Line 1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61" name="Line 1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62" name="Line 1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063" name="Line 16"/>
        <xdr:cNvSpPr>
          <a:spLocks/>
        </xdr:cNvSpPr>
      </xdr:nvSpPr>
      <xdr:spPr>
        <a:xfrm>
          <a:off x="38100" y="101403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064" name="Line 17"/>
        <xdr:cNvSpPr>
          <a:spLocks/>
        </xdr:cNvSpPr>
      </xdr:nvSpPr>
      <xdr:spPr>
        <a:xfrm>
          <a:off x="38100" y="101403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065" name="Line 18"/>
        <xdr:cNvSpPr>
          <a:spLocks/>
        </xdr:cNvSpPr>
      </xdr:nvSpPr>
      <xdr:spPr>
        <a:xfrm>
          <a:off x="38100" y="101403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2066" name="Line 19"/>
        <xdr:cNvSpPr>
          <a:spLocks/>
        </xdr:cNvSpPr>
      </xdr:nvSpPr>
      <xdr:spPr>
        <a:xfrm>
          <a:off x="38100" y="114366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2067" name="Line 20"/>
        <xdr:cNvSpPr>
          <a:spLocks/>
        </xdr:cNvSpPr>
      </xdr:nvSpPr>
      <xdr:spPr>
        <a:xfrm>
          <a:off x="38100" y="114366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2068" name="Line 21"/>
        <xdr:cNvSpPr>
          <a:spLocks/>
        </xdr:cNvSpPr>
      </xdr:nvSpPr>
      <xdr:spPr>
        <a:xfrm>
          <a:off x="38100" y="114366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69" name="Line 2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070" name="Line 23"/>
        <xdr:cNvSpPr>
          <a:spLocks/>
        </xdr:cNvSpPr>
      </xdr:nvSpPr>
      <xdr:spPr>
        <a:xfrm>
          <a:off x="38100" y="481298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71" name="Line 2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2072" name="Line 25"/>
        <xdr:cNvSpPr>
          <a:spLocks/>
        </xdr:cNvSpPr>
      </xdr:nvSpPr>
      <xdr:spPr>
        <a:xfrm>
          <a:off x="38100" y="481298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073" name="Line 26"/>
        <xdr:cNvSpPr>
          <a:spLocks/>
        </xdr:cNvSpPr>
      </xdr:nvSpPr>
      <xdr:spPr>
        <a:xfrm>
          <a:off x="38100" y="50187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74" name="Line 2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75" name="Line 2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76" name="Line 2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077" name="Line 30"/>
        <xdr:cNvSpPr>
          <a:spLocks/>
        </xdr:cNvSpPr>
      </xdr:nvSpPr>
      <xdr:spPr>
        <a:xfrm>
          <a:off x="38100" y="50187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0</xdr:col>
      <xdr:colOff>2419350</xdr:colOff>
      <xdr:row>201</xdr:row>
      <xdr:rowOff>0</xdr:rowOff>
    </xdr:to>
    <xdr:sp>
      <xdr:nvSpPr>
        <xdr:cNvPr id="2078" name="Line 31"/>
        <xdr:cNvSpPr>
          <a:spLocks/>
        </xdr:cNvSpPr>
      </xdr:nvSpPr>
      <xdr:spPr>
        <a:xfrm>
          <a:off x="0" y="501872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79" name="Line 3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80" name="Line 3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81" name="Line 3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82" name="Line 3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083" name="Line 3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084" name="Line 37"/>
        <xdr:cNvSpPr>
          <a:spLocks/>
        </xdr:cNvSpPr>
      </xdr:nvSpPr>
      <xdr:spPr>
        <a:xfrm>
          <a:off x="38100" y="101403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085" name="Line 38"/>
        <xdr:cNvSpPr>
          <a:spLocks/>
        </xdr:cNvSpPr>
      </xdr:nvSpPr>
      <xdr:spPr>
        <a:xfrm>
          <a:off x="38100" y="101403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086" name="Line 39"/>
        <xdr:cNvSpPr>
          <a:spLocks/>
        </xdr:cNvSpPr>
      </xdr:nvSpPr>
      <xdr:spPr>
        <a:xfrm>
          <a:off x="38100" y="101403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2087" name="Line 40"/>
        <xdr:cNvSpPr>
          <a:spLocks/>
        </xdr:cNvSpPr>
      </xdr:nvSpPr>
      <xdr:spPr>
        <a:xfrm>
          <a:off x="38100" y="114366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2088" name="Line 41"/>
        <xdr:cNvSpPr>
          <a:spLocks/>
        </xdr:cNvSpPr>
      </xdr:nvSpPr>
      <xdr:spPr>
        <a:xfrm>
          <a:off x="38100" y="114366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2089" name="Line 42"/>
        <xdr:cNvSpPr>
          <a:spLocks/>
        </xdr:cNvSpPr>
      </xdr:nvSpPr>
      <xdr:spPr>
        <a:xfrm>
          <a:off x="38100" y="114366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090" name="Line 43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1" name="Line 4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2" name="Line 4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3" name="Line 4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4" name="Line 4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5" name="Line 4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096" name="Line 49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7" name="Line 50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8" name="Line 5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099" name="Line 5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00" name="Line 53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01" name="Line 54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2" name="Line 5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3" name="Line 5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4" name="Line 5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5" name="Line 5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6" name="Line 5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7" name="Line 6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8" name="Line 6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09" name="Line 6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10" name="Line 6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1" name="Line 64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2" name="Line 6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3" name="Line 6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4" name="Line 6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5" name="Line 6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6" name="Line 6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17" name="Line 70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8" name="Line 7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19" name="Line 7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20" name="Line 7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21" name="Line 74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22" name="Line 75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3" name="Line 7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4" name="Line 7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5" name="Line 7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6" name="Line 7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7" name="Line 8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8" name="Line 8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29" name="Line 8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30" name="Line 8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31" name="Line 8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32" name="Line 85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33" name="Line 8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34" name="Line 8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35" name="Line 8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36" name="Line 8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37" name="Line 90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38" name="Line 91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39" name="Line 9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40" name="Line 9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41" name="Line 9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42" name="Line 95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43" name="Line 96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44" name="Line 9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45" name="Line 9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46" name="Line 9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47" name="Line 10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48" name="Line 10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49" name="Line 10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50" name="Line 10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51" name="Line 10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52" name="Line 10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53" name="Line 106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54" name="Line 10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55" name="Line 10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56" name="Line 10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57" name="Line 110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58" name="Line 11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59" name="Line 112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60" name="Line 11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61" name="Line 11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62" name="Line 11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63" name="Line 116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64" name="Line 117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65" name="Line 11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66" name="Line 11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6286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87" name="Line 14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88" name="Line 14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89" name="Line 14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90" name="Line 14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91" name="Line 14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92" name="Line 14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93" name="Line 14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94" name="Line 14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95" name="Line 148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96" name="Line 14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97" name="Line 150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198" name="Line 15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199" name="Line 152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00" name="Line 15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01" name="Line 154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02" name="Line 15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03" name="Line 15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04" name="Line 15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05" name="Line 158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06" name="Line 159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07" name="Line 160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08" name="Line 161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09" name="Line 162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10" name="Line 163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11" name="Line 164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12" name="Line 165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13" name="Line 166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14" name="Line 16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15" name="Line 168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16" name="Line 169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17" name="Line 170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18" name="Line 17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19" name="Line 17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20" name="Line 173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21" name="Line 17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22" name="Line 175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23" name="Line 17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24" name="Line 177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25" name="Line 17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26" name="Line 179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27" name="Line 180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28" name="Line 181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29" name="Line 182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30" name="Line 183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31" name="Line 184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32" name="Line 185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33" name="Line 186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34" name="Line 18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35" name="Line 188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36" name="Line 189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37" name="Line 190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38" name="Line 191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39" name="Line 19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40" name="Line 19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41" name="Line 194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42" name="Line 19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43" name="Line 196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44" name="Line 19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45" name="Line 198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46" name="Line 19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47" name="Line 200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48" name="Line 201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49" name="Line 202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50" name="Line 203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581025"/>
          <a:ext cx="24193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40195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0</xdr:rowOff>
    </xdr:from>
    <xdr:to>
      <xdr:col>1</xdr:col>
      <xdr:colOff>0</xdr:colOff>
      <xdr:row>269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704850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468</xdr:row>
      <xdr:rowOff>0</xdr:rowOff>
    </xdr:from>
    <xdr:to>
      <xdr:col>1</xdr:col>
      <xdr:colOff>0</xdr:colOff>
      <xdr:row>468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1266348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469</xdr:row>
      <xdr:rowOff>0</xdr:rowOff>
    </xdr:from>
    <xdr:to>
      <xdr:col>1</xdr:col>
      <xdr:colOff>0</xdr:colOff>
      <xdr:row>469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1268634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723709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1" name="Line 43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2" name="Line 43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3" name="Line 43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4" name="Line 43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5" name="Line 43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6" name="Line 43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7" name="Line 44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8" name="Line 44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399" name="Line 44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0" name="Line 44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1" name="Line 44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2" name="Line 44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3" name="Line 44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4" name="Line 44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5" name="Line 44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6" name="Line 44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7" name="Line 45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8" name="Line 45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09" name="Line 45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0" name="Line 45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1" name="Line 45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2" name="Line 45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3" name="Line 45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4" name="Line 45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5" name="Line 45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6" name="Line 45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7" name="Line 46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8" name="Line 46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19" name="Line 46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0" name="Line 46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1" name="Line 46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2" name="Line 46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3" name="Line 46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4" name="Line 46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5" name="Line 46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6" name="Line 46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7" name="Line 47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8" name="Line 47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29" name="Line 47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0" name="Line 47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1" name="Line 47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2" name="Line 47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3" name="Line 47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4" name="Line 47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5" name="Line 47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6" name="Line 47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7" name="Line 48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8" name="Line 48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39" name="Line 48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0" name="Line 48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1" name="Line 48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2" name="Line 48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3" name="Line 48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4" name="Line 48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5" name="Line 48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6" name="Line 48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7" name="Line 49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8" name="Line 49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49" name="Line 49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0" name="Line 49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1" name="Line 49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2" name="Line 49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3" name="Line 49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4" name="Line 49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5" name="Line 49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6" name="Line 49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7" name="Line 50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8" name="Line 50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59" name="Line 50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0" name="Line 50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1" name="Line 50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2" name="Line 50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3" name="Line 50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4" name="Line 50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5" name="Line 50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6" name="Line 50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7" name="Line 51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8" name="Line 51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69" name="Line 51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0" name="Line 51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1" name="Line 514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2" name="Line 515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3" name="Line 516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4" name="Line 517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5" name="Line 518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6" name="Line 519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7" name="Line 520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8" name="Line 521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79" name="Line 522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2480" name="Line 523"/>
        <xdr:cNvSpPr>
          <a:spLocks/>
        </xdr:cNvSpPr>
      </xdr:nvSpPr>
      <xdr:spPr>
        <a:xfrm>
          <a:off x="38100" y="923544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1" name="Line 524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2" name="Line 525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3" name="Line 526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4" name="Line 527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5" name="Line 528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6" name="Line 529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7" name="Line 530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8" name="Line 531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89" name="Line 532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0" name="Line 533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1" name="Line 534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2" name="Line 535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3" name="Line 536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4" name="Line 537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5" name="Line 538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6" name="Line 539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7" name="Line 540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8" name="Line 541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499" name="Line 542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0" name="Line 543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1" name="Line 544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2" name="Line 545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3" name="Line 546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4" name="Line 547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5" name="Line 548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6" name="Line 549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7" name="Line 550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8" name="Line 551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09" name="Line 552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462</xdr:row>
      <xdr:rowOff>0</xdr:rowOff>
    </xdr:from>
    <xdr:to>
      <xdr:col>1</xdr:col>
      <xdr:colOff>0</xdr:colOff>
      <xdr:row>462</xdr:row>
      <xdr:rowOff>0</xdr:rowOff>
    </xdr:to>
    <xdr:sp>
      <xdr:nvSpPr>
        <xdr:cNvPr id="2510" name="Line 553"/>
        <xdr:cNvSpPr>
          <a:spLocks/>
        </xdr:cNvSpPr>
      </xdr:nvSpPr>
      <xdr:spPr>
        <a:xfrm>
          <a:off x="38100" y="1244917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2511" name="Line 554"/>
        <xdr:cNvSpPr>
          <a:spLocks/>
        </xdr:cNvSpPr>
      </xdr:nvSpPr>
      <xdr:spPr>
        <a:xfrm>
          <a:off x="38100" y="55283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2512" name="Line 555"/>
        <xdr:cNvSpPr>
          <a:spLocks/>
        </xdr:cNvSpPr>
      </xdr:nvSpPr>
      <xdr:spPr>
        <a:xfrm>
          <a:off x="38100" y="55283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2513" name="Line 556"/>
        <xdr:cNvSpPr>
          <a:spLocks/>
        </xdr:cNvSpPr>
      </xdr:nvSpPr>
      <xdr:spPr>
        <a:xfrm>
          <a:off x="38100" y="55283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2514" name="Line 557"/>
        <xdr:cNvSpPr>
          <a:spLocks/>
        </xdr:cNvSpPr>
      </xdr:nvSpPr>
      <xdr:spPr>
        <a:xfrm>
          <a:off x="38100" y="552831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15" name="Line 558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16" name="Line 559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17" name="Line 560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18" name="Line 561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19" name="Line 562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0" name="Line 563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1" name="Line 564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2" name="Line 565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3" name="Line 566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4" name="Line 567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5" name="Line 568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6" name="Line 569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7" name="Line 570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8" name="Line 571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29" name="Line 572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0" name="Line 573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1" name="Line 574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2" name="Line 575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3" name="Line 576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4" name="Line 577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5" name="Line 578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6" name="Line 579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7" name="Line 580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8" name="Line 581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39" name="Line 582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40" name="Line 583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41" name="Line 584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42" name="Line 585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43" name="Line 586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460</xdr:row>
      <xdr:rowOff>0</xdr:rowOff>
    </xdr:from>
    <xdr:to>
      <xdr:col>1</xdr:col>
      <xdr:colOff>0</xdr:colOff>
      <xdr:row>460</xdr:row>
      <xdr:rowOff>0</xdr:rowOff>
    </xdr:to>
    <xdr:sp>
      <xdr:nvSpPr>
        <xdr:cNvPr id="2544" name="Line 587"/>
        <xdr:cNvSpPr>
          <a:spLocks/>
        </xdr:cNvSpPr>
      </xdr:nvSpPr>
      <xdr:spPr>
        <a:xfrm>
          <a:off x="38100" y="12388215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45" name="Line 58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46" name="Line 58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47" name="Line 59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48" name="Line 59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49" name="Line 59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0" name="Line 59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1" name="Line 59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2" name="Line 59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3" name="Line 59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4" name="Line 59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5" name="Line 59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6" name="Line 59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7" name="Line 60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8" name="Line 60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59" name="Line 60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0" name="Line 60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1" name="Line 60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2" name="Line 60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3" name="Line 60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4" name="Line 60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5" name="Line 60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6" name="Line 60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7" name="Line 61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8" name="Line 61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69" name="Line 61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0" name="Line 61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1" name="Line 61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2" name="Line 61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3" name="Line 61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4" name="Line 61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5" name="Line 61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6" name="Line 61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7" name="Line 62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8" name="Line 62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79" name="Line 62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0" name="Line 62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1" name="Line 62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2" name="Line 62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3" name="Line 62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4" name="Line 62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5" name="Line 62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6" name="Line 62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7" name="Line 63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8" name="Line 63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89" name="Line 63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0" name="Line 63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1" name="Line 63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2" name="Line 63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3" name="Line 63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4" name="Line 63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5" name="Line 63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6" name="Line 63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7" name="Line 64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8" name="Line 64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599" name="Line 64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0" name="Line 64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1" name="Line 64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2" name="Line 64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3" name="Line 64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4" name="Line 64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5" name="Line 64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6" name="Line 649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7" name="Line 650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8" name="Line 651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09" name="Line 652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10" name="Line 653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11" name="Line 654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12" name="Line 655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13" name="Line 656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14" name="Line 657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615" name="Line 658"/>
        <xdr:cNvSpPr>
          <a:spLocks/>
        </xdr:cNvSpPr>
      </xdr:nvSpPr>
      <xdr:spPr>
        <a:xfrm>
          <a:off x="38100" y="2781300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16" name="Line 659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17" name="Line 660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18" name="Line 661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19" name="Line 662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0" name="Line 663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1" name="Line 664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2" name="Line 665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3" name="Line 666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4" name="Line 667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5" name="Line 668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6" name="Line 669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7" name="Line 670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8" name="Line 671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29" name="Line 672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2630" name="Line 673"/>
        <xdr:cNvSpPr>
          <a:spLocks/>
        </xdr:cNvSpPr>
      </xdr:nvSpPr>
      <xdr:spPr>
        <a:xfrm>
          <a:off x="38100" y="282606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2631" name="Line 674"/>
        <xdr:cNvSpPr>
          <a:spLocks/>
        </xdr:cNvSpPr>
      </xdr:nvSpPr>
      <xdr:spPr>
        <a:xfrm>
          <a:off x="38100" y="471773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2632" name="Line 675"/>
        <xdr:cNvSpPr>
          <a:spLocks/>
        </xdr:cNvSpPr>
      </xdr:nvSpPr>
      <xdr:spPr>
        <a:xfrm>
          <a:off x="38100" y="471773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2633" name="Line 676"/>
        <xdr:cNvSpPr>
          <a:spLocks/>
        </xdr:cNvSpPr>
      </xdr:nvSpPr>
      <xdr:spPr>
        <a:xfrm>
          <a:off x="38100" y="471773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0</xdr:rowOff>
    </xdr:from>
    <xdr:to>
      <xdr:col>1</xdr:col>
      <xdr:colOff>0</xdr:colOff>
      <xdr:row>190</xdr:row>
      <xdr:rowOff>0</xdr:rowOff>
    </xdr:to>
    <xdr:sp>
      <xdr:nvSpPr>
        <xdr:cNvPr id="2634" name="Line 677"/>
        <xdr:cNvSpPr>
          <a:spLocks/>
        </xdr:cNvSpPr>
      </xdr:nvSpPr>
      <xdr:spPr>
        <a:xfrm>
          <a:off x="38100" y="471773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35" name="Line 67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36" name="Line 68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37" name="Line 68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38" name="Line 68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39" name="Line 68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0" name="Line 68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1" name="Line 68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2" name="Line 68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3" name="Line 68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4" name="Line 68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5" name="Line 68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6" name="Line 69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7" name="Line 69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8" name="Line 69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49" name="Line 69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0" name="Line 69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1" name="Line 69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2" name="Line 69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3" name="Line 69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4" name="Line 69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5" name="Line 69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6" name="Line 70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7" name="Line 70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8" name="Line 70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59" name="Line 70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0" name="Line 70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1" name="Line 70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2" name="Line 70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3" name="Line 70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4" name="Line 70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5" name="Line 70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6" name="Line 71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7" name="Line 71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8" name="Line 71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69" name="Line 71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0" name="Line 71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1" name="Line 71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2" name="Line 71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3" name="Line 71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4" name="Line 71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5" name="Line 71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6" name="Line 72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7" name="Line 72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8" name="Line 72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79" name="Line 72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0" name="Line 72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1" name="Line 72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2" name="Line 72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3" name="Line 72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4" name="Line 72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5" name="Line 72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6" name="Line 73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7" name="Line 73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8" name="Line 73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89" name="Line 73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0" name="Line 73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1" name="Line 73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2" name="Line 73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3" name="Line 73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4" name="Line 73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5" name="Line 73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6" name="Line 74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7" name="Line 74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8" name="Line 74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699" name="Line 74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0" name="Line 74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1" name="Line 74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2" name="Line 74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3" name="Line 74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4" name="Line 74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5" name="Line 74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6" name="Line 75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7" name="Line 75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8" name="Line 75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09" name="Line 75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0" name="Line 75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1" name="Line 75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2" name="Line 75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3" name="Line 75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4" name="Line 75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5" name="Line 759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6" name="Line 760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7" name="Line 761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8" name="Line 762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19" name="Line 763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20" name="Line 764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21" name="Line 765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22" name="Line 766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23" name="Line 767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2724" name="Line 768"/>
        <xdr:cNvSpPr>
          <a:spLocks/>
        </xdr:cNvSpPr>
      </xdr:nvSpPr>
      <xdr:spPr>
        <a:xfrm>
          <a:off x="38100" y="9453562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923925" y="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Arc 129"/>
        <xdr:cNvSpPr>
          <a:spLocks/>
        </xdr:cNvSpPr>
      </xdr:nvSpPr>
      <xdr:spPr>
        <a:xfrm>
          <a:off x="1000125" y="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Rysowanie 11"/>
        <xdr:cNvSpPr>
          <a:spLocks/>
        </xdr:cNvSpPr>
      </xdr:nvSpPr>
      <xdr:spPr>
        <a:xfrm>
          <a:off x="1095375" y="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0125" y="27717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095375" y="27717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I54"/>
  <sheetViews>
    <sheetView zoomScale="90" zoomScaleNormal="90" zoomScaleSheetLayoutView="75" workbookViewId="0" topLeftCell="A31">
      <selection activeCell="C59" sqref="C59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66.625" style="22" customWidth="1"/>
    <col min="4" max="4" width="22.75390625" style="22" customWidth="1"/>
    <col min="5" max="5" width="19.00390625" style="22" customWidth="1"/>
    <col min="6" max="6" width="20.375" style="22" customWidth="1"/>
    <col min="7" max="7" width="12.00390625" style="22" customWidth="1"/>
    <col min="8" max="8" width="11.125" style="22" customWidth="1"/>
    <col min="9" max="9" width="15.25390625" style="22" customWidth="1"/>
    <col min="10" max="16384" width="9.125" style="22" customWidth="1"/>
  </cols>
  <sheetData>
    <row r="1" spans="2:5" ht="15" customHeight="1">
      <c r="B1" s="240"/>
      <c r="E1" s="50" t="s">
        <v>181</v>
      </c>
    </row>
    <row r="2" ht="15" customHeight="1">
      <c r="E2" s="22" t="s">
        <v>15</v>
      </c>
    </row>
    <row r="3" spans="3:5" ht="15" customHeight="1">
      <c r="C3" s="3" t="s">
        <v>714</v>
      </c>
      <c r="E3" s="22" t="s">
        <v>337</v>
      </c>
    </row>
    <row r="4" ht="15" customHeight="1">
      <c r="E4" s="22" t="s">
        <v>787</v>
      </c>
    </row>
    <row r="5" ht="14.25" customHeight="1" thickBot="1">
      <c r="F5" s="54" t="s">
        <v>338</v>
      </c>
    </row>
    <row r="6" spans="1:6" ht="67.5" customHeight="1" thickBot="1" thickTop="1">
      <c r="A6" s="241" t="s">
        <v>389</v>
      </c>
      <c r="B6" s="241" t="s">
        <v>343</v>
      </c>
      <c r="C6" s="118" t="s">
        <v>182</v>
      </c>
      <c r="D6" s="118" t="s">
        <v>716</v>
      </c>
      <c r="E6" s="118" t="s">
        <v>405</v>
      </c>
      <c r="F6" s="117" t="s">
        <v>393</v>
      </c>
    </row>
    <row r="7" spans="1:6" s="243" customFormat="1" ht="15.75" customHeight="1" thickBot="1" thickTop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11">
        <v>6</v>
      </c>
    </row>
    <row r="8" spans="1:9" ht="21" customHeight="1" thickBot="1" thickTop="1">
      <c r="A8" s="244"/>
      <c r="B8" s="244"/>
      <c r="C8" s="245" t="s">
        <v>717</v>
      </c>
      <c r="D8" s="266">
        <v>903645680</v>
      </c>
      <c r="E8" s="246">
        <f>E10+E32</f>
        <v>4292895</v>
      </c>
      <c r="F8" s="246">
        <f>D8+E8</f>
        <v>907938575</v>
      </c>
      <c r="G8" s="47"/>
      <c r="H8" s="47"/>
      <c r="I8" s="47"/>
    </row>
    <row r="9" spans="1:6" ht="13.5" customHeight="1" thickTop="1">
      <c r="A9" s="67"/>
      <c r="B9" s="67"/>
      <c r="C9" s="67" t="s">
        <v>358</v>
      </c>
      <c r="D9" s="267"/>
      <c r="E9" s="247"/>
      <c r="F9" s="247"/>
    </row>
    <row r="10" spans="1:9" ht="18.75" customHeight="1" thickBot="1">
      <c r="A10" s="67"/>
      <c r="B10" s="67"/>
      <c r="C10" s="248" t="s">
        <v>725</v>
      </c>
      <c r="D10" s="268">
        <v>620480732</v>
      </c>
      <c r="E10" s="249">
        <f>E11+E12+E13+E23+E28</f>
        <v>2311395</v>
      </c>
      <c r="F10" s="249">
        <f aca="true" t="shared" si="0" ref="F10:F35">D10+E10</f>
        <v>622792127</v>
      </c>
      <c r="G10" s="47"/>
      <c r="I10" s="47"/>
    </row>
    <row r="11" spans="1:6" s="240" customFormat="1" ht="16.5" customHeight="1" thickBot="1">
      <c r="A11" s="85"/>
      <c r="B11" s="85"/>
      <c r="C11" s="250" t="s">
        <v>718</v>
      </c>
      <c r="D11" s="115">
        <v>403289173</v>
      </c>
      <c r="E11" s="71"/>
      <c r="F11" s="251">
        <f t="shared" si="0"/>
        <v>403289173</v>
      </c>
    </row>
    <row r="12" spans="1:6" s="240" customFormat="1" ht="17.25" customHeight="1" thickBot="1" thickTop="1">
      <c r="A12" s="85"/>
      <c r="B12" s="85"/>
      <c r="C12" s="252" t="s">
        <v>719</v>
      </c>
      <c r="D12" s="151">
        <v>109011682</v>
      </c>
      <c r="E12" s="253"/>
      <c r="F12" s="71">
        <f t="shared" si="0"/>
        <v>109011682</v>
      </c>
    </row>
    <row r="13" spans="1:6" s="240" customFormat="1" ht="18.75" customHeight="1" thickBot="1" thickTop="1">
      <c r="A13" s="85"/>
      <c r="B13" s="85"/>
      <c r="C13" s="252" t="s">
        <v>720</v>
      </c>
      <c r="D13" s="115">
        <v>30731563</v>
      </c>
      <c r="E13" s="71">
        <f>E17+E14+E20</f>
        <v>1373837</v>
      </c>
      <c r="F13" s="254">
        <f t="shared" si="0"/>
        <v>32105400</v>
      </c>
    </row>
    <row r="14" spans="1:6" ht="19.5" customHeight="1" thickTop="1">
      <c r="A14" s="184">
        <v>801</v>
      </c>
      <c r="B14" s="72"/>
      <c r="C14" s="232" t="s">
        <v>367</v>
      </c>
      <c r="D14" s="238">
        <v>576147</v>
      </c>
      <c r="E14" s="256">
        <f>E15</f>
        <v>185674</v>
      </c>
      <c r="F14" s="87">
        <f t="shared" si="0"/>
        <v>761821</v>
      </c>
    </row>
    <row r="15" spans="1:6" ht="20.25" customHeight="1">
      <c r="A15" s="257"/>
      <c r="B15" s="226">
        <v>80101</v>
      </c>
      <c r="C15" s="477" t="s">
        <v>706</v>
      </c>
      <c r="D15" s="427">
        <v>551400</v>
      </c>
      <c r="E15" s="259">
        <f>E16</f>
        <v>185674</v>
      </c>
      <c r="F15" s="225">
        <f t="shared" si="0"/>
        <v>737074</v>
      </c>
    </row>
    <row r="16" spans="1:6" ht="25.5">
      <c r="A16" s="1374"/>
      <c r="B16" s="226"/>
      <c r="C16" s="1382" t="s">
        <v>790</v>
      </c>
      <c r="D16" s="1383"/>
      <c r="E16" s="1376">
        <v>185674</v>
      </c>
      <c r="F16" s="604">
        <f t="shared" si="0"/>
        <v>185674</v>
      </c>
    </row>
    <row r="17" spans="1:6" ht="19.5" customHeight="1">
      <c r="A17" s="856">
        <v>852</v>
      </c>
      <c r="B17" s="431"/>
      <c r="C17" s="626" t="s">
        <v>368</v>
      </c>
      <c r="D17" s="1381">
        <v>11835843</v>
      </c>
      <c r="E17" s="256">
        <f>E18</f>
        <v>215000</v>
      </c>
      <c r="F17" s="87">
        <f t="shared" si="0"/>
        <v>12050843</v>
      </c>
    </row>
    <row r="18" spans="1:6" ht="20.25" customHeight="1">
      <c r="A18" s="257"/>
      <c r="B18" s="226">
        <v>85295</v>
      </c>
      <c r="C18" s="477" t="s">
        <v>366</v>
      </c>
      <c r="D18" s="427">
        <v>3000000</v>
      </c>
      <c r="E18" s="259">
        <f>E19</f>
        <v>215000</v>
      </c>
      <c r="F18" s="225">
        <f t="shared" si="0"/>
        <v>3215000</v>
      </c>
    </row>
    <row r="19" spans="1:6" ht="25.5">
      <c r="A19" s="1374"/>
      <c r="B19" s="226"/>
      <c r="C19" s="1382" t="s">
        <v>788</v>
      </c>
      <c r="D19" s="1383">
        <v>3000000</v>
      </c>
      <c r="E19" s="1376">
        <v>215000</v>
      </c>
      <c r="F19" s="604">
        <f t="shared" si="0"/>
        <v>3215000</v>
      </c>
    </row>
    <row r="20" spans="1:6" ht="19.5" customHeight="1">
      <c r="A20" s="856">
        <v>854</v>
      </c>
      <c r="B20" s="431"/>
      <c r="C20" s="626" t="s">
        <v>369</v>
      </c>
      <c r="D20" s="1381">
        <v>1123517</v>
      </c>
      <c r="E20" s="256">
        <f>E21</f>
        <v>973163</v>
      </c>
      <c r="F20" s="87">
        <f t="shared" si="0"/>
        <v>2096680</v>
      </c>
    </row>
    <row r="21" spans="1:6" ht="20.25" customHeight="1">
      <c r="A21" s="257"/>
      <c r="B21" s="226">
        <v>85415</v>
      </c>
      <c r="C21" s="477" t="s">
        <v>705</v>
      </c>
      <c r="D21" s="427">
        <v>1123517</v>
      </c>
      <c r="E21" s="259">
        <f>E22</f>
        <v>973163</v>
      </c>
      <c r="F21" s="225">
        <f t="shared" si="0"/>
        <v>2096680</v>
      </c>
    </row>
    <row r="22" spans="1:6" ht="27" customHeight="1">
      <c r="A22" s="185"/>
      <c r="B22" s="76"/>
      <c r="C22" s="1380" t="s">
        <v>697</v>
      </c>
      <c r="D22" s="1379">
        <v>1063517</v>
      </c>
      <c r="E22" s="1376">
        <v>973163</v>
      </c>
      <c r="F22" s="604">
        <f t="shared" si="0"/>
        <v>2036680</v>
      </c>
    </row>
    <row r="23" spans="1:6" s="240" customFormat="1" ht="29.25" customHeight="1" thickBot="1">
      <c r="A23" s="264"/>
      <c r="B23" s="264"/>
      <c r="C23" s="265" t="s">
        <v>721</v>
      </c>
      <c r="D23" s="115">
        <v>828936</v>
      </c>
      <c r="E23" s="71">
        <f>E24</f>
        <v>30000</v>
      </c>
      <c r="F23" s="71">
        <f t="shared" si="0"/>
        <v>858936</v>
      </c>
    </row>
    <row r="24" spans="1:6" ht="19.5" customHeight="1" thickTop="1">
      <c r="A24" s="1181">
        <v>710</v>
      </c>
      <c r="B24" s="1181"/>
      <c r="C24" s="1183" t="s">
        <v>756</v>
      </c>
      <c r="D24" s="238"/>
      <c r="E24" s="256">
        <f>E25</f>
        <v>30000</v>
      </c>
      <c r="F24" s="87">
        <f t="shared" si="0"/>
        <v>30000</v>
      </c>
    </row>
    <row r="25" spans="1:6" ht="20.25" customHeight="1">
      <c r="A25" s="1184"/>
      <c r="B25" s="1185">
        <v>71035</v>
      </c>
      <c r="C25" s="1187" t="s">
        <v>332</v>
      </c>
      <c r="D25" s="427"/>
      <c r="E25" s="259">
        <f>E26</f>
        <v>30000</v>
      </c>
      <c r="F25" s="225">
        <f t="shared" si="0"/>
        <v>30000</v>
      </c>
    </row>
    <row r="26" spans="1:6" ht="25.5">
      <c r="A26" s="86"/>
      <c r="B26" s="86"/>
      <c r="C26" s="1378" t="s">
        <v>638</v>
      </c>
      <c r="D26" s="1379"/>
      <c r="E26" s="1376">
        <v>30000</v>
      </c>
      <c r="F26" s="604">
        <f t="shared" si="0"/>
        <v>30000</v>
      </c>
    </row>
    <row r="27" spans="1:6" ht="12.75">
      <c r="A27" s="1501"/>
      <c r="B27" s="1501"/>
      <c r="C27" s="1493"/>
      <c r="D27" s="1502"/>
      <c r="E27" s="1503"/>
      <c r="F27" s="1503"/>
    </row>
    <row r="28" spans="1:6" s="240" customFormat="1" ht="29.25" customHeight="1" thickBot="1">
      <c r="A28" s="264"/>
      <c r="B28" s="264"/>
      <c r="C28" s="265" t="s">
        <v>722</v>
      </c>
      <c r="D28" s="115">
        <v>76619378</v>
      </c>
      <c r="E28" s="71">
        <f>E29</f>
        <v>907558</v>
      </c>
      <c r="F28" s="71">
        <f t="shared" si="0"/>
        <v>77526936</v>
      </c>
    </row>
    <row r="29" spans="1:6" ht="26.25" thickTop="1">
      <c r="A29" s="184">
        <v>751</v>
      </c>
      <c r="B29" s="72"/>
      <c r="C29" s="795" t="s">
        <v>624</v>
      </c>
      <c r="D29" s="256">
        <v>29100</v>
      </c>
      <c r="E29" s="256">
        <f>E30</f>
        <v>907558</v>
      </c>
      <c r="F29" s="87">
        <f t="shared" si="0"/>
        <v>936658</v>
      </c>
    </row>
    <row r="30" spans="1:6" ht="39" customHeight="1">
      <c r="A30" s="257"/>
      <c r="B30" s="226">
        <v>75109</v>
      </c>
      <c r="C30" s="323" t="s">
        <v>825</v>
      </c>
      <c r="D30" s="259"/>
      <c r="E30" s="259">
        <f>E31</f>
        <v>907558</v>
      </c>
      <c r="F30" s="225">
        <f t="shared" si="0"/>
        <v>907558</v>
      </c>
    </row>
    <row r="31" spans="1:6" ht="25.5" customHeight="1">
      <c r="A31" s="185"/>
      <c r="B31" s="76"/>
      <c r="C31" s="1367" t="s">
        <v>627</v>
      </c>
      <c r="D31" s="1376"/>
      <c r="E31" s="604">
        <v>907558</v>
      </c>
      <c r="F31" s="261">
        <f t="shared" si="0"/>
        <v>907558</v>
      </c>
    </row>
    <row r="32" spans="1:6" s="240" customFormat="1" ht="18" customHeight="1" thickBot="1">
      <c r="A32" s="67"/>
      <c r="B32" s="67"/>
      <c r="C32" s="142" t="s">
        <v>822</v>
      </c>
      <c r="D32" s="268">
        <v>283164948</v>
      </c>
      <c r="E32" s="249">
        <f>E33+E34+E35+E36+E43</f>
        <v>1981500</v>
      </c>
      <c r="F32" s="629">
        <f t="shared" si="0"/>
        <v>285146448</v>
      </c>
    </row>
    <row r="33" spans="1:6" s="240" customFormat="1" ht="17.25" customHeight="1" thickBot="1">
      <c r="A33" s="85"/>
      <c r="B33" s="85"/>
      <c r="C33" s="621" t="s">
        <v>718</v>
      </c>
      <c r="D33" s="151">
        <v>72360210</v>
      </c>
      <c r="E33" s="622"/>
      <c r="F33" s="106">
        <f t="shared" si="0"/>
        <v>72360210</v>
      </c>
    </row>
    <row r="34" spans="1:6" s="240" customFormat="1" ht="15.75" customHeight="1" thickBot="1" thickTop="1">
      <c r="A34" s="85"/>
      <c r="B34" s="85"/>
      <c r="C34" s="623" t="s">
        <v>723</v>
      </c>
      <c r="D34" s="624">
        <v>134984634</v>
      </c>
      <c r="E34" s="625"/>
      <c r="F34" s="625">
        <f t="shared" si="0"/>
        <v>134984634</v>
      </c>
    </row>
    <row r="35" spans="1:6" s="240" customFormat="1" ht="16.5" customHeight="1" thickBot="1" thickTop="1">
      <c r="A35" s="85"/>
      <c r="B35" s="85"/>
      <c r="C35" s="252" t="s">
        <v>720</v>
      </c>
      <c r="D35" s="151">
        <v>48711495</v>
      </c>
      <c r="E35" s="106"/>
      <c r="F35" s="106">
        <f t="shared" si="0"/>
        <v>48711495</v>
      </c>
    </row>
    <row r="36" spans="1:6" ht="26.25" customHeight="1" thickBot="1" thickTop="1">
      <c r="A36" s="86"/>
      <c r="B36" s="86"/>
      <c r="C36" s="630" t="s">
        <v>721</v>
      </c>
      <c r="D36" s="959">
        <v>4787838</v>
      </c>
      <c r="E36" s="631">
        <f>E40+E37</f>
        <v>1744500</v>
      </c>
      <c r="F36" s="631">
        <f aca="true" t="shared" si="1" ref="F36:F48">D36+E36</f>
        <v>6532338</v>
      </c>
    </row>
    <row r="37" spans="1:6" ht="18" customHeight="1" thickTop="1">
      <c r="A37" s="184">
        <v>600</v>
      </c>
      <c r="B37" s="72"/>
      <c r="C37" s="961" t="s">
        <v>757</v>
      </c>
      <c r="D37" s="960"/>
      <c r="E37" s="960">
        <f>E38</f>
        <v>1544500</v>
      </c>
      <c r="F37" s="777">
        <f t="shared" si="1"/>
        <v>1544500</v>
      </c>
    </row>
    <row r="38" spans="1:6" ht="18" customHeight="1">
      <c r="A38" s="257"/>
      <c r="B38" s="226">
        <v>60015</v>
      </c>
      <c r="C38" s="77" t="s">
        <v>712</v>
      </c>
      <c r="D38" s="259"/>
      <c r="E38" s="259">
        <f>E39</f>
        <v>1544500</v>
      </c>
      <c r="F38" s="225">
        <f t="shared" si="1"/>
        <v>1544500</v>
      </c>
    </row>
    <row r="39" spans="1:6" ht="27.75" customHeight="1">
      <c r="A39" s="185"/>
      <c r="B39" s="76"/>
      <c r="C39" s="1365" t="s">
        <v>758</v>
      </c>
      <c r="D39" s="1376"/>
      <c r="E39" s="1376">
        <v>1544500</v>
      </c>
      <c r="F39" s="604">
        <f>D39+E39</f>
        <v>1544500</v>
      </c>
    </row>
    <row r="40" spans="1:6" ht="15.75" customHeight="1">
      <c r="A40" s="184">
        <v>852</v>
      </c>
      <c r="B40" s="72"/>
      <c r="C40" s="92" t="s">
        <v>368</v>
      </c>
      <c r="D40" s="256">
        <v>3051000</v>
      </c>
      <c r="E40" s="256">
        <f>E41</f>
        <v>200000</v>
      </c>
      <c r="F40" s="87">
        <f t="shared" si="1"/>
        <v>3251000</v>
      </c>
    </row>
    <row r="41" spans="1:6" ht="16.5" customHeight="1">
      <c r="A41" s="257"/>
      <c r="B41" s="226">
        <v>85295</v>
      </c>
      <c r="C41" s="323" t="s">
        <v>366</v>
      </c>
      <c r="D41" s="259"/>
      <c r="E41" s="259">
        <f>E42</f>
        <v>200000</v>
      </c>
      <c r="F41" s="225">
        <f t="shared" si="1"/>
        <v>200000</v>
      </c>
    </row>
    <row r="42" spans="1:6" s="273" customFormat="1" ht="24.75" customHeight="1">
      <c r="A42" s="1302"/>
      <c r="B42" s="884"/>
      <c r="C42" s="1371" t="s">
        <v>782</v>
      </c>
      <c r="D42" s="1372"/>
      <c r="E42" s="1372">
        <v>200000</v>
      </c>
      <c r="F42" s="1373">
        <f t="shared" si="1"/>
        <v>200000</v>
      </c>
    </row>
    <row r="43" spans="1:6" ht="27" customHeight="1" thickBot="1">
      <c r="A43" s="86"/>
      <c r="B43" s="86"/>
      <c r="C43" s="1001" t="s">
        <v>74</v>
      </c>
      <c r="D43" s="1002">
        <v>22320771</v>
      </c>
      <c r="E43" s="1003">
        <f>E44+E49</f>
        <v>237000</v>
      </c>
      <c r="F43" s="1003">
        <f t="shared" si="1"/>
        <v>22557771</v>
      </c>
    </row>
    <row r="44" spans="1:6" ht="18" customHeight="1" thickTop="1">
      <c r="A44" s="856">
        <v>852</v>
      </c>
      <c r="B44" s="431"/>
      <c r="C44" s="626" t="s">
        <v>368</v>
      </c>
      <c r="D44" s="256">
        <v>3194590</v>
      </c>
      <c r="E44" s="256">
        <f>E45+E47</f>
        <v>220000</v>
      </c>
      <c r="F44" s="87">
        <f t="shared" si="1"/>
        <v>3414590</v>
      </c>
    </row>
    <row r="45" spans="1:6" ht="16.5" customHeight="1">
      <c r="A45" s="257"/>
      <c r="B45" s="226">
        <v>85203</v>
      </c>
      <c r="C45" s="231" t="s">
        <v>789</v>
      </c>
      <c r="D45" s="259">
        <v>2960590</v>
      </c>
      <c r="E45" s="259">
        <f>E46</f>
        <v>190000</v>
      </c>
      <c r="F45" s="225">
        <f t="shared" si="1"/>
        <v>3150590</v>
      </c>
    </row>
    <row r="46" spans="1:6" ht="24" customHeight="1">
      <c r="A46" s="185"/>
      <c r="B46" s="186"/>
      <c r="C46" s="1375" t="s">
        <v>824</v>
      </c>
      <c r="D46" s="1376"/>
      <c r="E46" s="1376">
        <v>190000</v>
      </c>
      <c r="F46" s="604">
        <f t="shared" si="1"/>
        <v>190000</v>
      </c>
    </row>
    <row r="47" spans="1:6" ht="15.75" customHeight="1">
      <c r="A47" s="185"/>
      <c r="B47" s="226">
        <v>85295</v>
      </c>
      <c r="C47" s="1377" t="s">
        <v>366</v>
      </c>
      <c r="D47" s="259"/>
      <c r="E47" s="259">
        <f>E48</f>
        <v>30000</v>
      </c>
      <c r="F47" s="225">
        <f t="shared" si="1"/>
        <v>30000</v>
      </c>
    </row>
    <row r="48" spans="1:6" ht="24" customHeight="1">
      <c r="A48" s="1374"/>
      <c r="B48" s="226"/>
      <c r="C48" s="1375" t="s">
        <v>474</v>
      </c>
      <c r="D48" s="1376"/>
      <c r="E48" s="1376">
        <v>30000</v>
      </c>
      <c r="F48" s="604">
        <f t="shared" si="1"/>
        <v>30000</v>
      </c>
    </row>
    <row r="49" spans="1:6" ht="15.75" customHeight="1">
      <c r="A49" s="856">
        <v>853</v>
      </c>
      <c r="B49" s="431"/>
      <c r="C49" s="92" t="s">
        <v>412</v>
      </c>
      <c r="D49" s="256">
        <v>616654</v>
      </c>
      <c r="E49" s="256">
        <f>E50</f>
        <v>17000</v>
      </c>
      <c r="F49" s="87">
        <f>D49+E49</f>
        <v>633654</v>
      </c>
    </row>
    <row r="50" spans="1:6" ht="15.75" customHeight="1">
      <c r="A50" s="257"/>
      <c r="B50" s="226">
        <v>85321</v>
      </c>
      <c r="C50" s="77" t="s">
        <v>205</v>
      </c>
      <c r="D50" s="259">
        <v>552000</v>
      </c>
      <c r="E50" s="259">
        <f>E51</f>
        <v>17000</v>
      </c>
      <c r="F50" s="225">
        <f>D50+E50</f>
        <v>569000</v>
      </c>
    </row>
    <row r="51" spans="1:6" ht="37.5" customHeight="1">
      <c r="A51" s="1374"/>
      <c r="B51" s="226"/>
      <c r="C51" s="1387" t="s">
        <v>823</v>
      </c>
      <c r="D51" s="604">
        <v>528000</v>
      </c>
      <c r="E51" s="1376">
        <v>17000</v>
      </c>
      <c r="F51" s="604">
        <f>D51+E51</f>
        <v>545000</v>
      </c>
    </row>
    <row r="52" ht="16.5" customHeight="1"/>
    <row r="53" spans="2:6" ht="15">
      <c r="B53" s="1" t="s">
        <v>172</v>
      </c>
      <c r="C53" s="1"/>
      <c r="E53" s="1" t="s">
        <v>174</v>
      </c>
      <c r="F53" s="1"/>
    </row>
    <row r="54" spans="2:6" ht="15">
      <c r="B54" s="48" t="s">
        <v>173</v>
      </c>
      <c r="C54" s="1"/>
      <c r="E54" s="48" t="s">
        <v>175</v>
      </c>
      <c r="F54" s="1"/>
    </row>
  </sheetData>
  <printOptions horizontalCentered="1"/>
  <pageMargins left="0.4724409448818898" right="0.4724409448818898" top="0.6692913385826772" bottom="0.5905511811023623" header="0.5118110236220472" footer="0.3937007874015748"/>
  <pageSetup firstPageNumber="6" useFirstPageNumber="1" horizontalDpi="300" verticalDpi="300" orientation="landscape" paperSize="9" scale="87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L575"/>
  <sheetViews>
    <sheetView zoomScaleSheetLayoutView="75" workbookViewId="0" topLeftCell="A7">
      <pane ySplit="990" topLeftCell="BM505" activePane="bottomLeft" state="split"/>
      <selection pane="topLeft" activeCell="I2" sqref="I2"/>
      <selection pane="bottomLeft" activeCell="G518" sqref="G518:H519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7.625" style="22" customWidth="1"/>
    <col min="4" max="4" width="57.00390625" style="22" customWidth="1"/>
    <col min="5" max="8" width="20.75390625" style="22" customWidth="1"/>
    <col min="9" max="9" width="11.875" style="22" customWidth="1"/>
    <col min="10" max="10" width="12.375" style="22" customWidth="1"/>
    <col min="11" max="11" width="13.375" style="22" customWidth="1"/>
    <col min="12" max="12" width="11.00390625" style="22" customWidth="1"/>
    <col min="13" max="16384" width="9.125" style="22" customWidth="1"/>
  </cols>
  <sheetData>
    <row r="1" ht="18" customHeight="1">
      <c r="G1" s="50" t="s">
        <v>854</v>
      </c>
    </row>
    <row r="2" ht="18" customHeight="1">
      <c r="G2" s="22" t="s">
        <v>15</v>
      </c>
    </row>
    <row r="3" spans="5:7" ht="18" customHeight="1">
      <c r="E3" s="47"/>
      <c r="G3" s="22" t="s">
        <v>337</v>
      </c>
    </row>
    <row r="4" spans="4:7" ht="18" customHeight="1">
      <c r="D4" s="4" t="s">
        <v>388</v>
      </c>
      <c r="G4" s="22" t="s">
        <v>787</v>
      </c>
    </row>
    <row r="5" ht="17.25" customHeight="1" thickBot="1">
      <c r="H5" s="54" t="s">
        <v>338</v>
      </c>
    </row>
    <row r="6" spans="1:8" ht="66.75" customHeight="1" thickBot="1" thickTop="1">
      <c r="A6" s="116" t="s">
        <v>389</v>
      </c>
      <c r="B6" s="116" t="s">
        <v>343</v>
      </c>
      <c r="C6" s="117" t="s">
        <v>375</v>
      </c>
      <c r="D6" s="117" t="s">
        <v>391</v>
      </c>
      <c r="E6" s="118" t="s">
        <v>392</v>
      </c>
      <c r="F6" s="117" t="s">
        <v>379</v>
      </c>
      <c r="G6" s="117" t="s">
        <v>380</v>
      </c>
      <c r="H6" s="117" t="s">
        <v>393</v>
      </c>
    </row>
    <row r="7" spans="1:10" ht="18.75" customHeight="1" thickBot="1" thickTop="1">
      <c r="A7" s="16">
        <v>1</v>
      </c>
      <c r="B7" s="16">
        <v>2</v>
      </c>
      <c r="C7" s="16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J7" s="47"/>
    </row>
    <row r="8" spans="1:12" ht="21.75" customHeight="1" thickBot="1" thickTop="1">
      <c r="A8" s="85"/>
      <c r="B8" s="120"/>
      <c r="C8" s="120"/>
      <c r="D8" s="121" t="s">
        <v>357</v>
      </c>
      <c r="E8" s="122">
        <v>948348327</v>
      </c>
      <c r="F8" s="122">
        <f>F10+F471+F482</f>
        <v>5774113</v>
      </c>
      <c r="G8" s="122">
        <f>G10+G471+G482</f>
        <v>10067008</v>
      </c>
      <c r="H8" s="122">
        <f>E8+G8-F8</f>
        <v>952641222</v>
      </c>
      <c r="I8" s="47"/>
      <c r="J8" s="47"/>
      <c r="K8" s="47"/>
      <c r="L8" s="47"/>
    </row>
    <row r="9" spans="1:10" ht="21" customHeight="1">
      <c r="A9" s="67"/>
      <c r="B9" s="67"/>
      <c r="C9" s="67"/>
      <c r="D9" s="67" t="s">
        <v>358</v>
      </c>
      <c r="E9" s="123"/>
      <c r="F9" s="123"/>
      <c r="G9" s="123"/>
      <c r="H9" s="123"/>
      <c r="J9" s="124"/>
    </row>
    <row r="10" spans="1:12" ht="21" customHeight="1" thickBot="1">
      <c r="A10" s="86"/>
      <c r="B10" s="86"/>
      <c r="C10" s="86"/>
      <c r="D10" s="91" t="s">
        <v>360</v>
      </c>
      <c r="E10" s="88">
        <v>843655081</v>
      </c>
      <c r="F10" s="125">
        <f>F11+F37+F44+F81+F97+F103+F273+F298+F350+F365+F436+F461</f>
        <v>5770113</v>
      </c>
      <c r="G10" s="125">
        <f>G11+G37+G44+G81+G97+G103+G273+G298+G350+G365+G436+G461</f>
        <v>8688450</v>
      </c>
      <c r="H10" s="125">
        <f aca="true" t="shared" si="0" ref="H10:H76">E10+G10-F10</f>
        <v>846573418</v>
      </c>
      <c r="I10" s="47"/>
      <c r="J10" s="47"/>
      <c r="L10" s="47"/>
    </row>
    <row r="11" spans="1:12" ht="21" customHeight="1" thickTop="1">
      <c r="A11" s="89">
        <v>600</v>
      </c>
      <c r="B11" s="89"/>
      <c r="C11" s="89"/>
      <c r="D11" s="89" t="s">
        <v>364</v>
      </c>
      <c r="E11" s="74">
        <v>126171251</v>
      </c>
      <c r="F11" s="75">
        <f>F12+F32</f>
        <v>1952800</v>
      </c>
      <c r="G11" s="75">
        <f>G12+G32</f>
        <v>3497300</v>
      </c>
      <c r="H11" s="75">
        <f t="shared" si="0"/>
        <v>127715751</v>
      </c>
      <c r="I11" s="47"/>
      <c r="J11" s="47"/>
      <c r="L11" s="47"/>
    </row>
    <row r="12" spans="1:12" s="130" customFormat="1" ht="21" customHeight="1">
      <c r="A12" s="81"/>
      <c r="B12" s="78">
        <v>60015</v>
      </c>
      <c r="C12" s="78"/>
      <c r="D12" s="716" t="s">
        <v>712</v>
      </c>
      <c r="E12" s="137">
        <v>86570356</v>
      </c>
      <c r="F12" s="137">
        <f>F13+F16</f>
        <v>1802800</v>
      </c>
      <c r="G12" s="137">
        <f>G13+G16</f>
        <v>3347300</v>
      </c>
      <c r="H12" s="137">
        <f t="shared" si="0"/>
        <v>88114856</v>
      </c>
      <c r="I12" s="138"/>
      <c r="J12" s="138"/>
      <c r="L12" s="138"/>
    </row>
    <row r="13" spans="1:12" s="130" customFormat="1" ht="21" customHeight="1">
      <c r="A13" s="206"/>
      <c r="B13" s="207"/>
      <c r="C13" s="108"/>
      <c r="D13" s="723" t="s">
        <v>292</v>
      </c>
      <c r="E13" s="144">
        <v>1744304</v>
      </c>
      <c r="F13" s="144">
        <f>F15</f>
        <v>196000</v>
      </c>
      <c r="G13" s="144"/>
      <c r="H13" s="144">
        <f t="shared" si="0"/>
        <v>1548304</v>
      </c>
      <c r="I13" s="138"/>
      <c r="J13" s="138"/>
      <c r="L13" s="138"/>
    </row>
    <row r="14" spans="1:12" s="156" customFormat="1" ht="21" customHeight="1">
      <c r="A14" s="205"/>
      <c r="B14" s="169"/>
      <c r="C14" s="153"/>
      <c r="D14" s="944" t="s">
        <v>291</v>
      </c>
      <c r="E14" s="459">
        <v>453215</v>
      </c>
      <c r="F14" s="459">
        <v>196000</v>
      </c>
      <c r="G14" s="459"/>
      <c r="H14" s="459">
        <f t="shared" si="0"/>
        <v>257215</v>
      </c>
      <c r="I14" s="155"/>
      <c r="J14" s="155"/>
      <c r="L14" s="155"/>
    </row>
    <row r="15" spans="1:12" s="194" customFormat="1" ht="21" customHeight="1">
      <c r="A15" s="708"/>
      <c r="B15" s="708"/>
      <c r="C15" s="714">
        <v>4270</v>
      </c>
      <c r="D15" s="1100" t="s">
        <v>288</v>
      </c>
      <c r="E15" s="912">
        <v>1744304</v>
      </c>
      <c r="F15" s="913">
        <f>F14</f>
        <v>196000</v>
      </c>
      <c r="G15" s="913"/>
      <c r="H15" s="913">
        <f t="shared" si="0"/>
        <v>1548304</v>
      </c>
      <c r="I15" s="195"/>
      <c r="J15" s="195"/>
      <c r="L15" s="195"/>
    </row>
    <row r="16" spans="1:12" s="130" customFormat="1" ht="21" customHeight="1">
      <c r="A16" s="206"/>
      <c r="B16" s="214"/>
      <c r="C16" s="108"/>
      <c r="D16" s="723" t="s">
        <v>604</v>
      </c>
      <c r="E16" s="143">
        <v>76992141</v>
      </c>
      <c r="F16" s="143">
        <f>F23+F28+F31+F25</f>
        <v>1606800</v>
      </c>
      <c r="G16" s="143">
        <f>G23+G28+G31+G25</f>
        <v>3347300</v>
      </c>
      <c r="H16" s="143">
        <f t="shared" si="0"/>
        <v>78732641</v>
      </c>
      <c r="I16" s="138"/>
      <c r="J16" s="138"/>
      <c r="L16" s="138"/>
    </row>
    <row r="17" spans="1:12" s="156" customFormat="1" ht="25.5">
      <c r="A17" s="205"/>
      <c r="B17" s="169"/>
      <c r="C17" s="153"/>
      <c r="D17" s="902" t="s">
        <v>535</v>
      </c>
      <c r="E17" s="783">
        <v>127000</v>
      </c>
      <c r="F17" s="783">
        <v>125000</v>
      </c>
      <c r="G17" s="783"/>
      <c r="H17" s="783">
        <f t="shared" si="0"/>
        <v>2000</v>
      </c>
      <c r="I17" s="155"/>
      <c r="J17" s="155"/>
      <c r="L17" s="155"/>
    </row>
    <row r="18" spans="1:12" s="156" customFormat="1" ht="25.5">
      <c r="A18" s="205"/>
      <c r="B18" s="169"/>
      <c r="C18" s="153"/>
      <c r="D18" s="1230" t="s">
        <v>536</v>
      </c>
      <c r="E18" s="461">
        <v>748000</v>
      </c>
      <c r="F18" s="461">
        <v>746000</v>
      </c>
      <c r="G18" s="461"/>
      <c r="H18" s="461">
        <f t="shared" si="0"/>
        <v>2000</v>
      </c>
      <c r="I18" s="155"/>
      <c r="J18" s="155"/>
      <c r="L18" s="155"/>
    </row>
    <row r="19" spans="1:12" s="156" customFormat="1" ht="29.25" customHeight="1">
      <c r="A19" s="205"/>
      <c r="B19" s="169"/>
      <c r="C19" s="153"/>
      <c r="D19" s="1230" t="s">
        <v>537</v>
      </c>
      <c r="E19" s="461">
        <v>560000</v>
      </c>
      <c r="F19" s="461">
        <v>517200</v>
      </c>
      <c r="G19" s="461"/>
      <c r="H19" s="461">
        <f t="shared" si="0"/>
        <v>42800</v>
      </c>
      <c r="I19" s="155"/>
      <c r="J19" s="155"/>
      <c r="L19" s="155"/>
    </row>
    <row r="20" spans="1:12" ht="19.5" customHeight="1">
      <c r="A20" s="85"/>
      <c r="B20" s="85"/>
      <c r="C20" s="85"/>
      <c r="D20" s="1016" t="s">
        <v>796</v>
      </c>
      <c r="E20" s="711">
        <v>2350000</v>
      </c>
      <c r="F20" s="1018"/>
      <c r="G20" s="1018">
        <v>90000</v>
      </c>
      <c r="H20" s="461">
        <f t="shared" si="0"/>
        <v>2440000</v>
      </c>
      <c r="I20" s="47"/>
      <c r="J20" s="47"/>
      <c r="L20" s="47"/>
    </row>
    <row r="21" spans="1:12" ht="27.75" customHeight="1">
      <c r="A21" s="85"/>
      <c r="B21" s="85"/>
      <c r="C21" s="85"/>
      <c r="D21" s="1016" t="s">
        <v>538</v>
      </c>
      <c r="E21" s="711">
        <v>350000</v>
      </c>
      <c r="F21" s="1018"/>
      <c r="G21" s="1018">
        <v>106000</v>
      </c>
      <c r="H21" s="461">
        <f t="shared" si="0"/>
        <v>456000</v>
      </c>
      <c r="I21" s="47"/>
      <c r="J21" s="47"/>
      <c r="L21" s="47"/>
    </row>
    <row r="22" spans="1:12" ht="21" customHeight="1">
      <c r="A22" s="85"/>
      <c r="B22" s="85"/>
      <c r="C22" s="85"/>
      <c r="D22" s="1016" t="s">
        <v>832</v>
      </c>
      <c r="E22" s="711">
        <v>500000</v>
      </c>
      <c r="F22" s="1018">
        <v>218600</v>
      </c>
      <c r="G22" s="1018"/>
      <c r="H22" s="461">
        <f t="shared" si="0"/>
        <v>281400</v>
      </c>
      <c r="I22" s="47"/>
      <c r="J22" s="47"/>
      <c r="L22" s="47"/>
    </row>
    <row r="23" spans="1:12" ht="21" customHeight="1">
      <c r="A23" s="85"/>
      <c r="B23" s="85"/>
      <c r="C23" s="714">
        <v>6050</v>
      </c>
      <c r="D23" s="714" t="s">
        <v>599</v>
      </c>
      <c r="E23" s="709">
        <v>21920580</v>
      </c>
      <c r="F23" s="710">
        <f>SUM(F17:F22)</f>
        <v>1606800</v>
      </c>
      <c r="G23" s="710">
        <f>SUM(G17:G22)</f>
        <v>196000</v>
      </c>
      <c r="H23" s="710">
        <f t="shared" si="0"/>
        <v>20509780</v>
      </c>
      <c r="I23" s="47"/>
      <c r="J23" s="47"/>
      <c r="L23" s="47"/>
    </row>
    <row r="24" spans="1:12" ht="21" customHeight="1">
      <c r="A24" s="85"/>
      <c r="B24" s="85"/>
      <c r="C24" s="85"/>
      <c r="D24" s="1016" t="s">
        <v>785</v>
      </c>
      <c r="E24" s="711"/>
      <c r="F24" s="1018"/>
      <c r="G24" s="1018">
        <v>1544500</v>
      </c>
      <c r="H24" s="461">
        <f>E24+G24-F24</f>
        <v>1544500</v>
      </c>
      <c r="I24" s="47"/>
      <c r="J24" s="47"/>
      <c r="L24" s="47"/>
    </row>
    <row r="25" spans="1:12" ht="21" customHeight="1">
      <c r="A25" s="85"/>
      <c r="B25" s="85"/>
      <c r="C25" s="714">
        <v>6053</v>
      </c>
      <c r="D25" s="714" t="s">
        <v>599</v>
      </c>
      <c r="E25" s="709"/>
      <c r="F25" s="710"/>
      <c r="G25" s="710">
        <f>SUM(G24)</f>
        <v>1544500</v>
      </c>
      <c r="H25" s="710">
        <f>E25+G25-F25</f>
        <v>1544500</v>
      </c>
      <c r="I25" s="47"/>
      <c r="J25" s="47"/>
      <c r="L25" s="47"/>
    </row>
    <row r="26" spans="1:12" ht="25.5">
      <c r="A26" s="86"/>
      <c r="B26" s="86"/>
      <c r="C26" s="86"/>
      <c r="D26" s="460" t="s">
        <v>535</v>
      </c>
      <c r="E26" s="709"/>
      <c r="F26" s="1579"/>
      <c r="G26" s="1579">
        <v>481650</v>
      </c>
      <c r="H26" s="710">
        <f t="shared" si="0"/>
        <v>481650</v>
      </c>
      <c r="I26" s="47"/>
      <c r="J26" s="47"/>
      <c r="L26" s="47"/>
    </row>
    <row r="27" spans="1:12" ht="27.75" customHeight="1">
      <c r="A27" s="85"/>
      <c r="B27" s="85"/>
      <c r="C27" s="85"/>
      <c r="D27" s="1224" t="s">
        <v>536</v>
      </c>
      <c r="E27" s="1020"/>
      <c r="F27" s="1577"/>
      <c r="G27" s="1577">
        <v>723400</v>
      </c>
      <c r="H27" s="1578">
        <f t="shared" si="0"/>
        <v>723400</v>
      </c>
      <c r="I27" s="47"/>
      <c r="J27" s="47"/>
      <c r="L27" s="47"/>
    </row>
    <row r="28" spans="1:12" ht="21" customHeight="1">
      <c r="A28" s="85"/>
      <c r="B28" s="85"/>
      <c r="C28" s="714">
        <v>6058</v>
      </c>
      <c r="D28" s="714" t="s">
        <v>599</v>
      </c>
      <c r="E28" s="709">
        <v>30623694</v>
      </c>
      <c r="F28" s="710"/>
      <c r="G28" s="710">
        <f>G26+G27</f>
        <v>1205050</v>
      </c>
      <c r="H28" s="710">
        <f t="shared" si="0"/>
        <v>31828744</v>
      </c>
      <c r="I28" s="47"/>
      <c r="J28" s="47"/>
      <c r="L28" s="47"/>
    </row>
    <row r="29" spans="1:12" ht="25.5">
      <c r="A29" s="85"/>
      <c r="B29" s="85"/>
      <c r="C29" s="85"/>
      <c r="D29" s="1228" t="s">
        <v>535</v>
      </c>
      <c r="E29" s="711"/>
      <c r="F29" s="1018"/>
      <c r="G29" s="1018">
        <v>160550</v>
      </c>
      <c r="H29" s="712">
        <f t="shared" si="0"/>
        <v>160550</v>
      </c>
      <c r="I29" s="47"/>
      <c r="J29" s="47"/>
      <c r="L29" s="47"/>
    </row>
    <row r="30" spans="1:12" ht="27.75" customHeight="1">
      <c r="A30" s="85"/>
      <c r="B30" s="85"/>
      <c r="C30" s="85"/>
      <c r="D30" s="1224" t="s">
        <v>536</v>
      </c>
      <c r="E30" s="711"/>
      <c r="F30" s="1018"/>
      <c r="G30" s="1018">
        <v>241200</v>
      </c>
      <c r="H30" s="712">
        <f t="shared" si="0"/>
        <v>241200</v>
      </c>
      <c r="I30" s="47"/>
      <c r="J30" s="47"/>
      <c r="L30" s="47"/>
    </row>
    <row r="31" spans="1:12" ht="21" customHeight="1">
      <c r="A31" s="85"/>
      <c r="B31" s="86"/>
      <c r="C31" s="714">
        <v>6059</v>
      </c>
      <c r="D31" s="714" t="s">
        <v>599</v>
      </c>
      <c r="E31" s="709">
        <v>11102867</v>
      </c>
      <c r="F31" s="710"/>
      <c r="G31" s="710">
        <f>G29+G30</f>
        <v>401750</v>
      </c>
      <c r="H31" s="710">
        <f t="shared" si="0"/>
        <v>11504617</v>
      </c>
      <c r="I31" s="47"/>
      <c r="J31" s="47"/>
      <c r="L31" s="47"/>
    </row>
    <row r="32" spans="1:12" s="130" customFormat="1" ht="21" customHeight="1">
      <c r="A32" s="81"/>
      <c r="B32" s="78">
        <v>60016</v>
      </c>
      <c r="C32" s="78"/>
      <c r="D32" s="716" t="s">
        <v>755</v>
      </c>
      <c r="E32" s="137">
        <v>10817000</v>
      </c>
      <c r="F32" s="137">
        <f>F33</f>
        <v>150000</v>
      </c>
      <c r="G32" s="137">
        <f>G33</f>
        <v>150000</v>
      </c>
      <c r="H32" s="137">
        <f t="shared" si="0"/>
        <v>10817000</v>
      </c>
      <c r="I32" s="138"/>
      <c r="J32" s="138"/>
      <c r="L32" s="138"/>
    </row>
    <row r="33" spans="1:12" s="130" customFormat="1" ht="21" customHeight="1">
      <c r="A33" s="206"/>
      <c r="B33" s="214"/>
      <c r="C33" s="108"/>
      <c r="D33" s="723" t="s">
        <v>604</v>
      </c>
      <c r="E33" s="143">
        <v>6588000</v>
      </c>
      <c r="F33" s="143">
        <f>F36</f>
        <v>150000</v>
      </c>
      <c r="G33" s="143">
        <f>G36</f>
        <v>150000</v>
      </c>
      <c r="H33" s="143">
        <f t="shared" si="0"/>
        <v>6588000</v>
      </c>
      <c r="I33" s="138"/>
      <c r="J33" s="138"/>
      <c r="L33" s="138"/>
    </row>
    <row r="34" spans="1:12" ht="19.5" customHeight="1">
      <c r="A34" s="85"/>
      <c r="B34" s="85"/>
      <c r="C34" s="85"/>
      <c r="D34" s="1014" t="s">
        <v>490</v>
      </c>
      <c r="E34" s="711">
        <v>200000</v>
      </c>
      <c r="F34" s="1018">
        <v>150000</v>
      </c>
      <c r="G34" s="1018"/>
      <c r="H34" s="712">
        <f t="shared" si="0"/>
        <v>50000</v>
      </c>
      <c r="I34" s="47"/>
      <c r="J34" s="47"/>
      <c r="L34" s="47"/>
    </row>
    <row r="35" spans="1:12" ht="19.5" customHeight="1">
      <c r="A35" s="85"/>
      <c r="B35" s="85"/>
      <c r="C35" s="85"/>
      <c r="D35" s="1016" t="s">
        <v>31</v>
      </c>
      <c r="E35" s="711">
        <v>3788000</v>
      </c>
      <c r="F35" s="1018"/>
      <c r="G35" s="1018">
        <v>150000</v>
      </c>
      <c r="H35" s="712">
        <f t="shared" si="0"/>
        <v>3938000</v>
      </c>
      <c r="I35" s="47"/>
      <c r="J35" s="47"/>
      <c r="L35" s="47"/>
    </row>
    <row r="36" spans="1:12" ht="21" customHeight="1">
      <c r="A36" s="85"/>
      <c r="B36" s="86"/>
      <c r="C36" s="714">
        <v>6050</v>
      </c>
      <c r="D36" s="714" t="s">
        <v>599</v>
      </c>
      <c r="E36" s="709">
        <v>6588000</v>
      </c>
      <c r="F36" s="710">
        <f>SUM(F34:F35)</f>
        <v>150000</v>
      </c>
      <c r="G36" s="710">
        <f>SUM(G34:G35)</f>
        <v>150000</v>
      </c>
      <c r="H36" s="710">
        <f t="shared" si="0"/>
        <v>6588000</v>
      </c>
      <c r="I36" s="47"/>
      <c r="J36" s="47"/>
      <c r="L36" s="47"/>
    </row>
    <row r="37" spans="1:12" ht="21" customHeight="1">
      <c r="A37" s="89">
        <v>630</v>
      </c>
      <c r="B37" s="89"/>
      <c r="C37" s="89"/>
      <c r="D37" s="89" t="s">
        <v>811</v>
      </c>
      <c r="E37" s="74">
        <v>932163</v>
      </c>
      <c r="F37" s="75">
        <f>F38</f>
        <v>440</v>
      </c>
      <c r="G37" s="75">
        <f>G38</f>
        <v>440</v>
      </c>
      <c r="H37" s="75">
        <f t="shared" si="0"/>
        <v>932163</v>
      </c>
      <c r="I37" s="47"/>
      <c r="J37" s="47"/>
      <c r="L37" s="47"/>
    </row>
    <row r="38" spans="1:12" s="130" customFormat="1" ht="21" customHeight="1">
      <c r="A38" s="81"/>
      <c r="B38" s="77">
        <v>63003</v>
      </c>
      <c r="C38" s="77"/>
      <c r="D38" s="77" t="s">
        <v>812</v>
      </c>
      <c r="E38" s="137">
        <v>747163</v>
      </c>
      <c r="F38" s="137">
        <f>F39</f>
        <v>440</v>
      </c>
      <c r="G38" s="137">
        <f>G39</f>
        <v>440</v>
      </c>
      <c r="H38" s="137">
        <f t="shared" si="0"/>
        <v>747163</v>
      </c>
      <c r="I38" s="138"/>
      <c r="J38" s="138"/>
      <c r="L38" s="138"/>
    </row>
    <row r="39" spans="1:12" s="130" customFormat="1" ht="20.25" customHeight="1">
      <c r="A39" s="206"/>
      <c r="B39" s="93"/>
      <c r="C39" s="66"/>
      <c r="D39" s="536" t="s">
        <v>813</v>
      </c>
      <c r="E39" s="524">
        <v>697163</v>
      </c>
      <c r="F39" s="524">
        <f>SUM(F40:F43)</f>
        <v>440</v>
      </c>
      <c r="G39" s="524">
        <f>SUM(G40:G43)</f>
        <v>440</v>
      </c>
      <c r="H39" s="144">
        <f t="shared" si="0"/>
        <v>697163</v>
      </c>
      <c r="I39" s="138"/>
      <c r="J39" s="138"/>
      <c r="L39" s="138"/>
    </row>
    <row r="40" spans="1:12" s="156" customFormat="1" ht="21" customHeight="1">
      <c r="A40" s="205"/>
      <c r="B40" s="169"/>
      <c r="C40" s="317">
        <v>4218</v>
      </c>
      <c r="D40" s="966" t="s">
        <v>383</v>
      </c>
      <c r="E40" s="160">
        <v>1216</v>
      </c>
      <c r="F40" s="160"/>
      <c r="G40" s="160">
        <v>330</v>
      </c>
      <c r="H40" s="154">
        <f t="shared" si="0"/>
        <v>1546</v>
      </c>
      <c r="I40" s="155"/>
      <c r="J40" s="155"/>
      <c r="L40" s="155"/>
    </row>
    <row r="41" spans="1:12" s="156" customFormat="1" ht="21" customHeight="1">
      <c r="A41" s="205"/>
      <c r="B41" s="169"/>
      <c r="C41" s="317">
        <v>4219</v>
      </c>
      <c r="D41" s="967" t="s">
        <v>383</v>
      </c>
      <c r="E41" s="160">
        <v>405</v>
      </c>
      <c r="F41" s="160"/>
      <c r="G41" s="160">
        <v>110</v>
      </c>
      <c r="H41" s="418">
        <f t="shared" si="0"/>
        <v>515</v>
      </c>
      <c r="I41" s="155"/>
      <c r="J41" s="155"/>
      <c r="L41" s="155"/>
    </row>
    <row r="42" spans="1:12" s="156" customFormat="1" ht="21" customHeight="1">
      <c r="A42" s="205"/>
      <c r="B42" s="169"/>
      <c r="C42" s="317">
        <v>6068</v>
      </c>
      <c r="D42" s="967" t="s">
        <v>420</v>
      </c>
      <c r="E42" s="160">
        <v>2583</v>
      </c>
      <c r="F42" s="160">
        <v>330</v>
      </c>
      <c r="G42" s="160"/>
      <c r="H42" s="418">
        <f t="shared" si="0"/>
        <v>2253</v>
      </c>
      <c r="I42" s="155"/>
      <c r="J42" s="155"/>
      <c r="L42" s="155"/>
    </row>
    <row r="43" spans="1:12" s="156" customFormat="1" ht="21" customHeight="1">
      <c r="A43" s="227"/>
      <c r="B43" s="320"/>
      <c r="C43" s="317">
        <v>6069</v>
      </c>
      <c r="D43" s="319" t="s">
        <v>420</v>
      </c>
      <c r="E43" s="160">
        <v>861</v>
      </c>
      <c r="F43" s="160">
        <v>110</v>
      </c>
      <c r="G43" s="160"/>
      <c r="H43" s="418">
        <f t="shared" si="0"/>
        <v>751</v>
      </c>
      <c r="I43" s="155"/>
      <c r="J43" s="155"/>
      <c r="L43" s="155"/>
    </row>
    <row r="44" spans="1:12" ht="21" customHeight="1">
      <c r="A44" s="89">
        <v>750</v>
      </c>
      <c r="B44" s="89"/>
      <c r="C44" s="89"/>
      <c r="D44" s="89" t="s">
        <v>371</v>
      </c>
      <c r="E44" s="74">
        <v>66017863</v>
      </c>
      <c r="F44" s="75">
        <f>F45+F53+F65+F71</f>
        <v>188500</v>
      </c>
      <c r="G44" s="75">
        <f>G45+G53+G65+G71</f>
        <v>247500</v>
      </c>
      <c r="H44" s="75">
        <f t="shared" si="0"/>
        <v>66076863</v>
      </c>
      <c r="I44" s="47"/>
      <c r="J44" s="47"/>
      <c r="L44" s="47"/>
    </row>
    <row r="45" spans="1:12" s="130" customFormat="1" ht="19.5" customHeight="1">
      <c r="A45" s="81"/>
      <c r="B45" s="77">
        <v>75022</v>
      </c>
      <c r="C45" s="77"/>
      <c r="D45" s="77" t="s">
        <v>622</v>
      </c>
      <c r="E45" s="137">
        <v>1517000</v>
      </c>
      <c r="F45" s="137">
        <f>F49+F46</f>
        <v>12600</v>
      </c>
      <c r="G45" s="137">
        <f>G49+G46</f>
        <v>12600</v>
      </c>
      <c r="H45" s="137">
        <f t="shared" si="0"/>
        <v>1517000</v>
      </c>
      <c r="I45" s="138"/>
      <c r="J45" s="138"/>
      <c r="L45" s="138"/>
    </row>
    <row r="46" spans="1:12" s="130" customFormat="1" ht="18.75" customHeight="1">
      <c r="A46" s="206"/>
      <c r="B46" s="66"/>
      <c r="C46" s="81"/>
      <c r="D46" s="210" t="s">
        <v>147</v>
      </c>
      <c r="E46" s="524">
        <v>1000000</v>
      </c>
      <c r="F46" s="524">
        <f>SUM(F47:F48)</f>
        <v>5000</v>
      </c>
      <c r="G46" s="524">
        <f>SUM(G47:G48)</f>
        <v>5000</v>
      </c>
      <c r="H46" s="144">
        <f t="shared" si="0"/>
        <v>1000000</v>
      </c>
      <c r="I46" s="138"/>
      <c r="J46" s="138"/>
      <c r="L46" s="138"/>
    </row>
    <row r="47" spans="1:12" s="156" customFormat="1" ht="18" customHeight="1">
      <c r="A47" s="205"/>
      <c r="B47" s="169"/>
      <c r="C47" s="82">
        <v>4300</v>
      </c>
      <c r="D47" s="528" t="s">
        <v>384</v>
      </c>
      <c r="E47" s="160">
        <v>80000</v>
      </c>
      <c r="F47" s="160">
        <v>5000</v>
      </c>
      <c r="G47" s="160"/>
      <c r="H47" s="154">
        <f t="shared" si="0"/>
        <v>75000</v>
      </c>
      <c r="I47" s="155"/>
      <c r="J47" s="155"/>
      <c r="L47" s="155"/>
    </row>
    <row r="48" spans="1:12" s="156" customFormat="1" ht="18.75" customHeight="1">
      <c r="A48" s="205"/>
      <c r="B48" s="169"/>
      <c r="C48" s="82">
        <v>4420</v>
      </c>
      <c r="D48" s="528" t="s">
        <v>426</v>
      </c>
      <c r="E48" s="764">
        <v>32000</v>
      </c>
      <c r="F48" s="764"/>
      <c r="G48" s="764">
        <v>5000</v>
      </c>
      <c r="H48" s="764">
        <f t="shared" si="0"/>
        <v>37000</v>
      </c>
      <c r="I48" s="155"/>
      <c r="J48" s="155"/>
      <c r="L48" s="155"/>
    </row>
    <row r="49" spans="1:12" s="130" customFormat="1" ht="18" customHeight="1">
      <c r="A49" s="206"/>
      <c r="B49" s="66"/>
      <c r="C49" s="66"/>
      <c r="D49" s="797" t="s">
        <v>534</v>
      </c>
      <c r="E49" s="524">
        <v>417000</v>
      </c>
      <c r="F49" s="524">
        <f>SUM(F50:F52)</f>
        <v>7600</v>
      </c>
      <c r="G49" s="524">
        <f>SUM(G50:G52)</f>
        <v>7600</v>
      </c>
      <c r="H49" s="144">
        <f t="shared" si="0"/>
        <v>417000</v>
      </c>
      <c r="I49" s="138"/>
      <c r="J49" s="138"/>
      <c r="L49" s="138"/>
    </row>
    <row r="50" spans="1:12" s="156" customFormat="1" ht="18.75" customHeight="1">
      <c r="A50" s="205"/>
      <c r="B50" s="169"/>
      <c r="C50" s="320">
        <v>3030</v>
      </c>
      <c r="D50" s="460" t="s">
        <v>623</v>
      </c>
      <c r="E50" s="160">
        <v>283500</v>
      </c>
      <c r="F50" s="160">
        <v>2200</v>
      </c>
      <c r="G50" s="160"/>
      <c r="H50" s="154">
        <f t="shared" si="0"/>
        <v>281300</v>
      </c>
      <c r="I50" s="155"/>
      <c r="J50" s="155"/>
      <c r="L50" s="155"/>
    </row>
    <row r="51" spans="1:12" s="156" customFormat="1" ht="18.75" customHeight="1">
      <c r="A51" s="205"/>
      <c r="B51" s="169"/>
      <c r="C51" s="320">
        <v>4260</v>
      </c>
      <c r="D51" s="967" t="s">
        <v>464</v>
      </c>
      <c r="E51" s="764">
        <v>30900</v>
      </c>
      <c r="F51" s="764"/>
      <c r="G51" s="764">
        <f>3500+3100+1000</f>
        <v>7600</v>
      </c>
      <c r="H51" s="764">
        <f t="shared" si="0"/>
        <v>38500</v>
      </c>
      <c r="I51" s="155"/>
      <c r="J51" s="155"/>
      <c r="L51" s="155"/>
    </row>
    <row r="52" spans="1:12" s="156" customFormat="1" ht="18.75" customHeight="1">
      <c r="A52" s="205"/>
      <c r="B52" s="320"/>
      <c r="C52" s="320">
        <v>4300</v>
      </c>
      <c r="D52" s="460" t="s">
        <v>384</v>
      </c>
      <c r="E52" s="418">
        <v>77200</v>
      </c>
      <c r="F52" s="764">
        <f>5800-400</f>
        <v>5400</v>
      </c>
      <c r="G52" s="764"/>
      <c r="H52" s="418">
        <f t="shared" si="0"/>
        <v>71800</v>
      </c>
      <c r="I52" s="155"/>
      <c r="J52" s="155"/>
      <c r="L52" s="155"/>
    </row>
    <row r="53" spans="1:12" s="130" customFormat="1" ht="21" customHeight="1">
      <c r="A53" s="81"/>
      <c r="B53" s="78">
        <v>75023</v>
      </c>
      <c r="C53" s="78"/>
      <c r="D53" s="78" t="s">
        <v>386</v>
      </c>
      <c r="E53" s="137">
        <v>61463685</v>
      </c>
      <c r="F53" s="137">
        <f>F54+F60+F62</f>
        <v>34000</v>
      </c>
      <c r="G53" s="137">
        <f>G54+G60+G62</f>
        <v>93000</v>
      </c>
      <c r="H53" s="137">
        <f t="shared" si="0"/>
        <v>61522685</v>
      </c>
      <c r="I53" s="138"/>
      <c r="J53" s="138"/>
      <c r="L53" s="138"/>
    </row>
    <row r="54" spans="1:12" s="130" customFormat="1" ht="21" customHeight="1">
      <c r="A54" s="206"/>
      <c r="B54" s="214"/>
      <c r="C54" s="108"/>
      <c r="D54" s="101" t="s">
        <v>387</v>
      </c>
      <c r="E54" s="144">
        <v>12276970</v>
      </c>
      <c r="F54" s="144"/>
      <c r="G54" s="144">
        <f>SUM(G55:G59)</f>
        <v>74200</v>
      </c>
      <c r="H54" s="144">
        <f t="shared" si="0"/>
        <v>12351170</v>
      </c>
      <c r="I54" s="138"/>
      <c r="J54" s="138"/>
      <c r="L54" s="138"/>
    </row>
    <row r="55" spans="1:12" s="156" customFormat="1" ht="21" customHeight="1">
      <c r="A55" s="227"/>
      <c r="B55" s="320"/>
      <c r="C55" s="317">
        <v>3020</v>
      </c>
      <c r="D55" s="319" t="s">
        <v>736</v>
      </c>
      <c r="E55" s="154">
        <v>55000</v>
      </c>
      <c r="F55" s="154"/>
      <c r="G55" s="154">
        <v>4000</v>
      </c>
      <c r="H55" s="154">
        <f t="shared" si="0"/>
        <v>59000</v>
      </c>
      <c r="I55" s="155"/>
      <c r="J55" s="155"/>
      <c r="L55" s="155"/>
    </row>
    <row r="56" spans="1:12" s="156" customFormat="1" ht="21" customHeight="1">
      <c r="A56" s="205"/>
      <c r="B56" s="169"/>
      <c r="C56" s="317">
        <v>4210</v>
      </c>
      <c r="D56" s="319" t="s">
        <v>383</v>
      </c>
      <c r="E56" s="418">
        <v>1600000</v>
      </c>
      <c r="F56" s="418"/>
      <c r="G56" s="418">
        <v>17300</v>
      </c>
      <c r="H56" s="418">
        <f>E56+G56-F56</f>
        <v>1617300</v>
      </c>
      <c r="I56" s="155"/>
      <c r="J56" s="155"/>
      <c r="L56" s="155"/>
    </row>
    <row r="57" spans="1:12" s="156" customFormat="1" ht="21" customHeight="1">
      <c r="A57" s="205"/>
      <c r="B57" s="169"/>
      <c r="C57" s="317">
        <v>4300</v>
      </c>
      <c r="D57" s="319" t="s">
        <v>384</v>
      </c>
      <c r="E57" s="418">
        <v>7459453</v>
      </c>
      <c r="F57" s="418"/>
      <c r="G57" s="418">
        <v>22900</v>
      </c>
      <c r="H57" s="154">
        <f>E57+G57-F57</f>
        <v>7482353</v>
      </c>
      <c r="I57" s="155"/>
      <c r="J57" s="155"/>
      <c r="L57" s="155"/>
    </row>
    <row r="58" spans="1:12" s="156" customFormat="1" ht="21" customHeight="1">
      <c r="A58" s="205"/>
      <c r="B58" s="169"/>
      <c r="C58" s="317">
        <v>4410</v>
      </c>
      <c r="D58" s="319" t="s">
        <v>468</v>
      </c>
      <c r="E58" s="418">
        <v>100000</v>
      </c>
      <c r="F58" s="418"/>
      <c r="G58" s="418">
        <v>20000</v>
      </c>
      <c r="H58" s="154">
        <f t="shared" si="0"/>
        <v>120000</v>
      </c>
      <c r="I58" s="155"/>
      <c r="J58" s="155"/>
      <c r="L58" s="155"/>
    </row>
    <row r="59" spans="1:12" s="156" customFormat="1" ht="21" customHeight="1">
      <c r="A59" s="205"/>
      <c r="B59" s="169"/>
      <c r="C59" s="937">
        <v>4430</v>
      </c>
      <c r="D59" s="904" t="s">
        <v>466</v>
      </c>
      <c r="E59" s="418">
        <v>310000</v>
      </c>
      <c r="F59" s="418"/>
      <c r="G59" s="418">
        <v>10000</v>
      </c>
      <c r="H59" s="154">
        <f t="shared" si="0"/>
        <v>320000</v>
      </c>
      <c r="I59" s="155"/>
      <c r="J59" s="155"/>
      <c r="L59" s="155"/>
    </row>
    <row r="60" spans="1:12" s="130" customFormat="1" ht="21" customHeight="1">
      <c r="A60" s="206"/>
      <c r="B60" s="214"/>
      <c r="C60" s="108"/>
      <c r="D60" s="101" t="s">
        <v>413</v>
      </c>
      <c r="E60" s="267">
        <v>6194647</v>
      </c>
      <c r="F60" s="267">
        <f>F61</f>
        <v>34000</v>
      </c>
      <c r="G60" s="267"/>
      <c r="H60" s="267">
        <f t="shared" si="0"/>
        <v>6160647</v>
      </c>
      <c r="I60" s="138"/>
      <c r="J60" s="138"/>
      <c r="L60" s="138"/>
    </row>
    <row r="61" spans="1:12" s="156" customFormat="1" ht="21" customHeight="1">
      <c r="A61" s="205"/>
      <c r="B61" s="169"/>
      <c r="C61" s="317">
        <v>4110</v>
      </c>
      <c r="D61" s="319" t="s">
        <v>462</v>
      </c>
      <c r="E61" s="154">
        <v>5444000</v>
      </c>
      <c r="F61" s="154">
        <v>34000</v>
      </c>
      <c r="G61" s="154"/>
      <c r="H61" s="154">
        <f t="shared" si="0"/>
        <v>5410000</v>
      </c>
      <c r="I61" s="155"/>
      <c r="J61" s="155"/>
      <c r="L61" s="155"/>
    </row>
    <row r="62" spans="1:12" s="229" customFormat="1" ht="21" customHeight="1">
      <c r="A62" s="206"/>
      <c r="B62" s="214"/>
      <c r="C62" s="408"/>
      <c r="D62" s="943" t="s">
        <v>604</v>
      </c>
      <c r="E62" s="803">
        <v>3084010</v>
      </c>
      <c r="F62" s="803"/>
      <c r="G62" s="803">
        <f>G64</f>
        <v>18800</v>
      </c>
      <c r="H62" s="803">
        <f t="shared" si="0"/>
        <v>3102810</v>
      </c>
      <c r="I62" s="209"/>
      <c r="J62" s="209"/>
      <c r="L62" s="209"/>
    </row>
    <row r="63" spans="1:12" s="156" customFormat="1" ht="21" customHeight="1">
      <c r="A63" s="205"/>
      <c r="B63" s="169"/>
      <c r="C63" s="153"/>
      <c r="D63" s="944" t="s">
        <v>747</v>
      </c>
      <c r="E63" s="459">
        <v>949980</v>
      </c>
      <c r="F63" s="459"/>
      <c r="G63" s="459">
        <v>18800</v>
      </c>
      <c r="H63" s="459">
        <f t="shared" si="0"/>
        <v>968780</v>
      </c>
      <c r="I63" s="155"/>
      <c r="J63" s="155"/>
      <c r="L63" s="155"/>
    </row>
    <row r="64" spans="1:12" s="156" customFormat="1" ht="21" customHeight="1">
      <c r="A64" s="205"/>
      <c r="B64" s="320"/>
      <c r="C64" s="317">
        <v>6060</v>
      </c>
      <c r="D64" s="319" t="s">
        <v>420</v>
      </c>
      <c r="E64" s="418">
        <v>949980</v>
      </c>
      <c r="F64" s="418"/>
      <c r="G64" s="418">
        <f>G63</f>
        <v>18800</v>
      </c>
      <c r="H64" s="418">
        <f t="shared" si="0"/>
        <v>968780</v>
      </c>
      <c r="I64" s="155"/>
      <c r="J64" s="155"/>
      <c r="L64" s="155"/>
    </row>
    <row r="65" spans="1:12" s="130" customFormat="1" ht="21" customHeight="1">
      <c r="A65" s="81"/>
      <c r="B65" s="78">
        <v>75075</v>
      </c>
      <c r="C65" s="78"/>
      <c r="D65" s="78" t="s">
        <v>180</v>
      </c>
      <c r="E65" s="559">
        <v>2628900</v>
      </c>
      <c r="F65" s="559">
        <f>F66</f>
        <v>123200</v>
      </c>
      <c r="G65" s="559">
        <f>G66</f>
        <v>123200</v>
      </c>
      <c r="H65" s="559">
        <f t="shared" si="0"/>
        <v>2628900</v>
      </c>
      <c r="I65" s="138"/>
      <c r="J65" s="138"/>
      <c r="L65" s="138"/>
    </row>
    <row r="66" spans="1:12" s="130" customFormat="1" ht="21" customHeight="1">
      <c r="A66" s="206"/>
      <c r="B66" s="93"/>
      <c r="C66" s="66"/>
      <c r="D66" s="962" t="s">
        <v>636</v>
      </c>
      <c r="E66" s="965">
        <v>423900</v>
      </c>
      <c r="F66" s="965">
        <f>SUM(F67:F70)</f>
        <v>123200</v>
      </c>
      <c r="G66" s="965">
        <f>SUM(G67:G70)</f>
        <v>123200</v>
      </c>
      <c r="H66" s="144">
        <f t="shared" si="0"/>
        <v>423900</v>
      </c>
      <c r="I66" s="138"/>
      <c r="J66" s="138"/>
      <c r="L66" s="138"/>
    </row>
    <row r="67" spans="1:12" s="156" customFormat="1" ht="21" customHeight="1">
      <c r="A67" s="205"/>
      <c r="B67" s="169"/>
      <c r="C67" s="317">
        <v>4178</v>
      </c>
      <c r="D67" s="964" t="s">
        <v>395</v>
      </c>
      <c r="E67" s="637">
        <v>7950</v>
      </c>
      <c r="F67" s="637"/>
      <c r="G67" s="637">
        <v>92400</v>
      </c>
      <c r="H67" s="154">
        <f t="shared" si="0"/>
        <v>100350</v>
      </c>
      <c r="I67" s="155"/>
      <c r="J67" s="155"/>
      <c r="L67" s="155"/>
    </row>
    <row r="68" spans="1:12" s="156" customFormat="1" ht="21" customHeight="1">
      <c r="A68" s="205"/>
      <c r="B68" s="169"/>
      <c r="C68" s="317">
        <v>4179</v>
      </c>
      <c r="D68" s="319" t="s">
        <v>395</v>
      </c>
      <c r="E68" s="160">
        <v>2650</v>
      </c>
      <c r="F68" s="160"/>
      <c r="G68" s="160">
        <v>30800</v>
      </c>
      <c r="H68" s="154">
        <f t="shared" si="0"/>
        <v>33450</v>
      </c>
      <c r="I68" s="155"/>
      <c r="J68" s="155"/>
      <c r="L68" s="155"/>
    </row>
    <row r="69" spans="1:12" s="156" customFormat="1" ht="21" customHeight="1">
      <c r="A69" s="205"/>
      <c r="B69" s="169"/>
      <c r="C69" s="317">
        <v>4308</v>
      </c>
      <c r="D69" s="319" t="s">
        <v>384</v>
      </c>
      <c r="E69" s="160">
        <v>232500</v>
      </c>
      <c r="F69" s="160">
        <v>92400</v>
      </c>
      <c r="G69" s="160"/>
      <c r="H69" s="154">
        <f t="shared" si="0"/>
        <v>140100</v>
      </c>
      <c r="I69" s="155"/>
      <c r="J69" s="155"/>
      <c r="L69" s="155"/>
    </row>
    <row r="70" spans="1:12" s="156" customFormat="1" ht="21" customHeight="1">
      <c r="A70" s="205"/>
      <c r="B70" s="320"/>
      <c r="C70" s="317">
        <v>4309</v>
      </c>
      <c r="D70" s="319" t="s">
        <v>384</v>
      </c>
      <c r="E70" s="160">
        <v>77500</v>
      </c>
      <c r="F70" s="160">
        <v>30800</v>
      </c>
      <c r="G70" s="160"/>
      <c r="H70" s="418">
        <f t="shared" si="0"/>
        <v>46700</v>
      </c>
      <c r="I70" s="155"/>
      <c r="J70" s="155"/>
      <c r="L70" s="155"/>
    </row>
    <row r="71" spans="1:12" s="130" customFormat="1" ht="21" customHeight="1">
      <c r="A71" s="81"/>
      <c r="B71" s="78">
        <v>75095</v>
      </c>
      <c r="C71" s="78"/>
      <c r="D71" s="78" t="s">
        <v>366</v>
      </c>
      <c r="E71" s="559">
        <v>408278</v>
      </c>
      <c r="F71" s="559">
        <f>F72</f>
        <v>18700</v>
      </c>
      <c r="G71" s="559">
        <f>G72</f>
        <v>18700</v>
      </c>
      <c r="H71" s="559">
        <f t="shared" si="0"/>
        <v>408278</v>
      </c>
      <c r="I71" s="138"/>
      <c r="J71" s="138"/>
      <c r="L71" s="138"/>
    </row>
    <row r="72" spans="1:12" s="130" customFormat="1" ht="21" customHeight="1">
      <c r="A72" s="206"/>
      <c r="B72" s="93"/>
      <c r="C72" s="81"/>
      <c r="D72" s="568" t="s">
        <v>316</v>
      </c>
      <c r="E72" s="965">
        <v>85000</v>
      </c>
      <c r="F72" s="965">
        <f>SUM(F73:F80)</f>
        <v>18700</v>
      </c>
      <c r="G72" s="965">
        <f>SUM(G73:G80)</f>
        <v>18700</v>
      </c>
      <c r="H72" s="144">
        <f t="shared" si="0"/>
        <v>85000</v>
      </c>
      <c r="I72" s="138"/>
      <c r="J72" s="138"/>
      <c r="L72" s="138"/>
    </row>
    <row r="73" spans="1:12" s="156" customFormat="1" ht="21" customHeight="1">
      <c r="A73" s="205"/>
      <c r="B73" s="169"/>
      <c r="C73" s="82">
        <v>4010</v>
      </c>
      <c r="D73" s="82" t="s">
        <v>335</v>
      </c>
      <c r="E73" s="637">
        <v>44200</v>
      </c>
      <c r="F73" s="637"/>
      <c r="G73" s="637">
        <v>9520</v>
      </c>
      <c r="H73" s="154">
        <f t="shared" si="0"/>
        <v>53720</v>
      </c>
      <c r="I73" s="155"/>
      <c r="J73" s="155"/>
      <c r="L73" s="155"/>
    </row>
    <row r="74" spans="1:12" s="156" customFormat="1" ht="21" customHeight="1">
      <c r="A74" s="205"/>
      <c r="B74" s="169"/>
      <c r="C74" s="82">
        <v>4110</v>
      </c>
      <c r="D74" s="82" t="s">
        <v>462</v>
      </c>
      <c r="E74" s="160">
        <v>7000</v>
      </c>
      <c r="F74" s="160"/>
      <c r="G74" s="160">
        <v>2100</v>
      </c>
      <c r="H74" s="154">
        <f t="shared" si="0"/>
        <v>9100</v>
      </c>
      <c r="I74" s="155"/>
      <c r="J74" s="155"/>
      <c r="L74" s="155"/>
    </row>
    <row r="75" spans="1:12" s="156" customFormat="1" ht="21" customHeight="1">
      <c r="A75" s="205"/>
      <c r="B75" s="169"/>
      <c r="C75" s="82">
        <v>4120</v>
      </c>
      <c r="D75" s="82" t="s">
        <v>463</v>
      </c>
      <c r="E75" s="160">
        <v>1100</v>
      </c>
      <c r="F75" s="160"/>
      <c r="G75" s="160">
        <v>200</v>
      </c>
      <c r="H75" s="154">
        <f t="shared" si="0"/>
        <v>1300</v>
      </c>
      <c r="I75" s="155"/>
      <c r="J75" s="155"/>
      <c r="L75" s="155"/>
    </row>
    <row r="76" spans="1:12" s="156" customFormat="1" ht="21" customHeight="1">
      <c r="A76" s="205"/>
      <c r="B76" s="169"/>
      <c r="C76" s="480">
        <v>4170</v>
      </c>
      <c r="D76" s="480" t="s">
        <v>395</v>
      </c>
      <c r="E76" s="160">
        <v>1000</v>
      </c>
      <c r="F76" s="160">
        <v>1000</v>
      </c>
      <c r="G76" s="160"/>
      <c r="H76" s="154">
        <f t="shared" si="0"/>
        <v>0</v>
      </c>
      <c r="I76" s="155"/>
      <c r="J76" s="155"/>
      <c r="L76" s="155"/>
    </row>
    <row r="77" spans="1:12" s="156" customFormat="1" ht="21" customHeight="1">
      <c r="A77" s="205"/>
      <c r="B77" s="169"/>
      <c r="C77" s="480">
        <v>4210</v>
      </c>
      <c r="D77" s="529" t="s">
        <v>383</v>
      </c>
      <c r="E77" s="160">
        <v>13000</v>
      </c>
      <c r="F77" s="160"/>
      <c r="G77" s="160">
        <v>6880</v>
      </c>
      <c r="H77" s="154">
        <f aca="true" t="shared" si="1" ref="H77:H140">E77+G77-F77</f>
        <v>19880</v>
      </c>
      <c r="I77" s="155"/>
      <c r="J77" s="155"/>
      <c r="L77" s="155"/>
    </row>
    <row r="78" spans="1:12" s="156" customFormat="1" ht="21" customHeight="1">
      <c r="A78" s="205"/>
      <c r="B78" s="169"/>
      <c r="C78" s="81">
        <v>4300</v>
      </c>
      <c r="D78" s="529" t="s">
        <v>384</v>
      </c>
      <c r="E78" s="160">
        <v>15700</v>
      </c>
      <c r="F78" s="160">
        <v>14700</v>
      </c>
      <c r="G78" s="160"/>
      <c r="H78" s="154">
        <f t="shared" si="1"/>
        <v>1000</v>
      </c>
      <c r="I78" s="155"/>
      <c r="J78" s="155"/>
      <c r="L78" s="155"/>
    </row>
    <row r="79" spans="1:12" s="156" customFormat="1" ht="21" customHeight="1">
      <c r="A79" s="205"/>
      <c r="B79" s="169"/>
      <c r="C79" s="480">
        <v>4410</v>
      </c>
      <c r="D79" s="480" t="s">
        <v>468</v>
      </c>
      <c r="E79" s="160">
        <v>1000</v>
      </c>
      <c r="F79" s="160">
        <v>1000</v>
      </c>
      <c r="G79" s="160"/>
      <c r="H79" s="154">
        <f t="shared" si="1"/>
        <v>0</v>
      </c>
      <c r="I79" s="155"/>
      <c r="J79" s="155"/>
      <c r="L79" s="155"/>
    </row>
    <row r="80" spans="1:12" s="156" customFormat="1" ht="21" customHeight="1">
      <c r="A80" s="227"/>
      <c r="B80" s="320"/>
      <c r="C80" s="82">
        <v>4430</v>
      </c>
      <c r="D80" s="480" t="s">
        <v>466</v>
      </c>
      <c r="E80" s="160">
        <v>2000</v>
      </c>
      <c r="F80" s="160">
        <v>2000</v>
      </c>
      <c r="G80" s="160"/>
      <c r="H80" s="154">
        <f t="shared" si="1"/>
        <v>0</v>
      </c>
      <c r="I80" s="155"/>
      <c r="J80" s="155"/>
      <c r="L80" s="155"/>
    </row>
    <row r="81" spans="1:12" ht="19.5" customHeight="1">
      <c r="A81" s="73">
        <v>754</v>
      </c>
      <c r="B81" s="73"/>
      <c r="C81" s="73"/>
      <c r="D81" s="73" t="s">
        <v>361</v>
      </c>
      <c r="E81" s="74">
        <v>7258659</v>
      </c>
      <c r="F81" s="75">
        <f>F89+F82</f>
        <v>101387</v>
      </c>
      <c r="G81" s="75">
        <f>G89+G82</f>
        <v>101387</v>
      </c>
      <c r="H81" s="75">
        <f t="shared" si="1"/>
        <v>7258659</v>
      </c>
      <c r="I81" s="47"/>
      <c r="J81" s="47"/>
      <c r="L81" s="47"/>
    </row>
    <row r="82" spans="1:12" s="130" customFormat="1" ht="19.5" customHeight="1">
      <c r="A82" s="81"/>
      <c r="B82" s="78">
        <v>75416</v>
      </c>
      <c r="C82" s="78"/>
      <c r="D82" s="429" t="s">
        <v>603</v>
      </c>
      <c r="E82" s="137">
        <v>5445000</v>
      </c>
      <c r="F82" s="137">
        <f>F83+F85</f>
        <v>52142</v>
      </c>
      <c r="G82" s="137">
        <f>G83+G85</f>
        <v>52142</v>
      </c>
      <c r="H82" s="137">
        <f t="shared" si="1"/>
        <v>5445000</v>
      </c>
      <c r="I82" s="138"/>
      <c r="J82" s="138"/>
      <c r="L82" s="138"/>
    </row>
    <row r="83" spans="1:12" s="130" customFormat="1" ht="19.5" customHeight="1">
      <c r="A83" s="206"/>
      <c r="B83" s="207"/>
      <c r="C83" s="207"/>
      <c r="D83" s="466" t="s">
        <v>601</v>
      </c>
      <c r="E83" s="909">
        <v>3750000</v>
      </c>
      <c r="F83" s="909">
        <f>F84</f>
        <v>52142</v>
      </c>
      <c r="G83" s="909"/>
      <c r="H83" s="909">
        <f t="shared" si="1"/>
        <v>3697858</v>
      </c>
      <c r="I83" s="138"/>
      <c r="J83" s="138"/>
      <c r="L83" s="138"/>
    </row>
    <row r="84" spans="1:12" s="156" customFormat="1" ht="19.5" customHeight="1">
      <c r="A84" s="227"/>
      <c r="B84" s="320"/>
      <c r="C84" s="320">
        <v>4010</v>
      </c>
      <c r="D84" s="896" t="s">
        <v>335</v>
      </c>
      <c r="E84" s="863">
        <v>3500000</v>
      </c>
      <c r="F84" s="863">
        <v>52142</v>
      </c>
      <c r="G84" s="863"/>
      <c r="H84" s="863">
        <f t="shared" si="1"/>
        <v>3447858</v>
      </c>
      <c r="I84" s="155"/>
      <c r="J84" s="155"/>
      <c r="L84" s="155"/>
    </row>
    <row r="85" spans="1:12" s="156" customFormat="1" ht="19.5" customHeight="1">
      <c r="A85" s="205"/>
      <c r="B85" s="214"/>
      <c r="C85" s="214"/>
      <c r="D85" s="66" t="s">
        <v>387</v>
      </c>
      <c r="E85" s="1204">
        <v>923086</v>
      </c>
      <c r="F85" s="1204"/>
      <c r="G85" s="1204">
        <f>SUM(G86:G88)</f>
        <v>52142</v>
      </c>
      <c r="H85" s="1204">
        <f t="shared" si="1"/>
        <v>975228</v>
      </c>
      <c r="I85" s="155"/>
      <c r="J85" s="155"/>
      <c r="L85" s="155"/>
    </row>
    <row r="86" spans="1:12" s="156" customFormat="1" ht="19.5" customHeight="1">
      <c r="A86" s="205"/>
      <c r="B86" s="169"/>
      <c r="C86" s="320">
        <v>3020</v>
      </c>
      <c r="D86" s="896" t="s">
        <v>736</v>
      </c>
      <c r="E86" s="863">
        <v>119600</v>
      </c>
      <c r="F86" s="863"/>
      <c r="G86" s="863">
        <f>30300+2142</f>
        <v>32442</v>
      </c>
      <c r="H86" s="863">
        <f t="shared" si="1"/>
        <v>152042</v>
      </c>
      <c r="I86" s="155"/>
      <c r="J86" s="155"/>
      <c r="L86" s="155"/>
    </row>
    <row r="87" spans="1:12" s="156" customFormat="1" ht="19.5" customHeight="1">
      <c r="A87" s="205"/>
      <c r="B87" s="169"/>
      <c r="C87" s="320">
        <v>4140</v>
      </c>
      <c r="D87" s="320" t="s">
        <v>318</v>
      </c>
      <c r="E87" s="940">
        <v>40422</v>
      </c>
      <c r="F87" s="940"/>
      <c r="G87" s="940">
        <v>15700</v>
      </c>
      <c r="H87" s="940">
        <f t="shared" si="1"/>
        <v>56122</v>
      </c>
      <c r="I87" s="155"/>
      <c r="J87" s="155"/>
      <c r="L87" s="155"/>
    </row>
    <row r="88" spans="1:12" ht="19.5" customHeight="1">
      <c r="A88" s="85"/>
      <c r="B88" s="320"/>
      <c r="C88" s="320">
        <v>4300</v>
      </c>
      <c r="D88" s="320" t="s">
        <v>384</v>
      </c>
      <c r="E88" s="940">
        <v>338840</v>
      </c>
      <c r="F88" s="940"/>
      <c r="G88" s="940">
        <v>4000</v>
      </c>
      <c r="H88" s="940">
        <f t="shared" si="1"/>
        <v>342840</v>
      </c>
      <c r="I88" s="47"/>
      <c r="J88" s="47"/>
      <c r="L88" s="47"/>
    </row>
    <row r="89" spans="1:12" s="130" customFormat="1" ht="19.5" customHeight="1">
      <c r="A89" s="81"/>
      <c r="B89" s="78">
        <v>75495</v>
      </c>
      <c r="C89" s="78"/>
      <c r="D89" s="78" t="s">
        <v>366</v>
      </c>
      <c r="E89" s="559">
        <v>978000</v>
      </c>
      <c r="F89" s="559">
        <f>F90</f>
        <v>49245</v>
      </c>
      <c r="G89" s="559">
        <f>G90</f>
        <v>49245</v>
      </c>
      <c r="H89" s="559">
        <f t="shared" si="1"/>
        <v>978000</v>
      </c>
      <c r="I89" s="138"/>
      <c r="J89" s="138"/>
      <c r="L89" s="138"/>
    </row>
    <row r="90" spans="1:12" s="130" customFormat="1" ht="19.5" customHeight="1">
      <c r="A90" s="80"/>
      <c r="B90" s="466"/>
      <c r="C90" s="466"/>
      <c r="D90" s="210" t="s">
        <v>791</v>
      </c>
      <c r="E90" s="524">
        <v>200000</v>
      </c>
      <c r="F90" s="524">
        <f>F91+F92+F94+F96</f>
        <v>49245</v>
      </c>
      <c r="G90" s="524">
        <f>G91+G92+G94+G96</f>
        <v>49245</v>
      </c>
      <c r="H90" s="524">
        <f t="shared" si="1"/>
        <v>200000</v>
      </c>
      <c r="I90" s="138"/>
      <c r="J90" s="138"/>
      <c r="L90" s="138"/>
    </row>
    <row r="91" spans="1:12" s="158" customFormat="1" ht="19.5" customHeight="1">
      <c r="A91" s="204"/>
      <c r="B91" s="81"/>
      <c r="C91" s="82">
        <v>4210</v>
      </c>
      <c r="D91" s="82" t="s">
        <v>383</v>
      </c>
      <c r="E91" s="84">
        <v>10000</v>
      </c>
      <c r="F91" s="84"/>
      <c r="G91" s="84">
        <v>3245</v>
      </c>
      <c r="H91" s="84">
        <f t="shared" si="1"/>
        <v>13245</v>
      </c>
      <c r="I91" s="157"/>
      <c r="J91" s="157"/>
      <c r="L91" s="157"/>
    </row>
    <row r="92" spans="1:12" s="158" customFormat="1" ht="19.5" customHeight="1">
      <c r="A92" s="204"/>
      <c r="B92" s="81"/>
      <c r="C92" s="82">
        <v>4300</v>
      </c>
      <c r="D92" s="528" t="s">
        <v>384</v>
      </c>
      <c r="E92" s="84">
        <v>57000</v>
      </c>
      <c r="F92" s="84">
        <f>9245+40000</f>
        <v>49245</v>
      </c>
      <c r="G92" s="84"/>
      <c r="H92" s="84">
        <f t="shared" si="1"/>
        <v>7755</v>
      </c>
      <c r="I92" s="157"/>
      <c r="J92" s="157"/>
      <c r="L92" s="157"/>
    </row>
    <row r="93" spans="1:12" ht="19.5" customHeight="1">
      <c r="A93" s="85"/>
      <c r="B93" s="85"/>
      <c r="C93" s="85"/>
      <c r="D93" s="1104" t="s">
        <v>542</v>
      </c>
      <c r="E93" s="773">
        <v>110000</v>
      </c>
      <c r="F93" s="1102"/>
      <c r="G93" s="1102">
        <v>40000</v>
      </c>
      <c r="H93" s="1102">
        <f t="shared" si="1"/>
        <v>150000</v>
      </c>
      <c r="I93" s="47"/>
      <c r="J93" s="47"/>
      <c r="L93" s="47"/>
    </row>
    <row r="94" spans="1:12" ht="19.5" customHeight="1">
      <c r="A94" s="85"/>
      <c r="B94" s="85"/>
      <c r="C94" s="105">
        <v>6050</v>
      </c>
      <c r="D94" s="82" t="s">
        <v>599</v>
      </c>
      <c r="E94" s="918">
        <v>110000</v>
      </c>
      <c r="F94" s="1103"/>
      <c r="G94" s="1103">
        <f>G93</f>
        <v>40000</v>
      </c>
      <c r="H94" s="1103">
        <f t="shared" si="1"/>
        <v>150000</v>
      </c>
      <c r="I94" s="47"/>
      <c r="J94" s="47"/>
      <c r="L94" s="47"/>
    </row>
    <row r="95" spans="1:12" ht="19.5" customHeight="1">
      <c r="A95" s="85"/>
      <c r="B95" s="85"/>
      <c r="C95" s="85"/>
      <c r="D95" s="1104" t="s">
        <v>306</v>
      </c>
      <c r="E95" s="773">
        <v>5000</v>
      </c>
      <c r="F95" s="1102"/>
      <c r="G95" s="1102">
        <v>6000</v>
      </c>
      <c r="H95" s="1102">
        <f t="shared" si="1"/>
        <v>11000</v>
      </c>
      <c r="I95" s="47"/>
      <c r="J95" s="47"/>
      <c r="L95" s="47"/>
    </row>
    <row r="96" spans="1:12" ht="19.5" customHeight="1">
      <c r="A96" s="85"/>
      <c r="B96" s="85"/>
      <c r="C96" s="68">
        <v>6060</v>
      </c>
      <c r="D96" s="82" t="s">
        <v>420</v>
      </c>
      <c r="E96" s="918">
        <v>5000</v>
      </c>
      <c r="F96" s="1103"/>
      <c r="G96" s="1103">
        <f>G95</f>
        <v>6000</v>
      </c>
      <c r="H96" s="1103">
        <f t="shared" si="1"/>
        <v>11000</v>
      </c>
      <c r="I96" s="47"/>
      <c r="J96" s="47"/>
      <c r="L96" s="47"/>
    </row>
    <row r="97" spans="1:12" ht="19.5" customHeight="1">
      <c r="A97" s="89">
        <v>758</v>
      </c>
      <c r="B97" s="89"/>
      <c r="C97" s="89"/>
      <c r="D97" s="89" t="s">
        <v>362</v>
      </c>
      <c r="E97" s="74">
        <v>7073552</v>
      </c>
      <c r="F97" s="75">
        <f>F98</f>
        <v>537856</v>
      </c>
      <c r="G97" s="75"/>
      <c r="H97" s="75">
        <f t="shared" si="1"/>
        <v>6535696</v>
      </c>
      <c r="I97" s="47"/>
      <c r="J97" s="47"/>
      <c r="L97" s="47"/>
    </row>
    <row r="98" spans="1:12" s="130" customFormat="1" ht="19.5" customHeight="1">
      <c r="A98" s="529"/>
      <c r="B98" s="77">
        <v>75818</v>
      </c>
      <c r="C98" s="77"/>
      <c r="D98" s="77" t="s">
        <v>363</v>
      </c>
      <c r="E98" s="137">
        <v>3857554</v>
      </c>
      <c r="F98" s="137">
        <f>F99+F101</f>
        <v>537856</v>
      </c>
      <c r="G98" s="137"/>
      <c r="H98" s="137">
        <f t="shared" si="1"/>
        <v>3319698</v>
      </c>
      <c r="I98" s="138"/>
      <c r="J98" s="138"/>
      <c r="L98" s="138"/>
    </row>
    <row r="99" spans="1:12" s="130" customFormat="1" ht="19.5" customHeight="1">
      <c r="A99" s="206"/>
      <c r="B99" s="214"/>
      <c r="C99" s="108"/>
      <c r="D99" s="101" t="s">
        <v>77</v>
      </c>
      <c r="E99" s="144">
        <v>1959959</v>
      </c>
      <c r="F99" s="144">
        <f>F100</f>
        <v>269066</v>
      </c>
      <c r="G99" s="144"/>
      <c r="H99" s="144">
        <f t="shared" si="1"/>
        <v>1690893</v>
      </c>
      <c r="I99" s="138"/>
      <c r="J99" s="138"/>
      <c r="L99" s="138"/>
    </row>
    <row r="100" spans="1:12" s="156" customFormat="1" ht="19.5" customHeight="1">
      <c r="A100" s="205"/>
      <c r="B100" s="169"/>
      <c r="C100" s="317">
        <v>4810</v>
      </c>
      <c r="D100" s="319" t="s">
        <v>385</v>
      </c>
      <c r="E100" s="154">
        <v>1959959</v>
      </c>
      <c r="F100" s="154">
        <f>59000+205066+5000</f>
        <v>269066</v>
      </c>
      <c r="G100" s="154"/>
      <c r="H100" s="154">
        <f t="shared" si="1"/>
        <v>1690893</v>
      </c>
      <c r="I100" s="155"/>
      <c r="J100" s="155"/>
      <c r="L100" s="155"/>
    </row>
    <row r="101" spans="1:12" s="130" customFormat="1" ht="25.5">
      <c r="A101" s="206"/>
      <c r="B101" s="214"/>
      <c r="C101" s="108"/>
      <c r="D101" s="101" t="s">
        <v>143</v>
      </c>
      <c r="E101" s="144">
        <v>268790</v>
      </c>
      <c r="F101" s="144">
        <f>F102</f>
        <v>268790</v>
      </c>
      <c r="G101" s="144"/>
      <c r="H101" s="144">
        <f t="shared" si="1"/>
        <v>0</v>
      </c>
      <c r="I101" s="138"/>
      <c r="J101" s="138"/>
      <c r="L101" s="138"/>
    </row>
    <row r="102" spans="1:12" s="156" customFormat="1" ht="19.5" customHeight="1">
      <c r="A102" s="205"/>
      <c r="B102" s="320"/>
      <c r="C102" s="317">
        <v>4810</v>
      </c>
      <c r="D102" s="319" t="s">
        <v>385</v>
      </c>
      <c r="E102" s="154">
        <v>268790</v>
      </c>
      <c r="F102" s="154">
        <v>268790</v>
      </c>
      <c r="G102" s="154"/>
      <c r="H102" s="154">
        <f t="shared" si="1"/>
        <v>0</v>
      </c>
      <c r="I102" s="155"/>
      <c r="J102" s="155"/>
      <c r="L102" s="155"/>
    </row>
    <row r="103" spans="1:12" ht="18.75" customHeight="1">
      <c r="A103" s="72">
        <v>801</v>
      </c>
      <c r="B103" s="89"/>
      <c r="C103" s="73"/>
      <c r="D103" s="92" t="s">
        <v>367</v>
      </c>
      <c r="E103" s="74">
        <v>352544826</v>
      </c>
      <c r="F103" s="75">
        <f>F104+F134+F142+F151+F161+F169+F180+F188+F191+F202+F211+F221+F227+F242+F249+F257+F265</f>
        <v>1880084</v>
      </c>
      <c r="G103" s="75">
        <f>G104+G134+G142+G151+G161+G169+G180+G188+G191+G202+G211+G221+G227+G242+G249+G257+G265</f>
        <v>2334548</v>
      </c>
      <c r="H103" s="75">
        <f t="shared" si="1"/>
        <v>352999290</v>
      </c>
      <c r="I103" s="47"/>
      <c r="J103" s="47"/>
      <c r="L103" s="47"/>
    </row>
    <row r="104" spans="1:12" s="95" customFormat="1" ht="18.75" customHeight="1">
      <c r="A104" s="76"/>
      <c r="B104" s="78">
        <v>80101</v>
      </c>
      <c r="C104" s="78"/>
      <c r="D104" s="78" t="s">
        <v>706</v>
      </c>
      <c r="E104" s="559">
        <v>99502238</v>
      </c>
      <c r="F104" s="523">
        <f>F105+F107+F115+F118+F128+F122+F126</f>
        <v>596999</v>
      </c>
      <c r="G104" s="523">
        <f>G105+G107+G115+G118+G128+G122+G126</f>
        <v>473613</v>
      </c>
      <c r="H104" s="523">
        <f t="shared" si="1"/>
        <v>99378852</v>
      </c>
      <c r="I104" s="138"/>
      <c r="J104" s="138"/>
      <c r="L104" s="94"/>
    </row>
    <row r="105" spans="1:12" s="95" customFormat="1" ht="18.75" customHeight="1">
      <c r="A105" s="80"/>
      <c r="B105" s="66"/>
      <c r="C105" s="466"/>
      <c r="D105" s="537" t="s">
        <v>57</v>
      </c>
      <c r="E105" s="143">
        <v>57937420</v>
      </c>
      <c r="F105" s="560">
        <f>SUM(F106)</f>
        <v>198096</v>
      </c>
      <c r="G105" s="560"/>
      <c r="H105" s="560">
        <f t="shared" si="1"/>
        <v>57739324</v>
      </c>
      <c r="I105" s="138"/>
      <c r="J105" s="138"/>
      <c r="L105" s="94"/>
    </row>
    <row r="106" spans="1:12" s="95" customFormat="1" ht="18.75" customHeight="1">
      <c r="A106" s="80"/>
      <c r="B106" s="66"/>
      <c r="C106" s="82">
        <v>4010</v>
      </c>
      <c r="D106" s="534" t="s">
        <v>335</v>
      </c>
      <c r="E106" s="418">
        <v>53767392</v>
      </c>
      <c r="F106" s="322">
        <v>198096</v>
      </c>
      <c r="G106" s="322"/>
      <c r="H106" s="418">
        <f t="shared" si="1"/>
        <v>53569296</v>
      </c>
      <c r="I106" s="138"/>
      <c r="J106" s="138"/>
      <c r="L106" s="94"/>
    </row>
    <row r="107" spans="1:12" s="95" customFormat="1" ht="18.75" customHeight="1">
      <c r="A107" s="80"/>
      <c r="B107" s="66"/>
      <c r="C107" s="466"/>
      <c r="D107" s="537" t="s">
        <v>387</v>
      </c>
      <c r="E107" s="143">
        <v>12488462</v>
      </c>
      <c r="F107" s="560">
        <f>SUM(F108:F114)</f>
        <v>49187</v>
      </c>
      <c r="G107" s="560">
        <f>SUM(G108:G114)</f>
        <v>88099</v>
      </c>
      <c r="H107" s="560">
        <f t="shared" si="1"/>
        <v>12527374</v>
      </c>
      <c r="I107" s="138"/>
      <c r="J107" s="138"/>
      <c r="L107" s="94"/>
    </row>
    <row r="108" spans="1:12" s="557" customFormat="1" ht="18.75" customHeight="1">
      <c r="A108" s="205"/>
      <c r="B108" s="169"/>
      <c r="C108" s="320">
        <v>3020</v>
      </c>
      <c r="D108" s="321" t="s">
        <v>736</v>
      </c>
      <c r="E108" s="418">
        <v>225790</v>
      </c>
      <c r="F108" s="322">
        <v>1900</v>
      </c>
      <c r="G108" s="322"/>
      <c r="H108" s="322">
        <f t="shared" si="1"/>
        <v>223890</v>
      </c>
      <c r="I108" s="155"/>
      <c r="J108" s="155"/>
      <c r="L108" s="558"/>
    </row>
    <row r="109" spans="1:12" s="557" customFormat="1" ht="18.75" customHeight="1">
      <c r="A109" s="205"/>
      <c r="B109" s="169"/>
      <c r="C109" s="320">
        <v>4210</v>
      </c>
      <c r="D109" s="321" t="s">
        <v>383</v>
      </c>
      <c r="E109" s="418">
        <v>1239887</v>
      </c>
      <c r="F109" s="322"/>
      <c r="G109" s="322">
        <v>40000</v>
      </c>
      <c r="H109" s="322">
        <f t="shared" si="1"/>
        <v>1279887</v>
      </c>
      <c r="I109" s="155"/>
      <c r="J109" s="155"/>
      <c r="L109" s="558"/>
    </row>
    <row r="110" spans="1:12" s="95" customFormat="1" ht="18.75" customHeight="1">
      <c r="A110" s="80"/>
      <c r="B110" s="66"/>
      <c r="C110" s="82">
        <v>4260</v>
      </c>
      <c r="D110" s="534" t="s">
        <v>464</v>
      </c>
      <c r="E110" s="418">
        <v>4661366</v>
      </c>
      <c r="F110" s="322">
        <f>126093-80190</f>
        <v>45903</v>
      </c>
      <c r="G110" s="322"/>
      <c r="H110" s="418">
        <f t="shared" si="1"/>
        <v>4615463</v>
      </c>
      <c r="I110" s="138"/>
      <c r="J110" s="138"/>
      <c r="L110" s="94"/>
    </row>
    <row r="111" spans="1:12" s="561" customFormat="1" ht="18.75" customHeight="1">
      <c r="A111" s="204"/>
      <c r="B111" s="81"/>
      <c r="C111" s="82">
        <v>4270</v>
      </c>
      <c r="D111" s="534" t="s">
        <v>859</v>
      </c>
      <c r="E111" s="764">
        <v>1408480</v>
      </c>
      <c r="F111" s="765"/>
      <c r="G111" s="765">
        <f>64850+3249-20000</f>
        <v>48099</v>
      </c>
      <c r="H111" s="765">
        <f t="shared" si="1"/>
        <v>1456579</v>
      </c>
      <c r="I111" s="1260"/>
      <c r="J111" s="157"/>
      <c r="L111" s="562"/>
    </row>
    <row r="112" spans="1:12" s="561" customFormat="1" ht="18.75" customHeight="1">
      <c r="A112" s="204"/>
      <c r="B112" s="81"/>
      <c r="C112" s="937">
        <v>4350</v>
      </c>
      <c r="D112" s="904" t="s">
        <v>79</v>
      </c>
      <c r="E112" s="764">
        <v>90137</v>
      </c>
      <c r="F112" s="765">
        <v>549</v>
      </c>
      <c r="G112" s="953"/>
      <c r="H112" s="953">
        <f t="shared" si="1"/>
        <v>89588</v>
      </c>
      <c r="I112" s="157"/>
      <c r="J112" s="157"/>
      <c r="L112" s="562"/>
    </row>
    <row r="113" spans="1:12" s="561" customFormat="1" ht="18.75" customHeight="1">
      <c r="A113" s="204"/>
      <c r="B113" s="81"/>
      <c r="C113" s="937">
        <v>4410</v>
      </c>
      <c r="D113" s="904" t="s">
        <v>468</v>
      </c>
      <c r="E113" s="764">
        <v>49307</v>
      </c>
      <c r="F113" s="765">
        <v>800</v>
      </c>
      <c r="G113" s="765"/>
      <c r="H113" s="953">
        <f t="shared" si="1"/>
        <v>48507</v>
      </c>
      <c r="I113" s="157"/>
      <c r="J113" s="157"/>
      <c r="L113" s="562"/>
    </row>
    <row r="114" spans="1:12" s="561" customFormat="1" ht="18.75" customHeight="1">
      <c r="A114" s="540"/>
      <c r="B114" s="82"/>
      <c r="C114" s="317">
        <v>4440</v>
      </c>
      <c r="D114" s="319" t="s">
        <v>56</v>
      </c>
      <c r="E114" s="418">
        <v>3453400</v>
      </c>
      <c r="F114" s="322">
        <v>35</v>
      </c>
      <c r="G114" s="322"/>
      <c r="H114" s="765">
        <f t="shared" si="1"/>
        <v>3453365</v>
      </c>
      <c r="I114" s="157"/>
      <c r="J114" s="157"/>
      <c r="L114" s="562"/>
    </row>
    <row r="115" spans="1:12" s="95" customFormat="1" ht="18.75" customHeight="1">
      <c r="A115" s="80"/>
      <c r="B115" s="66"/>
      <c r="C115" s="66"/>
      <c r="D115" s="618" t="s">
        <v>413</v>
      </c>
      <c r="E115" s="865">
        <v>11227010</v>
      </c>
      <c r="F115" s="619"/>
      <c r="G115" s="619">
        <f>SUM(G116:G117)</f>
        <v>49645</v>
      </c>
      <c r="H115" s="619">
        <f t="shared" si="1"/>
        <v>11276655</v>
      </c>
      <c r="I115" s="138"/>
      <c r="J115" s="138"/>
      <c r="L115" s="94"/>
    </row>
    <row r="116" spans="1:12" s="95" customFormat="1" ht="18.75" customHeight="1">
      <c r="A116" s="80"/>
      <c r="B116" s="66"/>
      <c r="C116" s="82">
        <v>4110</v>
      </c>
      <c r="D116" s="534" t="s">
        <v>462</v>
      </c>
      <c r="E116" s="418">
        <v>9881280</v>
      </c>
      <c r="F116" s="322"/>
      <c r="G116" s="322">
        <f>236697-202323</f>
        <v>34374</v>
      </c>
      <c r="H116" s="418">
        <f t="shared" si="1"/>
        <v>9915654</v>
      </c>
      <c r="I116" s="138"/>
      <c r="J116" s="138"/>
      <c r="L116" s="94"/>
    </row>
    <row r="117" spans="1:12" s="561" customFormat="1" ht="18.75" customHeight="1">
      <c r="A117" s="204"/>
      <c r="B117" s="81"/>
      <c r="C117" s="82">
        <v>4120</v>
      </c>
      <c r="D117" s="534" t="s">
        <v>463</v>
      </c>
      <c r="E117" s="764">
        <v>1345730</v>
      </c>
      <c r="F117" s="764"/>
      <c r="G117" s="764">
        <f>36600-21329</f>
        <v>15271</v>
      </c>
      <c r="H117" s="765">
        <f t="shared" si="1"/>
        <v>1361001</v>
      </c>
      <c r="I117" s="157"/>
      <c r="J117" s="157"/>
      <c r="L117" s="562"/>
    </row>
    <row r="118" spans="1:12" s="95" customFormat="1" ht="18.75" customHeight="1">
      <c r="A118" s="80"/>
      <c r="B118" s="66"/>
      <c r="C118" s="466"/>
      <c r="D118" s="537" t="s">
        <v>55</v>
      </c>
      <c r="E118" s="143">
        <v>404730</v>
      </c>
      <c r="F118" s="560">
        <f>SUM(F119:F121)</f>
        <v>2916</v>
      </c>
      <c r="G118" s="560">
        <f>SUM(G119:G121)</f>
        <v>195</v>
      </c>
      <c r="H118" s="560">
        <f t="shared" si="1"/>
        <v>402009</v>
      </c>
      <c r="I118" s="138"/>
      <c r="J118" s="138"/>
      <c r="L118" s="94"/>
    </row>
    <row r="119" spans="1:12" s="95" customFormat="1" ht="18.75" customHeight="1">
      <c r="A119" s="80"/>
      <c r="B119" s="66"/>
      <c r="C119" s="317">
        <v>4010</v>
      </c>
      <c r="D119" s="319" t="s">
        <v>335</v>
      </c>
      <c r="E119" s="418">
        <v>294456</v>
      </c>
      <c r="F119" s="322">
        <f>10776-8660</f>
        <v>2116</v>
      </c>
      <c r="G119" s="322"/>
      <c r="H119" s="418">
        <f t="shared" si="1"/>
        <v>292340</v>
      </c>
      <c r="I119" s="138"/>
      <c r="J119" s="138"/>
      <c r="L119" s="94"/>
    </row>
    <row r="120" spans="1:12" s="95" customFormat="1" ht="18.75" customHeight="1">
      <c r="A120" s="80"/>
      <c r="B120" s="66"/>
      <c r="C120" s="317">
        <v>4110</v>
      </c>
      <c r="D120" s="319" t="s">
        <v>462</v>
      </c>
      <c r="E120" s="764">
        <v>58070</v>
      </c>
      <c r="F120" s="765">
        <f>3990-3190</f>
        <v>800</v>
      </c>
      <c r="G120" s="765"/>
      <c r="H120" s="418">
        <f t="shared" si="1"/>
        <v>57270</v>
      </c>
      <c r="I120" s="138"/>
      <c r="J120" s="138"/>
      <c r="L120" s="94"/>
    </row>
    <row r="121" spans="1:12" s="95" customFormat="1" ht="18.75" customHeight="1">
      <c r="A121" s="80"/>
      <c r="B121" s="66"/>
      <c r="C121" s="937">
        <v>4120</v>
      </c>
      <c r="D121" s="904" t="s">
        <v>463</v>
      </c>
      <c r="E121" s="764">
        <v>7690</v>
      </c>
      <c r="F121" s="765"/>
      <c r="G121" s="765">
        <f>410-215</f>
        <v>195</v>
      </c>
      <c r="H121" s="764">
        <f t="shared" si="1"/>
        <v>7885</v>
      </c>
      <c r="I121" s="138"/>
      <c r="J121" s="138"/>
      <c r="L121" s="94"/>
    </row>
    <row r="122" spans="1:12" s="95" customFormat="1" ht="25.5">
      <c r="A122" s="80"/>
      <c r="B122" s="66"/>
      <c r="C122" s="466"/>
      <c r="D122" s="536" t="s">
        <v>543</v>
      </c>
      <c r="E122" s="143"/>
      <c r="F122" s="560"/>
      <c r="G122" s="560">
        <f>SUM(G123:G125)</f>
        <v>184212</v>
      </c>
      <c r="H122" s="560">
        <f t="shared" si="1"/>
        <v>184212</v>
      </c>
      <c r="I122" s="138"/>
      <c r="J122" s="138"/>
      <c r="L122" s="94"/>
    </row>
    <row r="123" spans="1:12" s="557" customFormat="1" ht="18.75" customHeight="1">
      <c r="A123" s="205"/>
      <c r="B123" s="169"/>
      <c r="C123" s="320">
        <v>4010</v>
      </c>
      <c r="D123" s="321" t="s">
        <v>335</v>
      </c>
      <c r="E123" s="418"/>
      <c r="F123" s="322"/>
      <c r="G123" s="322">
        <v>153614</v>
      </c>
      <c r="H123" s="322">
        <f t="shared" si="1"/>
        <v>153614</v>
      </c>
      <c r="I123" s="155"/>
      <c r="J123" s="155"/>
      <c r="L123" s="558"/>
    </row>
    <row r="124" spans="1:12" s="557" customFormat="1" ht="18.75" customHeight="1">
      <c r="A124" s="205"/>
      <c r="B124" s="169"/>
      <c r="C124" s="320">
        <v>4110</v>
      </c>
      <c r="D124" s="321" t="s">
        <v>462</v>
      </c>
      <c r="E124" s="418"/>
      <c r="F124" s="322"/>
      <c r="G124" s="322">
        <v>26837</v>
      </c>
      <c r="H124" s="322">
        <f t="shared" si="1"/>
        <v>26837</v>
      </c>
      <c r="I124" s="155"/>
      <c r="J124" s="155"/>
      <c r="L124" s="558"/>
    </row>
    <row r="125" spans="1:12" s="95" customFormat="1" ht="18.75" customHeight="1">
      <c r="A125" s="80"/>
      <c r="B125" s="66"/>
      <c r="C125" s="82">
        <v>4120</v>
      </c>
      <c r="D125" s="534" t="s">
        <v>463</v>
      </c>
      <c r="E125" s="418"/>
      <c r="F125" s="322"/>
      <c r="G125" s="322">
        <v>3761</v>
      </c>
      <c r="H125" s="418">
        <f t="shared" si="1"/>
        <v>3761</v>
      </c>
      <c r="I125" s="138"/>
      <c r="J125" s="138"/>
      <c r="L125" s="94"/>
    </row>
    <row r="126" spans="1:12" s="95" customFormat="1" ht="18.75" customHeight="1">
      <c r="A126" s="80"/>
      <c r="B126" s="66"/>
      <c r="C126" s="466"/>
      <c r="D126" s="537" t="s">
        <v>122</v>
      </c>
      <c r="E126" s="143">
        <v>1058000</v>
      </c>
      <c r="F126" s="560"/>
      <c r="G126" s="560">
        <f>G127</f>
        <v>1462</v>
      </c>
      <c r="H126" s="560">
        <f t="shared" si="1"/>
        <v>1059462</v>
      </c>
      <c r="I126" s="138"/>
      <c r="J126" s="138"/>
      <c r="L126" s="94"/>
    </row>
    <row r="127" spans="1:12" s="95" customFormat="1" ht="25.5">
      <c r="A127" s="80"/>
      <c r="B127" s="66"/>
      <c r="C127" s="317">
        <v>2540</v>
      </c>
      <c r="D127" s="319" t="s">
        <v>424</v>
      </c>
      <c r="E127" s="154">
        <v>1058000</v>
      </c>
      <c r="F127" s="636"/>
      <c r="G127" s="636">
        <v>1462</v>
      </c>
      <c r="H127" s="152">
        <f t="shared" si="1"/>
        <v>1059462</v>
      </c>
      <c r="I127" s="138"/>
      <c r="J127" s="138"/>
      <c r="L127" s="94"/>
    </row>
    <row r="128" spans="1:12" s="95" customFormat="1" ht="18.75" customHeight="1">
      <c r="A128" s="80"/>
      <c r="B128" s="66"/>
      <c r="C128" s="66"/>
      <c r="D128" s="618" t="s">
        <v>604</v>
      </c>
      <c r="E128" s="865">
        <v>16317143</v>
      </c>
      <c r="F128" s="619">
        <f>F133</f>
        <v>346800</v>
      </c>
      <c r="G128" s="619">
        <f>G133</f>
        <v>150000</v>
      </c>
      <c r="H128" s="619">
        <f t="shared" si="1"/>
        <v>16120343</v>
      </c>
      <c r="I128" s="138"/>
      <c r="J128" s="138"/>
      <c r="L128" s="94"/>
    </row>
    <row r="129" spans="1:12" s="557" customFormat="1" ht="18.75" customHeight="1">
      <c r="A129" s="205"/>
      <c r="B129" s="169"/>
      <c r="C129" s="169"/>
      <c r="D129" s="722" t="s">
        <v>492</v>
      </c>
      <c r="E129" s="783">
        <v>4200000</v>
      </c>
      <c r="F129" s="912">
        <v>130000</v>
      </c>
      <c r="G129" s="912"/>
      <c r="H129" s="912">
        <f t="shared" si="1"/>
        <v>4070000</v>
      </c>
      <c r="I129" s="155"/>
      <c r="J129" s="155"/>
      <c r="L129" s="558"/>
    </row>
    <row r="130" spans="1:12" s="557" customFormat="1" ht="18.75" customHeight="1">
      <c r="A130" s="205"/>
      <c r="B130" s="169"/>
      <c r="C130" s="169"/>
      <c r="D130" s="554" t="s">
        <v>555</v>
      </c>
      <c r="E130" s="461">
        <v>4849991</v>
      </c>
      <c r="F130" s="711"/>
      <c r="G130" s="711">
        <v>150000</v>
      </c>
      <c r="H130" s="711">
        <f t="shared" si="1"/>
        <v>4999991</v>
      </c>
      <c r="I130" s="155"/>
      <c r="J130" s="155"/>
      <c r="L130" s="558"/>
    </row>
    <row r="131" spans="1:12" s="557" customFormat="1" ht="18.75" customHeight="1">
      <c r="A131" s="205"/>
      <c r="B131" s="169"/>
      <c r="C131" s="169"/>
      <c r="D131" s="1016" t="s">
        <v>315</v>
      </c>
      <c r="E131" s="461">
        <v>200000</v>
      </c>
      <c r="F131" s="711">
        <f>95000+64850</f>
        <v>159850</v>
      </c>
      <c r="G131" s="711"/>
      <c r="H131" s="711">
        <f t="shared" si="1"/>
        <v>40150</v>
      </c>
      <c r="I131" s="155"/>
      <c r="J131" s="155"/>
      <c r="L131" s="558"/>
    </row>
    <row r="132" spans="1:12" s="557" customFormat="1" ht="18.75" customHeight="1">
      <c r="A132" s="205"/>
      <c r="B132" s="169"/>
      <c r="C132" s="169"/>
      <c r="D132" s="1210" t="s">
        <v>862</v>
      </c>
      <c r="E132" s="1019">
        <v>2942152</v>
      </c>
      <c r="F132" s="1020">
        <f>56950</f>
        <v>56950</v>
      </c>
      <c r="G132" s="1020"/>
      <c r="H132" s="1020">
        <f t="shared" si="1"/>
        <v>2885202</v>
      </c>
      <c r="I132" s="155"/>
      <c r="J132" s="155"/>
      <c r="L132" s="558"/>
    </row>
    <row r="133" spans="1:12" s="95" customFormat="1" ht="18.75" customHeight="1">
      <c r="A133" s="80"/>
      <c r="B133" s="69"/>
      <c r="C133" s="317">
        <v>6050</v>
      </c>
      <c r="D133" s="319" t="s">
        <v>599</v>
      </c>
      <c r="E133" s="418">
        <v>16317143</v>
      </c>
      <c r="F133" s="322">
        <f>SUM(F129:F132)</f>
        <v>346800</v>
      </c>
      <c r="G133" s="322">
        <f>SUM(G129:G132)</f>
        <v>150000</v>
      </c>
      <c r="H133" s="152">
        <f t="shared" si="1"/>
        <v>16120343</v>
      </c>
      <c r="I133" s="138"/>
      <c r="J133" s="138"/>
      <c r="L133" s="94"/>
    </row>
    <row r="134" spans="1:12" s="95" customFormat="1" ht="18.75" customHeight="1">
      <c r="A134" s="76"/>
      <c r="B134" s="78">
        <v>80102</v>
      </c>
      <c r="C134" s="78"/>
      <c r="D134" s="78" t="s">
        <v>809</v>
      </c>
      <c r="E134" s="559">
        <v>6239837</v>
      </c>
      <c r="F134" s="523"/>
      <c r="G134" s="523">
        <f>G135+G137+G139</f>
        <v>392863</v>
      </c>
      <c r="H134" s="523">
        <f t="shared" si="1"/>
        <v>6632700</v>
      </c>
      <c r="I134" s="138"/>
      <c r="J134" s="138"/>
      <c r="L134" s="94"/>
    </row>
    <row r="135" spans="1:12" s="95" customFormat="1" ht="18.75" customHeight="1">
      <c r="A135" s="80"/>
      <c r="B135" s="66"/>
      <c r="C135" s="466"/>
      <c r="D135" s="537" t="s">
        <v>57</v>
      </c>
      <c r="E135" s="143">
        <v>4824200</v>
      </c>
      <c r="F135" s="560"/>
      <c r="G135" s="560">
        <f>G136</f>
        <v>294640</v>
      </c>
      <c r="H135" s="560">
        <f t="shared" si="1"/>
        <v>5118840</v>
      </c>
      <c r="I135" s="138"/>
      <c r="J135" s="138"/>
      <c r="L135" s="94"/>
    </row>
    <row r="136" spans="1:12" s="95" customFormat="1" ht="18.75" customHeight="1">
      <c r="A136" s="80"/>
      <c r="B136" s="66"/>
      <c r="C136" s="82">
        <v>4010</v>
      </c>
      <c r="D136" s="534" t="s">
        <v>335</v>
      </c>
      <c r="E136" s="418">
        <v>4465346</v>
      </c>
      <c r="F136" s="322"/>
      <c r="G136" s="322">
        <f>494640-200000</f>
        <v>294640</v>
      </c>
      <c r="H136" s="418">
        <f t="shared" si="1"/>
        <v>4759986</v>
      </c>
      <c r="I136" s="138"/>
      <c r="J136" s="138"/>
      <c r="L136" s="94"/>
    </row>
    <row r="137" spans="1:12" s="95" customFormat="1" ht="18.75" customHeight="1">
      <c r="A137" s="80"/>
      <c r="B137" s="66"/>
      <c r="C137" s="466"/>
      <c r="D137" s="537" t="s">
        <v>387</v>
      </c>
      <c r="E137" s="143">
        <v>493400</v>
      </c>
      <c r="F137" s="560"/>
      <c r="G137" s="560">
        <f>G138</f>
        <v>6500</v>
      </c>
      <c r="H137" s="560">
        <f t="shared" si="1"/>
        <v>499900</v>
      </c>
      <c r="I137" s="138"/>
      <c r="J137" s="138"/>
      <c r="L137" s="94"/>
    </row>
    <row r="138" spans="1:12" s="557" customFormat="1" ht="18.75" customHeight="1">
      <c r="A138" s="205"/>
      <c r="B138" s="169"/>
      <c r="C138" s="320">
        <v>4260</v>
      </c>
      <c r="D138" s="321" t="s">
        <v>464</v>
      </c>
      <c r="E138" s="418">
        <v>116000</v>
      </c>
      <c r="F138" s="322"/>
      <c r="G138" s="322">
        <v>6500</v>
      </c>
      <c r="H138" s="322">
        <f t="shared" si="1"/>
        <v>122500</v>
      </c>
      <c r="I138" s="155"/>
      <c r="J138" s="155"/>
      <c r="L138" s="558"/>
    </row>
    <row r="139" spans="1:12" s="95" customFormat="1" ht="18.75" customHeight="1">
      <c r="A139" s="80"/>
      <c r="B139" s="66"/>
      <c r="C139" s="466"/>
      <c r="D139" s="537" t="s">
        <v>413</v>
      </c>
      <c r="E139" s="143">
        <v>922237</v>
      </c>
      <c r="F139" s="560"/>
      <c r="G139" s="560">
        <f>SUM(G140:G141)</f>
        <v>91723</v>
      </c>
      <c r="H139" s="560">
        <f t="shared" si="1"/>
        <v>1013960</v>
      </c>
      <c r="I139" s="138"/>
      <c r="J139" s="138"/>
      <c r="L139" s="94"/>
    </row>
    <row r="140" spans="1:12" s="557" customFormat="1" ht="18.75" customHeight="1">
      <c r="A140" s="205"/>
      <c r="B140" s="169"/>
      <c r="C140" s="320">
        <v>4110</v>
      </c>
      <c r="D140" s="321" t="s">
        <v>462</v>
      </c>
      <c r="E140" s="418">
        <v>811137</v>
      </c>
      <c r="F140" s="322"/>
      <c r="G140" s="322">
        <f>119700-39837</f>
        <v>79863</v>
      </c>
      <c r="H140" s="322">
        <f t="shared" si="1"/>
        <v>891000</v>
      </c>
      <c r="I140" s="155"/>
      <c r="J140" s="155"/>
      <c r="L140" s="558"/>
    </row>
    <row r="141" spans="1:12" s="557" customFormat="1" ht="18.75" customHeight="1">
      <c r="A141" s="205"/>
      <c r="B141" s="320"/>
      <c r="C141" s="320">
        <v>4120</v>
      </c>
      <c r="D141" s="321" t="s">
        <v>463</v>
      </c>
      <c r="E141" s="418">
        <v>111100</v>
      </c>
      <c r="F141" s="322"/>
      <c r="G141" s="322">
        <v>11860</v>
      </c>
      <c r="H141" s="322">
        <f aca="true" t="shared" si="2" ref="H141:H206">E141+G141-F141</f>
        <v>122960</v>
      </c>
      <c r="I141" s="155"/>
      <c r="J141" s="155"/>
      <c r="L141" s="558"/>
    </row>
    <row r="142" spans="1:12" s="95" customFormat="1" ht="18.75" customHeight="1">
      <c r="A142" s="76"/>
      <c r="B142" s="78">
        <v>80103</v>
      </c>
      <c r="C142" s="78"/>
      <c r="D142" s="78" t="s">
        <v>808</v>
      </c>
      <c r="E142" s="559">
        <v>1712730</v>
      </c>
      <c r="F142" s="523">
        <f>F143+F146+F148</f>
        <v>2340</v>
      </c>
      <c r="G142" s="523">
        <f>G143+G146+G148</f>
        <v>19206</v>
      </c>
      <c r="H142" s="523">
        <f t="shared" si="2"/>
        <v>1729596</v>
      </c>
      <c r="I142" s="138"/>
      <c r="J142" s="138"/>
      <c r="L142" s="94"/>
    </row>
    <row r="143" spans="1:12" s="95" customFormat="1" ht="18.75" customHeight="1">
      <c r="A143" s="80"/>
      <c r="B143" s="66"/>
      <c r="C143" s="466"/>
      <c r="D143" s="537" t="s">
        <v>57</v>
      </c>
      <c r="E143" s="143">
        <v>1287870</v>
      </c>
      <c r="F143" s="560"/>
      <c r="G143" s="560">
        <f>G144</f>
        <v>13434</v>
      </c>
      <c r="H143" s="560">
        <f t="shared" si="2"/>
        <v>1301304</v>
      </c>
      <c r="I143" s="138"/>
      <c r="J143" s="138"/>
      <c r="L143" s="94"/>
    </row>
    <row r="144" spans="1:12" s="95" customFormat="1" ht="18.75" customHeight="1">
      <c r="A144" s="80"/>
      <c r="B144" s="66"/>
      <c r="C144" s="81">
        <v>4010</v>
      </c>
      <c r="D144" s="563" t="s">
        <v>335</v>
      </c>
      <c r="E144" s="783">
        <v>1200971</v>
      </c>
      <c r="F144" s="912"/>
      <c r="G144" s="912">
        <f>56500-43066</f>
        <v>13434</v>
      </c>
      <c r="H144" s="783">
        <f t="shared" si="2"/>
        <v>1214405</v>
      </c>
      <c r="I144" s="138"/>
      <c r="J144" s="138"/>
      <c r="L144" s="94"/>
    </row>
    <row r="145" spans="1:12" s="95" customFormat="1" ht="15.75" customHeight="1">
      <c r="A145" s="1580"/>
      <c r="B145" s="1581"/>
      <c r="C145" s="1543"/>
      <c r="D145" s="1582"/>
      <c r="E145" s="1545"/>
      <c r="F145" s="1583"/>
      <c r="G145" s="1583"/>
      <c r="H145" s="1545"/>
      <c r="I145" s="138"/>
      <c r="J145" s="138"/>
      <c r="L145" s="94"/>
    </row>
    <row r="146" spans="1:12" s="95" customFormat="1" ht="18.75" customHeight="1">
      <c r="A146" s="80"/>
      <c r="B146" s="66"/>
      <c r="C146" s="66"/>
      <c r="D146" s="618" t="s">
        <v>387</v>
      </c>
      <c r="E146" s="865">
        <v>162900</v>
      </c>
      <c r="F146" s="619">
        <f>F147</f>
        <v>2340</v>
      </c>
      <c r="G146" s="619"/>
      <c r="H146" s="619">
        <f t="shared" si="2"/>
        <v>160560</v>
      </c>
      <c r="I146" s="138"/>
      <c r="J146" s="138"/>
      <c r="L146" s="94"/>
    </row>
    <row r="147" spans="1:12" s="557" customFormat="1" ht="18.75" customHeight="1">
      <c r="A147" s="205"/>
      <c r="B147" s="169"/>
      <c r="C147" s="320">
        <v>4260</v>
      </c>
      <c r="D147" s="321" t="s">
        <v>464</v>
      </c>
      <c r="E147" s="418">
        <v>21350</v>
      </c>
      <c r="F147" s="322">
        <v>2340</v>
      </c>
      <c r="G147" s="322"/>
      <c r="H147" s="322">
        <f t="shared" si="2"/>
        <v>19010</v>
      </c>
      <c r="I147" s="155"/>
      <c r="J147" s="155"/>
      <c r="L147" s="558"/>
    </row>
    <row r="148" spans="1:12" s="95" customFormat="1" ht="18.75" customHeight="1">
      <c r="A148" s="80"/>
      <c r="B148" s="66"/>
      <c r="C148" s="466"/>
      <c r="D148" s="537" t="s">
        <v>413</v>
      </c>
      <c r="E148" s="143">
        <v>261960</v>
      </c>
      <c r="F148" s="560"/>
      <c r="G148" s="560">
        <f>SUM(G149:G150)</f>
        <v>5772</v>
      </c>
      <c r="H148" s="560">
        <f t="shared" si="2"/>
        <v>267732</v>
      </c>
      <c r="I148" s="138"/>
      <c r="J148" s="138"/>
      <c r="L148" s="94"/>
    </row>
    <row r="149" spans="1:12" s="557" customFormat="1" ht="18.75" customHeight="1">
      <c r="A149" s="205"/>
      <c r="B149" s="169"/>
      <c r="C149" s="320">
        <v>4110</v>
      </c>
      <c r="D149" s="321" t="s">
        <v>462</v>
      </c>
      <c r="E149" s="418">
        <v>229780</v>
      </c>
      <c r="F149" s="322"/>
      <c r="G149" s="322">
        <f>15930-10337</f>
        <v>5593</v>
      </c>
      <c r="H149" s="322">
        <f t="shared" si="2"/>
        <v>235373</v>
      </c>
      <c r="I149" s="155"/>
      <c r="J149" s="155"/>
      <c r="L149" s="558"/>
    </row>
    <row r="150" spans="1:12" s="557" customFormat="1" ht="18.75" customHeight="1">
      <c r="A150" s="205"/>
      <c r="B150" s="169"/>
      <c r="C150" s="320">
        <v>4120</v>
      </c>
      <c r="D150" s="321" t="s">
        <v>463</v>
      </c>
      <c r="E150" s="418">
        <v>32180</v>
      </c>
      <c r="F150" s="322"/>
      <c r="G150" s="322">
        <f>1050-871</f>
        <v>179</v>
      </c>
      <c r="H150" s="322">
        <f t="shared" si="2"/>
        <v>32359</v>
      </c>
      <c r="I150" s="155"/>
      <c r="J150" s="155"/>
      <c r="L150" s="558"/>
    </row>
    <row r="151" spans="1:12" s="130" customFormat="1" ht="18.75" customHeight="1">
      <c r="A151" s="76"/>
      <c r="B151" s="77">
        <v>80104</v>
      </c>
      <c r="C151" s="77"/>
      <c r="D151" s="77" t="s">
        <v>415</v>
      </c>
      <c r="E151" s="137">
        <v>49650090</v>
      </c>
      <c r="F151" s="137">
        <f>F152</f>
        <v>15252</v>
      </c>
      <c r="G151" s="137">
        <f>G152</f>
        <v>163052</v>
      </c>
      <c r="H151" s="137">
        <f t="shared" si="2"/>
        <v>49797890</v>
      </c>
      <c r="I151" s="138"/>
      <c r="J151" s="138"/>
      <c r="L151" s="138"/>
    </row>
    <row r="152" spans="1:12" s="95" customFormat="1" ht="18.75" customHeight="1">
      <c r="A152" s="80"/>
      <c r="B152" s="66"/>
      <c r="C152" s="466"/>
      <c r="D152" s="537" t="s">
        <v>387</v>
      </c>
      <c r="E152" s="143">
        <v>6767334</v>
      </c>
      <c r="F152" s="560">
        <f>SUM(F153:F160)</f>
        <v>15252</v>
      </c>
      <c r="G152" s="560">
        <f>SUM(G153:G160)</f>
        <v>163052</v>
      </c>
      <c r="H152" s="560">
        <f t="shared" si="2"/>
        <v>6915134</v>
      </c>
      <c r="I152" s="138"/>
      <c r="J152" s="138"/>
      <c r="L152" s="94"/>
    </row>
    <row r="153" spans="1:12" s="95" customFormat="1" ht="23.25" customHeight="1">
      <c r="A153" s="80"/>
      <c r="B153" s="66"/>
      <c r="C153" s="317">
        <v>4140</v>
      </c>
      <c r="D153" s="319" t="s">
        <v>318</v>
      </c>
      <c r="E153" s="418">
        <v>91254</v>
      </c>
      <c r="F153" s="322">
        <v>9050</v>
      </c>
      <c r="G153" s="322"/>
      <c r="H153" s="152">
        <f t="shared" si="2"/>
        <v>82204</v>
      </c>
      <c r="I153" s="138"/>
      <c r="J153" s="138"/>
      <c r="L153" s="94"/>
    </row>
    <row r="154" spans="1:12" s="95" customFormat="1" ht="18.75" customHeight="1">
      <c r="A154" s="80"/>
      <c r="B154" s="66"/>
      <c r="C154" s="937">
        <v>4210</v>
      </c>
      <c r="D154" s="904" t="s">
        <v>383</v>
      </c>
      <c r="E154" s="764">
        <v>398844</v>
      </c>
      <c r="F154" s="765">
        <f>21661-15459</f>
        <v>6202</v>
      </c>
      <c r="G154" s="765"/>
      <c r="H154" s="579">
        <f t="shared" si="2"/>
        <v>392642</v>
      </c>
      <c r="I154" s="138"/>
      <c r="J154" s="138"/>
      <c r="L154" s="94"/>
    </row>
    <row r="155" spans="1:12" s="95" customFormat="1" ht="18.75" customHeight="1">
      <c r="A155" s="80"/>
      <c r="B155" s="66"/>
      <c r="C155" s="937">
        <v>4240</v>
      </c>
      <c r="D155" s="904" t="s">
        <v>711</v>
      </c>
      <c r="E155" s="764">
        <v>111757</v>
      </c>
      <c r="F155" s="765"/>
      <c r="G155" s="765">
        <v>450</v>
      </c>
      <c r="H155" s="579">
        <f t="shared" si="2"/>
        <v>112207</v>
      </c>
      <c r="I155" s="138"/>
      <c r="J155" s="138"/>
      <c r="L155" s="94"/>
    </row>
    <row r="156" spans="1:12" s="95" customFormat="1" ht="18.75" customHeight="1">
      <c r="A156" s="80"/>
      <c r="B156" s="66"/>
      <c r="C156" s="937">
        <v>4260</v>
      </c>
      <c r="D156" s="904" t="s">
        <v>464</v>
      </c>
      <c r="E156" s="764">
        <v>2258359</v>
      </c>
      <c r="F156" s="765"/>
      <c r="G156" s="765">
        <f>100000-5500</f>
        <v>94500</v>
      </c>
      <c r="H156" s="579">
        <f t="shared" si="2"/>
        <v>2352859</v>
      </c>
      <c r="I156" s="138"/>
      <c r="J156" s="138"/>
      <c r="L156" s="94"/>
    </row>
    <row r="157" spans="1:12" s="95" customFormat="1" ht="18.75" customHeight="1">
      <c r="A157" s="80"/>
      <c r="B157" s="66"/>
      <c r="C157" s="937">
        <v>4270</v>
      </c>
      <c r="D157" s="904" t="s">
        <v>416</v>
      </c>
      <c r="E157" s="764">
        <v>553008</v>
      </c>
      <c r="F157" s="765"/>
      <c r="G157" s="765">
        <f>26300+4569</f>
        <v>30869</v>
      </c>
      <c r="H157" s="764">
        <f t="shared" si="2"/>
        <v>583877</v>
      </c>
      <c r="I157" s="138"/>
      <c r="J157" s="138"/>
      <c r="L157" s="94"/>
    </row>
    <row r="158" spans="1:12" s="95" customFormat="1" ht="18.75" customHeight="1">
      <c r="A158" s="80"/>
      <c r="B158" s="66"/>
      <c r="C158" s="937">
        <v>4280</v>
      </c>
      <c r="D158" s="904" t="s">
        <v>465</v>
      </c>
      <c r="E158" s="764">
        <v>37349</v>
      </c>
      <c r="F158" s="765"/>
      <c r="G158" s="765">
        <v>2657</v>
      </c>
      <c r="H158" s="764">
        <f t="shared" si="2"/>
        <v>40006</v>
      </c>
      <c r="I158" s="138"/>
      <c r="J158" s="138"/>
      <c r="L158" s="94"/>
    </row>
    <row r="159" spans="1:12" s="95" customFormat="1" ht="18.75" customHeight="1">
      <c r="A159" s="80"/>
      <c r="B159" s="66"/>
      <c r="C159" s="317">
        <v>4300</v>
      </c>
      <c r="D159" s="319" t="s">
        <v>384</v>
      </c>
      <c r="E159" s="418">
        <v>1250134</v>
      </c>
      <c r="F159" s="322"/>
      <c r="G159" s="322">
        <f>114502-80024</f>
        <v>34478</v>
      </c>
      <c r="H159" s="418">
        <f t="shared" si="2"/>
        <v>1284612</v>
      </c>
      <c r="I159" s="138"/>
      <c r="J159" s="138"/>
      <c r="L159" s="94"/>
    </row>
    <row r="160" spans="1:12" s="95" customFormat="1" ht="18.75" customHeight="1">
      <c r="A160" s="80"/>
      <c r="B160" s="69"/>
      <c r="C160" s="937">
        <v>4410</v>
      </c>
      <c r="D160" s="904" t="s">
        <v>468</v>
      </c>
      <c r="E160" s="764">
        <v>20569</v>
      </c>
      <c r="F160" s="765"/>
      <c r="G160" s="765">
        <v>98</v>
      </c>
      <c r="H160" s="764">
        <f t="shared" si="2"/>
        <v>20667</v>
      </c>
      <c r="I160" s="138"/>
      <c r="J160" s="138"/>
      <c r="L160" s="94"/>
    </row>
    <row r="161" spans="1:12" s="95" customFormat="1" ht="18.75" customHeight="1">
      <c r="A161" s="76"/>
      <c r="B161" s="78">
        <v>80105</v>
      </c>
      <c r="C161" s="78"/>
      <c r="D161" s="78" t="s">
        <v>810</v>
      </c>
      <c r="E161" s="559">
        <v>1630000</v>
      </c>
      <c r="F161" s="523">
        <f>F162+F164+F166</f>
        <v>100</v>
      </c>
      <c r="G161" s="523">
        <f>G162+G164+G166</f>
        <v>78260</v>
      </c>
      <c r="H161" s="523">
        <f t="shared" si="2"/>
        <v>1708160</v>
      </c>
      <c r="I161" s="138"/>
      <c r="J161" s="138"/>
      <c r="L161" s="94"/>
    </row>
    <row r="162" spans="1:12" s="95" customFormat="1" ht="18.75" customHeight="1">
      <c r="A162" s="80"/>
      <c r="B162" s="66"/>
      <c r="C162" s="466"/>
      <c r="D162" s="537" t="s">
        <v>57</v>
      </c>
      <c r="E162" s="143">
        <v>1217900</v>
      </c>
      <c r="F162" s="560"/>
      <c r="G162" s="560">
        <f>G163</f>
        <v>49000</v>
      </c>
      <c r="H162" s="560">
        <f t="shared" si="2"/>
        <v>1266900</v>
      </c>
      <c r="I162" s="138"/>
      <c r="J162" s="138"/>
      <c r="L162" s="94"/>
    </row>
    <row r="163" spans="1:12" s="95" customFormat="1" ht="18.75" customHeight="1">
      <c r="A163" s="80"/>
      <c r="B163" s="66"/>
      <c r="C163" s="82">
        <v>4010</v>
      </c>
      <c r="D163" s="534" t="s">
        <v>335</v>
      </c>
      <c r="E163" s="418">
        <v>1127424</v>
      </c>
      <c r="F163" s="322"/>
      <c r="G163" s="322">
        <f>60000-11000</f>
        <v>49000</v>
      </c>
      <c r="H163" s="418">
        <f t="shared" si="2"/>
        <v>1176424</v>
      </c>
      <c r="I163" s="138"/>
      <c r="J163" s="138"/>
      <c r="L163" s="94"/>
    </row>
    <row r="164" spans="1:12" s="95" customFormat="1" ht="18.75" customHeight="1">
      <c r="A164" s="80"/>
      <c r="B164" s="66"/>
      <c r="C164" s="466"/>
      <c r="D164" s="537" t="s">
        <v>387</v>
      </c>
      <c r="E164" s="143">
        <v>185600</v>
      </c>
      <c r="F164" s="560">
        <f>F165</f>
        <v>100</v>
      </c>
      <c r="G164" s="560"/>
      <c r="H164" s="560">
        <f t="shared" si="2"/>
        <v>185500</v>
      </c>
      <c r="I164" s="138"/>
      <c r="J164" s="138"/>
      <c r="L164" s="94"/>
    </row>
    <row r="165" spans="1:12" s="557" customFormat="1" ht="18.75" customHeight="1">
      <c r="A165" s="205"/>
      <c r="B165" s="169"/>
      <c r="C165" s="320">
        <v>4260</v>
      </c>
      <c r="D165" s="321" t="s">
        <v>464</v>
      </c>
      <c r="E165" s="418">
        <v>56600</v>
      </c>
      <c r="F165" s="322">
        <v>100</v>
      </c>
      <c r="G165" s="322"/>
      <c r="H165" s="322">
        <f t="shared" si="2"/>
        <v>56500</v>
      </c>
      <c r="I165" s="155"/>
      <c r="J165" s="155"/>
      <c r="L165" s="558"/>
    </row>
    <row r="166" spans="1:12" s="95" customFormat="1" ht="18.75" customHeight="1">
      <c r="A166" s="80"/>
      <c r="B166" s="66"/>
      <c r="C166" s="466"/>
      <c r="D166" s="537" t="s">
        <v>413</v>
      </c>
      <c r="E166" s="143">
        <v>226500</v>
      </c>
      <c r="F166" s="560"/>
      <c r="G166" s="560">
        <f>SUM(G167:G168)</f>
        <v>29260</v>
      </c>
      <c r="H166" s="560">
        <f t="shared" si="2"/>
        <v>255760</v>
      </c>
      <c r="I166" s="138"/>
      <c r="J166" s="138"/>
      <c r="L166" s="94"/>
    </row>
    <row r="167" spans="1:12" s="557" customFormat="1" ht="18.75" customHeight="1">
      <c r="A167" s="205"/>
      <c r="B167" s="169"/>
      <c r="C167" s="320">
        <v>4110</v>
      </c>
      <c r="D167" s="321" t="s">
        <v>462</v>
      </c>
      <c r="E167" s="418">
        <v>197530</v>
      </c>
      <c r="F167" s="322"/>
      <c r="G167" s="322">
        <f>28500-640</f>
        <v>27860</v>
      </c>
      <c r="H167" s="322">
        <f t="shared" si="2"/>
        <v>225390</v>
      </c>
      <c r="I167" s="155"/>
      <c r="J167" s="155"/>
      <c r="L167" s="558"/>
    </row>
    <row r="168" spans="1:12" s="557" customFormat="1" ht="18.75" customHeight="1">
      <c r="A168" s="205"/>
      <c r="B168" s="320"/>
      <c r="C168" s="320">
        <v>4120</v>
      </c>
      <c r="D168" s="321" t="s">
        <v>463</v>
      </c>
      <c r="E168" s="418">
        <v>28970</v>
      </c>
      <c r="F168" s="322"/>
      <c r="G168" s="322">
        <f>1800-400</f>
        <v>1400</v>
      </c>
      <c r="H168" s="322">
        <f t="shared" si="2"/>
        <v>30370</v>
      </c>
      <c r="I168" s="155"/>
      <c r="J168" s="155"/>
      <c r="L168" s="558"/>
    </row>
    <row r="169" spans="1:12" s="95" customFormat="1" ht="19.5" customHeight="1">
      <c r="A169" s="76"/>
      <c r="B169" s="78">
        <v>80110</v>
      </c>
      <c r="C169" s="78"/>
      <c r="D169" s="78" t="s">
        <v>707</v>
      </c>
      <c r="E169" s="559">
        <v>55776452</v>
      </c>
      <c r="F169" s="523">
        <f>F170+F172+F177</f>
        <v>208878</v>
      </c>
      <c r="G169" s="523">
        <f>G170+G172+G177</f>
        <v>172870</v>
      </c>
      <c r="H169" s="523">
        <f t="shared" si="2"/>
        <v>55740444</v>
      </c>
      <c r="I169" s="138"/>
      <c r="J169" s="138"/>
      <c r="L169" s="94"/>
    </row>
    <row r="170" spans="1:12" s="95" customFormat="1" ht="18.75" customHeight="1">
      <c r="A170" s="80"/>
      <c r="B170" s="66"/>
      <c r="C170" s="466"/>
      <c r="D170" s="537" t="s">
        <v>57</v>
      </c>
      <c r="E170" s="143">
        <v>35671400</v>
      </c>
      <c r="F170" s="560">
        <f>F171</f>
        <v>124560</v>
      </c>
      <c r="G170" s="560"/>
      <c r="H170" s="560">
        <f t="shared" si="2"/>
        <v>35546840</v>
      </c>
      <c r="I170" s="138"/>
      <c r="J170" s="138"/>
      <c r="L170" s="94"/>
    </row>
    <row r="171" spans="1:12" s="95" customFormat="1" ht="18.75" customHeight="1">
      <c r="A171" s="80"/>
      <c r="B171" s="66"/>
      <c r="C171" s="82">
        <v>4010</v>
      </c>
      <c r="D171" s="534" t="s">
        <v>335</v>
      </c>
      <c r="E171" s="418">
        <v>33148386</v>
      </c>
      <c r="F171" s="322">
        <f>1574500-1449940</f>
        <v>124560</v>
      </c>
      <c r="G171" s="322"/>
      <c r="H171" s="418">
        <f t="shared" si="2"/>
        <v>33023826</v>
      </c>
      <c r="I171" s="138"/>
      <c r="J171" s="138"/>
      <c r="L171" s="94"/>
    </row>
    <row r="172" spans="1:12" s="95" customFormat="1" ht="19.5" customHeight="1">
      <c r="A172" s="80"/>
      <c r="B172" s="66"/>
      <c r="C172" s="466"/>
      <c r="D172" s="537" t="s">
        <v>387</v>
      </c>
      <c r="E172" s="143">
        <v>7093049</v>
      </c>
      <c r="F172" s="560">
        <f>SUM(F173:F176)</f>
        <v>62400</v>
      </c>
      <c r="G172" s="560">
        <f>SUM(G173:G176)</f>
        <v>135450</v>
      </c>
      <c r="H172" s="560">
        <f t="shared" si="2"/>
        <v>7166099</v>
      </c>
      <c r="I172" s="138"/>
      <c r="J172" s="138"/>
      <c r="L172" s="94"/>
    </row>
    <row r="173" spans="1:12" s="557" customFormat="1" ht="19.5" customHeight="1">
      <c r="A173" s="205"/>
      <c r="B173" s="169"/>
      <c r="C173" s="320">
        <v>4140</v>
      </c>
      <c r="D173" s="321" t="s">
        <v>318</v>
      </c>
      <c r="E173" s="418">
        <v>8000</v>
      </c>
      <c r="F173" s="322"/>
      <c r="G173" s="322">
        <v>1800</v>
      </c>
      <c r="H173" s="322">
        <f t="shared" si="2"/>
        <v>9800</v>
      </c>
      <c r="I173" s="155"/>
      <c r="J173" s="155"/>
      <c r="L173" s="558"/>
    </row>
    <row r="174" spans="1:12" s="561" customFormat="1" ht="19.5" customHeight="1">
      <c r="A174" s="204"/>
      <c r="B174" s="81"/>
      <c r="C174" s="82">
        <v>4260</v>
      </c>
      <c r="D174" s="534" t="s">
        <v>464</v>
      </c>
      <c r="E174" s="579">
        <v>2609590</v>
      </c>
      <c r="F174" s="580">
        <f>106300-43900</f>
        <v>62400</v>
      </c>
      <c r="G174" s="580"/>
      <c r="H174" s="580">
        <f t="shared" si="2"/>
        <v>2547190</v>
      </c>
      <c r="I174" s="157"/>
      <c r="J174" s="157"/>
      <c r="L174" s="562"/>
    </row>
    <row r="175" spans="1:12" s="561" customFormat="1" ht="19.5" customHeight="1">
      <c r="A175" s="204"/>
      <c r="B175" s="81"/>
      <c r="C175" s="82">
        <v>4270</v>
      </c>
      <c r="D175" s="534" t="s">
        <v>859</v>
      </c>
      <c r="E175" s="553">
        <v>1024682</v>
      </c>
      <c r="F175" s="564"/>
      <c r="G175" s="564">
        <f>95000+30650</f>
        <v>125650</v>
      </c>
      <c r="H175" s="564">
        <f t="shared" si="2"/>
        <v>1150332</v>
      </c>
      <c r="I175" s="157"/>
      <c r="J175" s="157"/>
      <c r="L175" s="562"/>
    </row>
    <row r="176" spans="1:12" s="561" customFormat="1" ht="19.5" customHeight="1">
      <c r="A176" s="540"/>
      <c r="B176" s="82"/>
      <c r="C176" s="140">
        <v>4300</v>
      </c>
      <c r="D176" s="83" t="s">
        <v>384</v>
      </c>
      <c r="E176" s="579">
        <v>417037</v>
      </c>
      <c r="F176" s="580"/>
      <c r="G176" s="580">
        <v>8000</v>
      </c>
      <c r="H176" s="580">
        <f t="shared" si="2"/>
        <v>425037</v>
      </c>
      <c r="I176" s="157"/>
      <c r="J176" s="157"/>
      <c r="L176" s="562"/>
    </row>
    <row r="177" spans="1:12" s="95" customFormat="1" ht="18.75" customHeight="1">
      <c r="A177" s="80"/>
      <c r="B177" s="66"/>
      <c r="C177" s="66"/>
      <c r="D177" s="618" t="s">
        <v>413</v>
      </c>
      <c r="E177" s="865">
        <v>6995448</v>
      </c>
      <c r="F177" s="619">
        <f>SUM(F178:F179)</f>
        <v>21918</v>
      </c>
      <c r="G177" s="619">
        <f>SUM(G178:G179)</f>
        <v>37420</v>
      </c>
      <c r="H177" s="619">
        <f t="shared" si="2"/>
        <v>7010950</v>
      </c>
      <c r="I177" s="138"/>
      <c r="J177" s="138"/>
      <c r="L177" s="94"/>
    </row>
    <row r="178" spans="1:12" s="557" customFormat="1" ht="18.75" customHeight="1">
      <c r="A178" s="205"/>
      <c r="B178" s="169"/>
      <c r="C178" s="320">
        <v>4110</v>
      </c>
      <c r="D178" s="321" t="s">
        <v>462</v>
      </c>
      <c r="E178" s="418">
        <v>6174318</v>
      </c>
      <c r="F178" s="322">
        <f>277948-256030</f>
        <v>21918</v>
      </c>
      <c r="G178" s="322"/>
      <c r="H178" s="322">
        <f t="shared" si="2"/>
        <v>6152400</v>
      </c>
      <c r="I178" s="155"/>
      <c r="J178" s="155"/>
      <c r="L178" s="558"/>
    </row>
    <row r="179" spans="1:12" s="557" customFormat="1" ht="18.75" customHeight="1">
      <c r="A179" s="205"/>
      <c r="B179" s="320"/>
      <c r="C179" s="320">
        <v>4120</v>
      </c>
      <c r="D179" s="321" t="s">
        <v>463</v>
      </c>
      <c r="E179" s="418">
        <v>821130</v>
      </c>
      <c r="F179" s="322"/>
      <c r="G179" s="322">
        <v>37420</v>
      </c>
      <c r="H179" s="322">
        <f t="shared" si="2"/>
        <v>858550</v>
      </c>
      <c r="I179" s="155"/>
      <c r="J179" s="155"/>
      <c r="L179" s="558"/>
    </row>
    <row r="180" spans="1:12" s="95" customFormat="1" ht="18.75" customHeight="1">
      <c r="A180" s="76"/>
      <c r="B180" s="78">
        <v>80111</v>
      </c>
      <c r="C180" s="78"/>
      <c r="D180" s="78" t="s">
        <v>833</v>
      </c>
      <c r="E180" s="559">
        <v>4580000</v>
      </c>
      <c r="F180" s="523"/>
      <c r="G180" s="523">
        <f>G181+G183+G185</f>
        <v>42500</v>
      </c>
      <c r="H180" s="523">
        <f t="shared" si="2"/>
        <v>4622500</v>
      </c>
      <c r="I180" s="138"/>
      <c r="J180" s="138"/>
      <c r="L180" s="94"/>
    </row>
    <row r="181" spans="1:12" s="95" customFormat="1" ht="18.75" customHeight="1">
      <c r="A181" s="80"/>
      <c r="B181" s="66"/>
      <c r="C181" s="466"/>
      <c r="D181" s="537" t="s">
        <v>57</v>
      </c>
      <c r="E181" s="143">
        <v>3550800</v>
      </c>
      <c r="F181" s="560"/>
      <c r="G181" s="560">
        <f>G182</f>
        <v>24400</v>
      </c>
      <c r="H181" s="560">
        <f t="shared" si="2"/>
        <v>3575200</v>
      </c>
      <c r="I181" s="138"/>
      <c r="J181" s="138"/>
      <c r="L181" s="94"/>
    </row>
    <row r="182" spans="1:12" s="95" customFormat="1" ht="18.75" customHeight="1">
      <c r="A182" s="80"/>
      <c r="B182" s="66"/>
      <c r="C182" s="82">
        <v>4010</v>
      </c>
      <c r="D182" s="534" t="s">
        <v>335</v>
      </c>
      <c r="E182" s="418">
        <v>3296888</v>
      </c>
      <c r="F182" s="322"/>
      <c r="G182" s="322">
        <f>71000-46600</f>
        <v>24400</v>
      </c>
      <c r="H182" s="418">
        <f t="shared" si="2"/>
        <v>3321288</v>
      </c>
      <c r="I182" s="138"/>
      <c r="J182" s="138"/>
      <c r="L182" s="94"/>
    </row>
    <row r="183" spans="1:12" s="95" customFormat="1" ht="18.75" customHeight="1">
      <c r="A183" s="80"/>
      <c r="B183" s="66"/>
      <c r="C183" s="466"/>
      <c r="D183" s="537" t="s">
        <v>387</v>
      </c>
      <c r="E183" s="143">
        <v>345400</v>
      </c>
      <c r="F183" s="560"/>
      <c r="G183" s="560">
        <f>G184</f>
        <v>6000</v>
      </c>
      <c r="H183" s="560">
        <f t="shared" si="2"/>
        <v>351400</v>
      </c>
      <c r="I183" s="138"/>
      <c r="J183" s="138"/>
      <c r="L183" s="94"/>
    </row>
    <row r="184" spans="1:12" s="557" customFormat="1" ht="18.75" customHeight="1">
      <c r="A184" s="205"/>
      <c r="B184" s="169"/>
      <c r="C184" s="320">
        <v>4260</v>
      </c>
      <c r="D184" s="321" t="s">
        <v>464</v>
      </c>
      <c r="E184" s="418">
        <v>94110</v>
      </c>
      <c r="F184" s="322"/>
      <c r="G184" s="322">
        <v>6000</v>
      </c>
      <c r="H184" s="322">
        <f t="shared" si="2"/>
        <v>100110</v>
      </c>
      <c r="I184" s="155"/>
      <c r="J184" s="155"/>
      <c r="L184" s="558"/>
    </row>
    <row r="185" spans="1:12" s="95" customFormat="1" ht="18.75" customHeight="1">
      <c r="A185" s="80"/>
      <c r="B185" s="66"/>
      <c r="C185" s="466"/>
      <c r="D185" s="537" t="s">
        <v>413</v>
      </c>
      <c r="E185" s="143">
        <v>683800</v>
      </c>
      <c r="F185" s="560"/>
      <c r="G185" s="560">
        <f>SUM(G186:G187)</f>
        <v>12100</v>
      </c>
      <c r="H185" s="560">
        <f t="shared" si="2"/>
        <v>695900</v>
      </c>
      <c r="I185" s="138"/>
      <c r="J185" s="138"/>
      <c r="L185" s="94"/>
    </row>
    <row r="186" spans="1:12" s="557" customFormat="1" ht="18.75" customHeight="1">
      <c r="A186" s="205"/>
      <c r="B186" s="169"/>
      <c r="C186" s="320">
        <v>4110</v>
      </c>
      <c r="D186" s="321" t="s">
        <v>462</v>
      </c>
      <c r="E186" s="418">
        <v>597550</v>
      </c>
      <c r="F186" s="322"/>
      <c r="G186" s="322">
        <f>20300-9000</f>
        <v>11300</v>
      </c>
      <c r="H186" s="322">
        <f t="shared" si="2"/>
        <v>608850</v>
      </c>
      <c r="I186" s="155"/>
      <c r="J186" s="155"/>
      <c r="L186" s="558"/>
    </row>
    <row r="187" spans="1:12" s="557" customFormat="1" ht="18.75" customHeight="1">
      <c r="A187" s="205"/>
      <c r="B187" s="320"/>
      <c r="C187" s="320">
        <v>4120</v>
      </c>
      <c r="D187" s="321" t="s">
        <v>463</v>
      </c>
      <c r="E187" s="418">
        <v>86250</v>
      </c>
      <c r="F187" s="322"/>
      <c r="G187" s="322">
        <f>3200-2400</f>
        <v>800</v>
      </c>
      <c r="H187" s="322">
        <f t="shared" si="2"/>
        <v>87050</v>
      </c>
      <c r="I187" s="155"/>
      <c r="J187" s="155"/>
      <c r="L187" s="558"/>
    </row>
    <row r="188" spans="1:12" s="95" customFormat="1" ht="19.5" customHeight="1">
      <c r="A188" s="76"/>
      <c r="B188" s="78">
        <v>80113</v>
      </c>
      <c r="C188" s="78"/>
      <c r="D188" s="78" t="s">
        <v>834</v>
      </c>
      <c r="E188" s="559">
        <v>615000</v>
      </c>
      <c r="F188" s="523">
        <f>F189</f>
        <v>36916</v>
      </c>
      <c r="G188" s="523"/>
      <c r="H188" s="523">
        <f t="shared" si="2"/>
        <v>578084</v>
      </c>
      <c r="I188" s="138"/>
      <c r="J188" s="138"/>
      <c r="L188" s="94"/>
    </row>
    <row r="189" spans="1:12" s="95" customFormat="1" ht="19.5" customHeight="1">
      <c r="A189" s="80"/>
      <c r="B189" s="466"/>
      <c r="C189" s="466"/>
      <c r="D189" s="537" t="s">
        <v>161</v>
      </c>
      <c r="E189" s="143">
        <v>615000</v>
      </c>
      <c r="F189" s="560">
        <f>F190</f>
        <v>36916</v>
      </c>
      <c r="G189" s="560"/>
      <c r="H189" s="560">
        <f t="shared" si="2"/>
        <v>578084</v>
      </c>
      <c r="I189" s="138"/>
      <c r="J189" s="138"/>
      <c r="L189" s="94"/>
    </row>
    <row r="190" spans="1:12" s="561" customFormat="1" ht="19.5" customHeight="1">
      <c r="A190" s="204"/>
      <c r="B190" s="81"/>
      <c r="C190" s="82">
        <v>4300</v>
      </c>
      <c r="D190" s="534" t="s">
        <v>384</v>
      </c>
      <c r="E190" s="152">
        <v>615000</v>
      </c>
      <c r="F190" s="548">
        <f>31310-15894+21500</f>
        <v>36916</v>
      </c>
      <c r="G190" s="548"/>
      <c r="H190" s="548">
        <f t="shared" si="2"/>
        <v>578084</v>
      </c>
      <c r="I190" s="157"/>
      <c r="J190" s="157"/>
      <c r="L190" s="562"/>
    </row>
    <row r="191" spans="1:12" s="95" customFormat="1" ht="19.5" customHeight="1">
      <c r="A191" s="76"/>
      <c r="B191" s="77">
        <v>80120</v>
      </c>
      <c r="C191" s="77"/>
      <c r="D191" s="77" t="s">
        <v>708</v>
      </c>
      <c r="E191" s="137">
        <v>50972443</v>
      </c>
      <c r="F191" s="79">
        <f>F192+F194+F196+F199</f>
        <v>228850</v>
      </c>
      <c r="G191" s="79">
        <f>G192+G194+G196+G199</f>
        <v>426250</v>
      </c>
      <c r="H191" s="79">
        <f t="shared" si="2"/>
        <v>51169843</v>
      </c>
      <c r="I191" s="138"/>
      <c r="J191" s="138"/>
      <c r="L191" s="94"/>
    </row>
    <row r="192" spans="1:12" s="95" customFormat="1" ht="18.75" customHeight="1">
      <c r="A192" s="80"/>
      <c r="B192" s="66"/>
      <c r="C192" s="466"/>
      <c r="D192" s="537" t="s">
        <v>57</v>
      </c>
      <c r="E192" s="143">
        <v>32378000</v>
      </c>
      <c r="F192" s="560"/>
      <c r="G192" s="560">
        <f>G193</f>
        <v>239120</v>
      </c>
      <c r="H192" s="560">
        <f t="shared" si="2"/>
        <v>32617120</v>
      </c>
      <c r="I192" s="138"/>
      <c r="J192" s="138"/>
      <c r="L192" s="94"/>
    </row>
    <row r="193" spans="1:12" s="95" customFormat="1" ht="18.75" customHeight="1">
      <c r="A193" s="80"/>
      <c r="B193" s="66"/>
      <c r="C193" s="82">
        <v>4010</v>
      </c>
      <c r="D193" s="534" t="s">
        <v>335</v>
      </c>
      <c r="E193" s="418">
        <v>30002726</v>
      </c>
      <c r="F193" s="322"/>
      <c r="G193" s="322">
        <f>858700-619580</f>
        <v>239120</v>
      </c>
      <c r="H193" s="418">
        <f t="shared" si="2"/>
        <v>30241846</v>
      </c>
      <c r="I193" s="138"/>
      <c r="J193" s="138"/>
      <c r="L193" s="94"/>
    </row>
    <row r="194" spans="1:12" s="95" customFormat="1" ht="19.5" customHeight="1">
      <c r="A194" s="80"/>
      <c r="B194" s="66"/>
      <c r="C194" s="466"/>
      <c r="D194" s="537" t="s">
        <v>387</v>
      </c>
      <c r="E194" s="143">
        <v>6000623</v>
      </c>
      <c r="F194" s="560">
        <f>SUM(F195:F195)</f>
        <v>28850</v>
      </c>
      <c r="G194" s="560"/>
      <c r="H194" s="560">
        <f t="shared" si="2"/>
        <v>5971773</v>
      </c>
      <c r="I194" s="138"/>
      <c r="J194" s="138"/>
      <c r="L194" s="94"/>
    </row>
    <row r="195" spans="1:12" s="158" customFormat="1" ht="19.5" customHeight="1">
      <c r="A195" s="204"/>
      <c r="B195" s="81"/>
      <c r="C195" s="317">
        <v>4260</v>
      </c>
      <c r="D195" s="319" t="s">
        <v>464</v>
      </c>
      <c r="E195" s="152">
        <v>2065460</v>
      </c>
      <c r="F195" s="152">
        <f>60700-31850</f>
        <v>28850</v>
      </c>
      <c r="G195" s="152"/>
      <c r="H195" s="152">
        <f t="shared" si="2"/>
        <v>2036610</v>
      </c>
      <c r="I195" s="157"/>
      <c r="J195" s="157"/>
      <c r="L195" s="157"/>
    </row>
    <row r="196" spans="1:12" s="95" customFormat="1" ht="18.75" customHeight="1">
      <c r="A196" s="80"/>
      <c r="B196" s="66"/>
      <c r="C196" s="466"/>
      <c r="D196" s="537" t="s">
        <v>413</v>
      </c>
      <c r="E196" s="143">
        <v>6213000</v>
      </c>
      <c r="F196" s="560"/>
      <c r="G196" s="560">
        <f>SUM(G197:G198)</f>
        <v>187130</v>
      </c>
      <c r="H196" s="560">
        <f t="shared" si="2"/>
        <v>6400130</v>
      </c>
      <c r="I196" s="138"/>
      <c r="J196" s="138"/>
      <c r="L196" s="94"/>
    </row>
    <row r="197" spans="1:12" s="557" customFormat="1" ht="18.75" customHeight="1">
      <c r="A197" s="205"/>
      <c r="B197" s="169"/>
      <c r="C197" s="320">
        <v>4110</v>
      </c>
      <c r="D197" s="321" t="s">
        <v>462</v>
      </c>
      <c r="E197" s="418">
        <v>5463000</v>
      </c>
      <c r="F197" s="322"/>
      <c r="G197" s="322">
        <f>269000-115230</f>
        <v>153770</v>
      </c>
      <c r="H197" s="322">
        <f t="shared" si="2"/>
        <v>5616770</v>
      </c>
      <c r="I197" s="155"/>
      <c r="J197" s="155"/>
      <c r="L197" s="558"/>
    </row>
    <row r="198" spans="1:12" s="557" customFormat="1" ht="18.75" customHeight="1">
      <c r="A198" s="205"/>
      <c r="B198" s="169"/>
      <c r="C198" s="320">
        <v>4120</v>
      </c>
      <c r="D198" s="321" t="s">
        <v>463</v>
      </c>
      <c r="E198" s="418">
        <v>750000</v>
      </c>
      <c r="F198" s="322"/>
      <c r="G198" s="322">
        <f>37860-4500</f>
        <v>33360</v>
      </c>
      <c r="H198" s="322">
        <f t="shared" si="2"/>
        <v>783360</v>
      </c>
      <c r="I198" s="155"/>
      <c r="J198" s="155"/>
      <c r="L198" s="558"/>
    </row>
    <row r="199" spans="1:12" s="555" customFormat="1" ht="17.25" customHeight="1">
      <c r="A199" s="206"/>
      <c r="B199" s="214"/>
      <c r="C199" s="207"/>
      <c r="D199" s="1095" t="s">
        <v>604</v>
      </c>
      <c r="E199" s="416">
        <v>2122220</v>
      </c>
      <c r="F199" s="933">
        <f>F201</f>
        <v>200000</v>
      </c>
      <c r="G199" s="933"/>
      <c r="H199" s="933">
        <f t="shared" si="2"/>
        <v>1922220</v>
      </c>
      <c r="I199" s="209"/>
      <c r="J199" s="209"/>
      <c r="L199" s="556"/>
    </row>
    <row r="200" spans="1:12" s="557" customFormat="1" ht="27.75" customHeight="1">
      <c r="A200" s="205"/>
      <c r="B200" s="169"/>
      <c r="C200" s="169"/>
      <c r="D200" s="944" t="s">
        <v>560</v>
      </c>
      <c r="E200" s="459">
        <v>350000</v>
      </c>
      <c r="F200" s="1309">
        <v>200000</v>
      </c>
      <c r="G200" s="1309"/>
      <c r="H200" s="1309">
        <f>E200+G200-F200</f>
        <v>150000</v>
      </c>
      <c r="I200" s="155"/>
      <c r="J200" s="155"/>
      <c r="L200" s="558"/>
    </row>
    <row r="201" spans="1:12" s="557" customFormat="1" ht="18" customHeight="1">
      <c r="A201" s="205"/>
      <c r="B201" s="169"/>
      <c r="C201" s="320">
        <v>6050</v>
      </c>
      <c r="D201" s="460" t="s">
        <v>599</v>
      </c>
      <c r="E201" s="418">
        <v>2122220</v>
      </c>
      <c r="F201" s="322">
        <f>F200</f>
        <v>200000</v>
      </c>
      <c r="G201" s="322"/>
      <c r="H201" s="322">
        <f t="shared" si="2"/>
        <v>1922220</v>
      </c>
      <c r="I201" s="155"/>
      <c r="J201" s="155"/>
      <c r="L201" s="558"/>
    </row>
    <row r="202" spans="1:12" s="130" customFormat="1" ht="18.75" customHeight="1">
      <c r="A202" s="76"/>
      <c r="B202" s="77">
        <v>80121</v>
      </c>
      <c r="C202" s="77"/>
      <c r="D202" s="77" t="s">
        <v>835</v>
      </c>
      <c r="E202" s="137">
        <v>826000</v>
      </c>
      <c r="F202" s="137"/>
      <c r="G202" s="137">
        <f>G203+G205+G208</f>
        <v>52210</v>
      </c>
      <c r="H202" s="137">
        <f t="shared" si="2"/>
        <v>878210</v>
      </c>
      <c r="I202" s="138"/>
      <c r="J202" s="138"/>
      <c r="L202" s="138"/>
    </row>
    <row r="203" spans="1:12" s="95" customFormat="1" ht="18.75" customHeight="1">
      <c r="A203" s="80"/>
      <c r="B203" s="66"/>
      <c r="C203" s="466"/>
      <c r="D203" s="537" t="s">
        <v>57</v>
      </c>
      <c r="E203" s="143">
        <v>624700</v>
      </c>
      <c r="F203" s="560"/>
      <c r="G203" s="560">
        <f>G204</f>
        <v>32500</v>
      </c>
      <c r="H203" s="143">
        <f t="shared" si="2"/>
        <v>657200</v>
      </c>
      <c r="I203" s="138"/>
      <c r="J203" s="138"/>
      <c r="L203" s="94"/>
    </row>
    <row r="204" spans="1:12" s="95" customFormat="1" ht="18.75" customHeight="1">
      <c r="A204" s="80"/>
      <c r="B204" s="66"/>
      <c r="C204" s="82">
        <v>4010</v>
      </c>
      <c r="D204" s="534" t="s">
        <v>335</v>
      </c>
      <c r="E204" s="418">
        <v>573224</v>
      </c>
      <c r="F204" s="322"/>
      <c r="G204" s="322">
        <v>32500</v>
      </c>
      <c r="H204" s="152">
        <f t="shared" si="2"/>
        <v>605724</v>
      </c>
      <c r="I204" s="138"/>
      <c r="J204" s="138"/>
      <c r="L204" s="94"/>
    </row>
    <row r="205" spans="1:12" s="95" customFormat="1" ht="18.75" customHeight="1">
      <c r="A205" s="80"/>
      <c r="B205" s="66"/>
      <c r="C205" s="466"/>
      <c r="D205" s="537" t="s">
        <v>387</v>
      </c>
      <c r="E205" s="143">
        <v>79500</v>
      </c>
      <c r="F205" s="560"/>
      <c r="G205" s="560">
        <f>G206</f>
        <v>7000</v>
      </c>
      <c r="H205" s="560">
        <f t="shared" si="2"/>
        <v>86500</v>
      </c>
      <c r="I205" s="138"/>
      <c r="J205" s="138"/>
      <c r="L205" s="94"/>
    </row>
    <row r="206" spans="1:12" s="557" customFormat="1" ht="18.75" customHeight="1">
      <c r="A206" s="205"/>
      <c r="B206" s="169"/>
      <c r="C206" s="169">
        <v>4260</v>
      </c>
      <c r="D206" s="216" t="s">
        <v>464</v>
      </c>
      <c r="E206" s="783">
        <v>30000</v>
      </c>
      <c r="F206" s="912"/>
      <c r="G206" s="912">
        <v>7000</v>
      </c>
      <c r="H206" s="912">
        <f t="shared" si="2"/>
        <v>37000</v>
      </c>
      <c r="I206" s="155"/>
      <c r="J206" s="155"/>
      <c r="L206" s="558"/>
    </row>
    <row r="207" spans="1:12" s="557" customFormat="1" ht="12" customHeight="1">
      <c r="A207" s="1541"/>
      <c r="B207" s="1542"/>
      <c r="C207" s="1542"/>
      <c r="D207" s="1584"/>
      <c r="E207" s="1545"/>
      <c r="F207" s="1583"/>
      <c r="G207" s="1583"/>
      <c r="H207" s="1583"/>
      <c r="I207" s="155"/>
      <c r="J207" s="155"/>
      <c r="L207" s="558"/>
    </row>
    <row r="208" spans="1:12" s="95" customFormat="1" ht="18.75" customHeight="1">
      <c r="A208" s="80"/>
      <c r="B208" s="66"/>
      <c r="C208" s="66"/>
      <c r="D208" s="618" t="s">
        <v>413</v>
      </c>
      <c r="E208" s="865">
        <v>121800</v>
      </c>
      <c r="F208" s="619"/>
      <c r="G208" s="619">
        <f>SUM(G209:G210)</f>
        <v>12710</v>
      </c>
      <c r="H208" s="865">
        <f aca="true" t="shared" si="3" ref="H208:H271">E208+G208-F208</f>
        <v>134510</v>
      </c>
      <c r="I208" s="138"/>
      <c r="J208" s="138"/>
      <c r="L208" s="94"/>
    </row>
    <row r="209" spans="1:12" s="95" customFormat="1" ht="18.75" customHeight="1">
      <c r="A209" s="80"/>
      <c r="B209" s="66"/>
      <c r="C209" s="82">
        <v>4110</v>
      </c>
      <c r="D209" s="534" t="s">
        <v>462</v>
      </c>
      <c r="E209" s="418">
        <v>105700</v>
      </c>
      <c r="F209" s="322"/>
      <c r="G209" s="322">
        <v>12050</v>
      </c>
      <c r="H209" s="152">
        <f t="shared" si="3"/>
        <v>117750</v>
      </c>
      <c r="I209" s="138"/>
      <c r="J209" s="138"/>
      <c r="L209" s="94"/>
    </row>
    <row r="210" spans="1:12" s="561" customFormat="1" ht="18.75" customHeight="1">
      <c r="A210" s="204"/>
      <c r="B210" s="81"/>
      <c r="C210" s="82">
        <v>4120</v>
      </c>
      <c r="D210" s="534" t="s">
        <v>463</v>
      </c>
      <c r="E210" s="764">
        <v>16100</v>
      </c>
      <c r="F210" s="765"/>
      <c r="G210" s="765">
        <v>660</v>
      </c>
      <c r="H210" s="418">
        <f t="shared" si="3"/>
        <v>16760</v>
      </c>
      <c r="I210" s="157"/>
      <c r="J210" s="157"/>
      <c r="L210" s="562"/>
    </row>
    <row r="211" spans="1:12" s="130" customFormat="1" ht="18.75" customHeight="1">
      <c r="A211" s="76"/>
      <c r="B211" s="77">
        <v>80123</v>
      </c>
      <c r="C211" s="77"/>
      <c r="D211" s="77" t="s">
        <v>836</v>
      </c>
      <c r="E211" s="137">
        <v>8786500</v>
      </c>
      <c r="F211" s="137">
        <f>F212+F214+F218</f>
        <v>22806</v>
      </c>
      <c r="G211" s="137">
        <f>G212+G214+G218</f>
        <v>24337</v>
      </c>
      <c r="H211" s="137">
        <f t="shared" si="3"/>
        <v>8788031</v>
      </c>
      <c r="I211" s="138"/>
      <c r="J211" s="138"/>
      <c r="L211" s="138"/>
    </row>
    <row r="212" spans="1:12" s="95" customFormat="1" ht="18.75" customHeight="1">
      <c r="A212" s="80"/>
      <c r="B212" s="66"/>
      <c r="C212" s="466"/>
      <c r="D212" s="537" t="s">
        <v>57</v>
      </c>
      <c r="E212" s="143">
        <v>6279300</v>
      </c>
      <c r="F212" s="560">
        <f>F213</f>
        <v>882</v>
      </c>
      <c r="G212" s="560"/>
      <c r="H212" s="143">
        <f t="shared" si="3"/>
        <v>6278418</v>
      </c>
      <c r="I212" s="138"/>
      <c r="J212" s="138"/>
      <c r="L212" s="94"/>
    </row>
    <row r="213" spans="1:12" s="95" customFormat="1" ht="18.75" customHeight="1">
      <c r="A213" s="80"/>
      <c r="B213" s="66"/>
      <c r="C213" s="82">
        <v>4010</v>
      </c>
      <c r="D213" s="534" t="s">
        <v>335</v>
      </c>
      <c r="E213" s="418">
        <v>5834446</v>
      </c>
      <c r="F213" s="322">
        <f>259982-259100</f>
        <v>882</v>
      </c>
      <c r="G213" s="322"/>
      <c r="H213" s="152">
        <f t="shared" si="3"/>
        <v>5833564</v>
      </c>
      <c r="I213" s="138"/>
      <c r="J213" s="138"/>
      <c r="L213" s="94"/>
    </row>
    <row r="214" spans="1:12" s="95" customFormat="1" ht="18.75" customHeight="1">
      <c r="A214" s="80"/>
      <c r="B214" s="66"/>
      <c r="C214" s="466"/>
      <c r="D214" s="537" t="s">
        <v>387</v>
      </c>
      <c r="E214" s="143">
        <v>703400</v>
      </c>
      <c r="F214" s="560"/>
      <c r="G214" s="560">
        <f>SUM(G215:G217)</f>
        <v>23082</v>
      </c>
      <c r="H214" s="143">
        <f t="shared" si="3"/>
        <v>726482</v>
      </c>
      <c r="I214" s="138"/>
      <c r="J214" s="138"/>
      <c r="L214" s="94"/>
    </row>
    <row r="215" spans="1:12" s="95" customFormat="1" ht="18.75" customHeight="1">
      <c r="A215" s="80"/>
      <c r="B215" s="66"/>
      <c r="C215" s="82">
        <v>4240</v>
      </c>
      <c r="D215" s="534" t="s">
        <v>711</v>
      </c>
      <c r="E215" s="418">
        <v>11500</v>
      </c>
      <c r="F215" s="322"/>
      <c r="G215" s="322">
        <v>196</v>
      </c>
      <c r="H215" s="152">
        <f t="shared" si="3"/>
        <v>11696</v>
      </c>
      <c r="I215" s="138"/>
      <c r="J215" s="138"/>
      <c r="L215" s="94"/>
    </row>
    <row r="216" spans="1:12" s="95" customFormat="1" ht="18.75" customHeight="1">
      <c r="A216" s="80"/>
      <c r="B216" s="66"/>
      <c r="C216" s="480">
        <v>4260</v>
      </c>
      <c r="D216" s="481" t="s">
        <v>464</v>
      </c>
      <c r="E216" s="764">
        <v>187830</v>
      </c>
      <c r="F216" s="765"/>
      <c r="G216" s="765">
        <v>17300</v>
      </c>
      <c r="H216" s="579">
        <f t="shared" si="3"/>
        <v>205130</v>
      </c>
      <c r="I216" s="138"/>
      <c r="J216" s="138"/>
      <c r="L216" s="94"/>
    </row>
    <row r="217" spans="1:12" s="95" customFormat="1" ht="18.75" customHeight="1">
      <c r="A217" s="80"/>
      <c r="B217" s="66"/>
      <c r="C217" s="81">
        <v>4440</v>
      </c>
      <c r="D217" s="563" t="s">
        <v>56</v>
      </c>
      <c r="E217" s="783">
        <v>366890</v>
      </c>
      <c r="F217" s="912"/>
      <c r="G217" s="912">
        <v>5586</v>
      </c>
      <c r="H217" s="579">
        <f t="shared" si="3"/>
        <v>372476</v>
      </c>
      <c r="I217" s="138"/>
      <c r="J217" s="138"/>
      <c r="L217" s="94"/>
    </row>
    <row r="218" spans="1:12" s="95" customFormat="1" ht="18.75" customHeight="1">
      <c r="A218" s="80"/>
      <c r="B218" s="66"/>
      <c r="C218" s="466"/>
      <c r="D218" s="537" t="s">
        <v>413</v>
      </c>
      <c r="E218" s="143">
        <v>1255800</v>
      </c>
      <c r="F218" s="560">
        <f>SUM(F219:F220)</f>
        <v>21924</v>
      </c>
      <c r="G218" s="560">
        <f>SUM(G219:G220)</f>
        <v>1255</v>
      </c>
      <c r="H218" s="143">
        <f t="shared" si="3"/>
        <v>1235131</v>
      </c>
      <c r="I218" s="138"/>
      <c r="J218" s="138"/>
      <c r="L218" s="94"/>
    </row>
    <row r="219" spans="1:12" s="95" customFormat="1" ht="18.75" customHeight="1">
      <c r="A219" s="80"/>
      <c r="B219" s="66"/>
      <c r="C219" s="82">
        <v>4110</v>
      </c>
      <c r="D219" s="534" t="s">
        <v>462</v>
      </c>
      <c r="E219" s="418">
        <v>1099350</v>
      </c>
      <c r="F219" s="322">
        <f>65254-43330</f>
        <v>21924</v>
      </c>
      <c r="G219" s="322"/>
      <c r="H219" s="152">
        <f t="shared" si="3"/>
        <v>1077426</v>
      </c>
      <c r="I219" s="138"/>
      <c r="J219" s="138"/>
      <c r="L219" s="94"/>
    </row>
    <row r="220" spans="1:12" s="561" customFormat="1" ht="18.75" customHeight="1">
      <c r="A220" s="204"/>
      <c r="B220" s="81"/>
      <c r="C220" s="82">
        <v>4120</v>
      </c>
      <c r="D220" s="534" t="s">
        <v>463</v>
      </c>
      <c r="E220" s="764">
        <v>156450</v>
      </c>
      <c r="F220" s="765"/>
      <c r="G220" s="765">
        <f>6540-5285</f>
        <v>1255</v>
      </c>
      <c r="H220" s="418">
        <f t="shared" si="3"/>
        <v>157705</v>
      </c>
      <c r="I220" s="157"/>
      <c r="J220" s="157"/>
      <c r="L220" s="562"/>
    </row>
    <row r="221" spans="1:12" s="130" customFormat="1" ht="18.75" customHeight="1">
      <c r="A221" s="76"/>
      <c r="B221" s="77">
        <v>80124</v>
      </c>
      <c r="C221" s="77"/>
      <c r="D221" s="77" t="s">
        <v>837</v>
      </c>
      <c r="E221" s="137">
        <v>630000</v>
      </c>
      <c r="F221" s="137">
        <f>F222+F224</f>
        <v>74000</v>
      </c>
      <c r="G221" s="137"/>
      <c r="H221" s="137">
        <f t="shared" si="3"/>
        <v>556000</v>
      </c>
      <c r="I221" s="138"/>
      <c r="J221" s="138"/>
      <c r="L221" s="138"/>
    </row>
    <row r="222" spans="1:12" s="95" customFormat="1" ht="18.75" customHeight="1">
      <c r="A222" s="80"/>
      <c r="B222" s="66"/>
      <c r="C222" s="466"/>
      <c r="D222" s="537" t="s">
        <v>57</v>
      </c>
      <c r="E222" s="143">
        <v>486700</v>
      </c>
      <c r="F222" s="560">
        <f>F223</f>
        <v>65000</v>
      </c>
      <c r="G222" s="560"/>
      <c r="H222" s="143">
        <f t="shared" si="3"/>
        <v>421700</v>
      </c>
      <c r="I222" s="138"/>
      <c r="J222" s="138"/>
      <c r="L222" s="94"/>
    </row>
    <row r="223" spans="1:12" s="95" customFormat="1" ht="18.75" customHeight="1">
      <c r="A223" s="80"/>
      <c r="B223" s="66"/>
      <c r="C223" s="82">
        <v>4010</v>
      </c>
      <c r="D223" s="534" t="s">
        <v>335</v>
      </c>
      <c r="E223" s="418">
        <v>455451</v>
      </c>
      <c r="F223" s="322">
        <v>65000</v>
      </c>
      <c r="G223" s="322"/>
      <c r="H223" s="152">
        <f t="shared" si="3"/>
        <v>390451</v>
      </c>
      <c r="I223" s="138"/>
      <c r="J223" s="138"/>
      <c r="L223" s="94"/>
    </row>
    <row r="224" spans="1:12" s="95" customFormat="1" ht="18.75" customHeight="1">
      <c r="A224" s="80"/>
      <c r="B224" s="66"/>
      <c r="C224" s="466"/>
      <c r="D224" s="537" t="s">
        <v>413</v>
      </c>
      <c r="E224" s="143">
        <v>94200</v>
      </c>
      <c r="F224" s="560">
        <f>SUM(F225:F226)</f>
        <v>9000</v>
      </c>
      <c r="G224" s="560"/>
      <c r="H224" s="143">
        <f t="shared" si="3"/>
        <v>85200</v>
      </c>
      <c r="I224" s="138"/>
      <c r="J224" s="138"/>
      <c r="L224" s="94"/>
    </row>
    <row r="225" spans="1:12" s="95" customFormat="1" ht="18.75" customHeight="1">
      <c r="A225" s="80"/>
      <c r="B225" s="66"/>
      <c r="C225" s="82">
        <v>4110</v>
      </c>
      <c r="D225" s="534" t="s">
        <v>462</v>
      </c>
      <c r="E225" s="418">
        <v>81000</v>
      </c>
      <c r="F225" s="322">
        <v>6000</v>
      </c>
      <c r="G225" s="322"/>
      <c r="H225" s="152">
        <f t="shared" si="3"/>
        <v>75000</v>
      </c>
      <c r="I225" s="138"/>
      <c r="J225" s="138"/>
      <c r="L225" s="94"/>
    </row>
    <row r="226" spans="1:12" s="561" customFormat="1" ht="18.75" customHeight="1">
      <c r="A226" s="204"/>
      <c r="B226" s="81"/>
      <c r="C226" s="82">
        <v>4120</v>
      </c>
      <c r="D226" s="534" t="s">
        <v>463</v>
      </c>
      <c r="E226" s="764">
        <v>13200</v>
      </c>
      <c r="F226" s="765">
        <v>3000</v>
      </c>
      <c r="G226" s="765"/>
      <c r="H226" s="418">
        <f t="shared" si="3"/>
        <v>10200</v>
      </c>
      <c r="I226" s="157"/>
      <c r="J226" s="157"/>
      <c r="L226" s="562"/>
    </row>
    <row r="227" spans="1:12" s="95" customFormat="1" ht="18.75" customHeight="1">
      <c r="A227" s="76"/>
      <c r="B227" s="77">
        <v>80130</v>
      </c>
      <c r="C227" s="77"/>
      <c r="D227" s="77" t="s">
        <v>414</v>
      </c>
      <c r="E227" s="137">
        <v>47384417</v>
      </c>
      <c r="F227" s="79">
        <f>F228+F230+F234+F238</f>
        <v>274428</v>
      </c>
      <c r="G227" s="79">
        <f>G228+G230+G234+G238</f>
        <v>352170</v>
      </c>
      <c r="H227" s="79">
        <f t="shared" si="3"/>
        <v>47462159</v>
      </c>
      <c r="I227" s="138"/>
      <c r="J227" s="138"/>
      <c r="L227" s="94"/>
    </row>
    <row r="228" spans="1:12" s="95" customFormat="1" ht="18.75" customHeight="1">
      <c r="A228" s="80"/>
      <c r="B228" s="66"/>
      <c r="C228" s="466"/>
      <c r="D228" s="537" t="s">
        <v>57</v>
      </c>
      <c r="E228" s="143">
        <v>24895700</v>
      </c>
      <c r="F228" s="560">
        <f>F229</f>
        <v>263100</v>
      </c>
      <c r="G228" s="560"/>
      <c r="H228" s="143">
        <f t="shared" si="3"/>
        <v>24632600</v>
      </c>
      <c r="I228" s="138"/>
      <c r="J228" s="138"/>
      <c r="L228" s="94"/>
    </row>
    <row r="229" spans="1:12" s="95" customFormat="1" ht="18.75" customHeight="1">
      <c r="A229" s="80"/>
      <c r="B229" s="66"/>
      <c r="C229" s="82">
        <v>4010</v>
      </c>
      <c r="D229" s="534" t="s">
        <v>335</v>
      </c>
      <c r="E229" s="418">
        <v>23111362</v>
      </c>
      <c r="F229" s="322">
        <f>972300-709200</f>
        <v>263100</v>
      </c>
      <c r="G229" s="322"/>
      <c r="H229" s="152">
        <f t="shared" si="3"/>
        <v>22848262</v>
      </c>
      <c r="I229" s="138"/>
      <c r="J229" s="138"/>
      <c r="L229" s="94"/>
    </row>
    <row r="230" spans="1:12" s="95" customFormat="1" ht="19.5" customHeight="1">
      <c r="A230" s="80"/>
      <c r="B230" s="66"/>
      <c r="C230" s="466"/>
      <c r="D230" s="999" t="s">
        <v>387</v>
      </c>
      <c r="E230" s="144">
        <v>5308697</v>
      </c>
      <c r="F230" s="565">
        <f>SUM(F231:F233)</f>
        <v>11328</v>
      </c>
      <c r="G230" s="565"/>
      <c r="H230" s="565">
        <f t="shared" si="3"/>
        <v>5297369</v>
      </c>
      <c r="I230" s="138"/>
      <c r="J230" s="138"/>
      <c r="L230" s="94"/>
    </row>
    <row r="231" spans="1:12" s="557" customFormat="1" ht="19.5" customHeight="1">
      <c r="A231" s="205"/>
      <c r="B231" s="169"/>
      <c r="C231" s="320">
        <v>4240</v>
      </c>
      <c r="D231" s="778" t="s">
        <v>711</v>
      </c>
      <c r="E231" s="154">
        <v>66570</v>
      </c>
      <c r="F231" s="636">
        <v>196</v>
      </c>
      <c r="G231" s="636"/>
      <c r="H231" s="636">
        <f t="shared" si="3"/>
        <v>66374</v>
      </c>
      <c r="I231" s="155"/>
      <c r="J231" s="155"/>
      <c r="L231" s="558"/>
    </row>
    <row r="232" spans="1:12" s="557" customFormat="1" ht="18" customHeight="1">
      <c r="A232" s="205"/>
      <c r="B232" s="169"/>
      <c r="C232" s="161">
        <v>4260</v>
      </c>
      <c r="D232" s="903" t="s">
        <v>464</v>
      </c>
      <c r="E232" s="764">
        <v>1732446</v>
      </c>
      <c r="F232" s="765">
        <f>78246-72700</f>
        <v>5546</v>
      </c>
      <c r="G232" s="765"/>
      <c r="H232" s="765">
        <f t="shared" si="3"/>
        <v>1726900</v>
      </c>
      <c r="I232" s="155"/>
      <c r="J232" s="155"/>
      <c r="L232" s="558"/>
    </row>
    <row r="233" spans="1:12" s="156" customFormat="1" ht="21" customHeight="1">
      <c r="A233" s="205"/>
      <c r="B233" s="169"/>
      <c r="C233" s="161">
        <v>4440</v>
      </c>
      <c r="D233" s="903" t="s">
        <v>56</v>
      </c>
      <c r="E233" s="764">
        <v>1484610</v>
      </c>
      <c r="F233" s="764">
        <v>5586</v>
      </c>
      <c r="G233" s="764"/>
      <c r="H233" s="764">
        <f t="shared" si="3"/>
        <v>1479024</v>
      </c>
      <c r="I233" s="155"/>
      <c r="J233" s="155"/>
      <c r="L233" s="155"/>
    </row>
    <row r="234" spans="1:12" s="95" customFormat="1" ht="18.75" customHeight="1">
      <c r="A234" s="80"/>
      <c r="B234" s="66"/>
      <c r="C234" s="466"/>
      <c r="D234" s="537" t="s">
        <v>413</v>
      </c>
      <c r="E234" s="143">
        <v>4544950</v>
      </c>
      <c r="F234" s="560"/>
      <c r="G234" s="560">
        <f>SUM(G235:G236)</f>
        <v>172170</v>
      </c>
      <c r="H234" s="143">
        <f t="shared" si="3"/>
        <v>4717120</v>
      </c>
      <c r="I234" s="138"/>
      <c r="J234" s="138"/>
      <c r="L234" s="94"/>
    </row>
    <row r="235" spans="1:12" s="95" customFormat="1" ht="18.75" customHeight="1">
      <c r="A235" s="80"/>
      <c r="B235" s="66"/>
      <c r="C235" s="82">
        <v>4110</v>
      </c>
      <c r="D235" s="534" t="s">
        <v>462</v>
      </c>
      <c r="E235" s="418">
        <v>3982350</v>
      </c>
      <c r="F235" s="322"/>
      <c r="G235" s="322">
        <f>205340-58500</f>
        <v>146840</v>
      </c>
      <c r="H235" s="152">
        <f t="shared" si="3"/>
        <v>4129190</v>
      </c>
      <c r="I235" s="138"/>
      <c r="J235" s="138"/>
      <c r="L235" s="94"/>
    </row>
    <row r="236" spans="1:12" s="561" customFormat="1" ht="18.75" customHeight="1">
      <c r="A236" s="204"/>
      <c r="B236" s="81"/>
      <c r="C236" s="81">
        <v>4120</v>
      </c>
      <c r="D236" s="563" t="s">
        <v>463</v>
      </c>
      <c r="E236" s="1540">
        <v>562600</v>
      </c>
      <c r="F236" s="953"/>
      <c r="G236" s="953">
        <f>30330-5000</f>
        <v>25330</v>
      </c>
      <c r="H236" s="783">
        <f t="shared" si="3"/>
        <v>587930</v>
      </c>
      <c r="I236" s="157"/>
      <c r="J236" s="157"/>
      <c r="L236" s="562"/>
    </row>
    <row r="237" spans="1:12" s="561" customFormat="1" ht="36" customHeight="1">
      <c r="A237" s="1547"/>
      <c r="B237" s="1543"/>
      <c r="C237" s="1543"/>
      <c r="D237" s="1582"/>
      <c r="E237" s="1545"/>
      <c r="F237" s="1583"/>
      <c r="G237" s="1583"/>
      <c r="H237" s="1545"/>
      <c r="I237" s="157"/>
      <c r="J237" s="157"/>
      <c r="L237" s="562"/>
    </row>
    <row r="238" spans="1:12" s="130" customFormat="1" ht="21" customHeight="1">
      <c r="A238" s="80"/>
      <c r="B238" s="66"/>
      <c r="C238" s="66"/>
      <c r="D238" s="568" t="s">
        <v>604</v>
      </c>
      <c r="E238" s="865">
        <v>7000190</v>
      </c>
      <c r="F238" s="865"/>
      <c r="G238" s="865">
        <f>G241</f>
        <v>180000</v>
      </c>
      <c r="H238" s="865">
        <f t="shared" si="3"/>
        <v>7180190</v>
      </c>
      <c r="I238" s="138"/>
      <c r="J238" s="138"/>
      <c r="L238" s="138"/>
    </row>
    <row r="239" spans="1:12" s="156" customFormat="1" ht="21" customHeight="1">
      <c r="A239" s="205"/>
      <c r="B239" s="169"/>
      <c r="C239" s="169"/>
      <c r="D239" s="549" t="s">
        <v>692</v>
      </c>
      <c r="E239" s="459">
        <v>3650000</v>
      </c>
      <c r="F239" s="459"/>
      <c r="G239" s="459">
        <v>130000</v>
      </c>
      <c r="H239" s="945">
        <f t="shared" si="3"/>
        <v>3780000</v>
      </c>
      <c r="I239" s="155"/>
      <c r="J239" s="155"/>
      <c r="L239" s="155"/>
    </row>
    <row r="240" spans="1:12" s="156" customFormat="1" ht="21" customHeight="1">
      <c r="A240" s="205"/>
      <c r="B240" s="169"/>
      <c r="C240" s="169"/>
      <c r="D240" s="980" t="s">
        <v>694</v>
      </c>
      <c r="E240" s="461">
        <v>2300000</v>
      </c>
      <c r="F240" s="461"/>
      <c r="G240" s="461">
        <v>50000</v>
      </c>
      <c r="H240" s="461">
        <f t="shared" si="3"/>
        <v>2350000</v>
      </c>
      <c r="I240" s="155"/>
      <c r="J240" s="155"/>
      <c r="L240" s="155"/>
    </row>
    <row r="241" spans="1:12" s="158" customFormat="1" ht="21" customHeight="1">
      <c r="A241" s="204"/>
      <c r="B241" s="82"/>
      <c r="C241" s="82">
        <v>6050</v>
      </c>
      <c r="D241" s="528" t="s">
        <v>599</v>
      </c>
      <c r="E241" s="152">
        <v>7000190</v>
      </c>
      <c r="F241" s="152"/>
      <c r="G241" s="152">
        <f>G239+G240</f>
        <v>180000</v>
      </c>
      <c r="H241" s="152">
        <f t="shared" si="3"/>
        <v>7180190</v>
      </c>
      <c r="I241" s="157"/>
      <c r="J241" s="157"/>
      <c r="L241" s="157"/>
    </row>
    <row r="242" spans="1:12" s="95" customFormat="1" ht="18.75" customHeight="1">
      <c r="A242" s="76"/>
      <c r="B242" s="77">
        <v>80132</v>
      </c>
      <c r="C242" s="77"/>
      <c r="D242" s="77" t="s">
        <v>838</v>
      </c>
      <c r="E242" s="137">
        <v>3695000</v>
      </c>
      <c r="F242" s="79">
        <f>F243+F245+F247</f>
        <v>192000</v>
      </c>
      <c r="G242" s="79"/>
      <c r="H242" s="79">
        <f t="shared" si="3"/>
        <v>3503000</v>
      </c>
      <c r="I242" s="138"/>
      <c r="J242" s="138"/>
      <c r="L242" s="94"/>
    </row>
    <row r="243" spans="1:12" s="95" customFormat="1" ht="18.75" customHeight="1">
      <c r="A243" s="80"/>
      <c r="B243" s="66"/>
      <c r="C243" s="466"/>
      <c r="D243" s="537" t="s">
        <v>57</v>
      </c>
      <c r="E243" s="143">
        <v>2801900</v>
      </c>
      <c r="F243" s="560">
        <f>F244</f>
        <v>150000</v>
      </c>
      <c r="G243" s="560"/>
      <c r="H243" s="143">
        <f t="shared" si="3"/>
        <v>2651900</v>
      </c>
      <c r="I243" s="138"/>
      <c r="J243" s="138"/>
      <c r="L243" s="94"/>
    </row>
    <row r="244" spans="1:12" s="95" customFormat="1" ht="18.75" customHeight="1">
      <c r="A244" s="80"/>
      <c r="B244" s="66"/>
      <c r="C244" s="82">
        <v>4010</v>
      </c>
      <c r="D244" s="534" t="s">
        <v>335</v>
      </c>
      <c r="E244" s="418">
        <v>2600039</v>
      </c>
      <c r="F244" s="322">
        <v>150000</v>
      </c>
      <c r="G244" s="322"/>
      <c r="H244" s="152">
        <f t="shared" si="3"/>
        <v>2450039</v>
      </c>
      <c r="I244" s="138"/>
      <c r="J244" s="138"/>
      <c r="L244" s="94"/>
    </row>
    <row r="245" spans="1:12" s="95" customFormat="1" ht="19.5" customHeight="1">
      <c r="A245" s="80"/>
      <c r="B245" s="66"/>
      <c r="C245" s="466"/>
      <c r="D245" s="537" t="s">
        <v>387</v>
      </c>
      <c r="E245" s="143">
        <v>279000</v>
      </c>
      <c r="F245" s="560">
        <f>F246</f>
        <v>20000</v>
      </c>
      <c r="G245" s="560"/>
      <c r="H245" s="560">
        <f t="shared" si="3"/>
        <v>259000</v>
      </c>
      <c r="I245" s="138"/>
      <c r="J245" s="138"/>
      <c r="L245" s="94"/>
    </row>
    <row r="246" spans="1:12" s="561" customFormat="1" ht="18" customHeight="1">
      <c r="A246" s="204"/>
      <c r="B246" s="81"/>
      <c r="C246" s="82">
        <v>4260</v>
      </c>
      <c r="D246" s="534" t="s">
        <v>464</v>
      </c>
      <c r="E246" s="152">
        <v>60000</v>
      </c>
      <c r="F246" s="548">
        <v>20000</v>
      </c>
      <c r="G246" s="548"/>
      <c r="H246" s="548">
        <f t="shared" si="3"/>
        <v>40000</v>
      </c>
      <c r="I246" s="157"/>
      <c r="J246" s="157"/>
      <c r="L246" s="562"/>
    </row>
    <row r="247" spans="1:12" s="95" customFormat="1" ht="19.5" customHeight="1">
      <c r="A247" s="80"/>
      <c r="B247" s="66"/>
      <c r="C247" s="66"/>
      <c r="D247" s="618" t="s">
        <v>413</v>
      </c>
      <c r="E247" s="865">
        <v>561100</v>
      </c>
      <c r="F247" s="619">
        <f>SUM(F248:F248)</f>
        <v>22000</v>
      </c>
      <c r="G247" s="619"/>
      <c r="H247" s="619">
        <f t="shared" si="3"/>
        <v>539100</v>
      </c>
      <c r="I247" s="138"/>
      <c r="J247" s="138"/>
      <c r="L247" s="94"/>
    </row>
    <row r="248" spans="1:12" s="561" customFormat="1" ht="18" customHeight="1">
      <c r="A248" s="204"/>
      <c r="B248" s="81"/>
      <c r="C248" s="82">
        <v>4110</v>
      </c>
      <c r="D248" s="534" t="s">
        <v>462</v>
      </c>
      <c r="E248" s="152">
        <v>496100</v>
      </c>
      <c r="F248" s="548">
        <v>22000</v>
      </c>
      <c r="G248" s="548"/>
      <c r="H248" s="548">
        <f t="shared" si="3"/>
        <v>474100</v>
      </c>
      <c r="I248" s="157"/>
      <c r="J248" s="157"/>
      <c r="L248" s="562"/>
    </row>
    <row r="249" spans="1:12" s="95" customFormat="1" ht="18.75" customHeight="1">
      <c r="A249" s="76"/>
      <c r="B249" s="77">
        <v>80134</v>
      </c>
      <c r="C249" s="77"/>
      <c r="D249" s="77" t="s">
        <v>839</v>
      </c>
      <c r="E249" s="137">
        <v>5153038</v>
      </c>
      <c r="F249" s="79">
        <f>F250+F252+F254</f>
        <v>40538</v>
      </c>
      <c r="G249" s="79">
        <f>G250+G252+G254</f>
        <v>72040</v>
      </c>
      <c r="H249" s="79">
        <f t="shared" si="3"/>
        <v>5184540</v>
      </c>
      <c r="I249" s="138"/>
      <c r="J249" s="138"/>
      <c r="L249" s="94"/>
    </row>
    <row r="250" spans="1:12" s="95" customFormat="1" ht="18.75" customHeight="1">
      <c r="A250" s="80"/>
      <c r="B250" s="66"/>
      <c r="C250" s="466"/>
      <c r="D250" s="537" t="s">
        <v>57</v>
      </c>
      <c r="E250" s="143">
        <v>3886200</v>
      </c>
      <c r="F250" s="560"/>
      <c r="G250" s="560">
        <f>G251</f>
        <v>33200</v>
      </c>
      <c r="H250" s="143">
        <f t="shared" si="3"/>
        <v>3919400</v>
      </c>
      <c r="I250" s="138"/>
      <c r="J250" s="138"/>
      <c r="L250" s="94"/>
    </row>
    <row r="251" spans="1:12" s="95" customFormat="1" ht="18.75" customHeight="1">
      <c r="A251" s="80"/>
      <c r="B251" s="66"/>
      <c r="C251" s="82">
        <v>4010</v>
      </c>
      <c r="D251" s="534" t="s">
        <v>335</v>
      </c>
      <c r="E251" s="418">
        <v>3623923</v>
      </c>
      <c r="F251" s="322"/>
      <c r="G251" s="322">
        <f>63200-30000</f>
        <v>33200</v>
      </c>
      <c r="H251" s="152">
        <f t="shared" si="3"/>
        <v>3657123</v>
      </c>
      <c r="I251" s="138"/>
      <c r="J251" s="138"/>
      <c r="L251" s="94"/>
    </row>
    <row r="252" spans="1:12" s="95" customFormat="1" ht="19.5" customHeight="1">
      <c r="A252" s="80"/>
      <c r="B252" s="66"/>
      <c r="C252" s="466"/>
      <c r="D252" s="537" t="s">
        <v>387</v>
      </c>
      <c r="E252" s="143">
        <v>523638</v>
      </c>
      <c r="F252" s="560">
        <f>F253</f>
        <v>40538</v>
      </c>
      <c r="G252" s="560"/>
      <c r="H252" s="560">
        <f t="shared" si="3"/>
        <v>483100</v>
      </c>
      <c r="I252" s="138"/>
      <c r="J252" s="138"/>
      <c r="L252" s="94"/>
    </row>
    <row r="253" spans="1:12" s="561" customFormat="1" ht="18" customHeight="1">
      <c r="A253" s="204"/>
      <c r="B253" s="81"/>
      <c r="C253" s="82">
        <v>4260</v>
      </c>
      <c r="D253" s="534" t="s">
        <v>464</v>
      </c>
      <c r="E253" s="152">
        <v>242038</v>
      </c>
      <c r="F253" s="548">
        <f>46038-5500</f>
        <v>40538</v>
      </c>
      <c r="G253" s="548"/>
      <c r="H253" s="548">
        <f t="shared" si="3"/>
        <v>201500</v>
      </c>
      <c r="I253" s="157"/>
      <c r="J253" s="157"/>
      <c r="L253" s="562"/>
    </row>
    <row r="254" spans="1:12" s="95" customFormat="1" ht="19.5" customHeight="1">
      <c r="A254" s="80"/>
      <c r="B254" s="66"/>
      <c r="C254" s="66"/>
      <c r="D254" s="618" t="s">
        <v>413</v>
      </c>
      <c r="E254" s="865">
        <v>743200</v>
      </c>
      <c r="F254" s="619"/>
      <c r="G254" s="619">
        <f>SUM(G255:G256)</f>
        <v>38840</v>
      </c>
      <c r="H254" s="619">
        <f t="shared" si="3"/>
        <v>782040</v>
      </c>
      <c r="I254" s="138"/>
      <c r="J254" s="138"/>
      <c r="L254" s="94"/>
    </row>
    <row r="255" spans="1:12" s="561" customFormat="1" ht="18" customHeight="1">
      <c r="A255" s="204"/>
      <c r="B255" s="81"/>
      <c r="C255" s="82">
        <v>4110</v>
      </c>
      <c r="D255" s="534" t="s">
        <v>462</v>
      </c>
      <c r="E255" s="152">
        <v>658650</v>
      </c>
      <c r="F255" s="548"/>
      <c r="G255" s="548">
        <f>35200-6000</f>
        <v>29200</v>
      </c>
      <c r="H255" s="548">
        <f t="shared" si="3"/>
        <v>687850</v>
      </c>
      <c r="I255" s="157"/>
      <c r="J255" s="157"/>
      <c r="L255" s="562"/>
    </row>
    <row r="256" spans="1:12" s="561" customFormat="1" ht="18" customHeight="1">
      <c r="A256" s="204"/>
      <c r="B256" s="82"/>
      <c r="C256" s="82">
        <v>4120</v>
      </c>
      <c r="D256" s="534" t="s">
        <v>463</v>
      </c>
      <c r="E256" s="152">
        <v>84550</v>
      </c>
      <c r="F256" s="548"/>
      <c r="G256" s="548">
        <v>9640</v>
      </c>
      <c r="H256" s="548">
        <f t="shared" si="3"/>
        <v>94190</v>
      </c>
      <c r="I256" s="157"/>
      <c r="J256" s="157"/>
      <c r="L256" s="562"/>
    </row>
    <row r="257" spans="1:12" s="95" customFormat="1" ht="25.5">
      <c r="A257" s="76"/>
      <c r="B257" s="77">
        <v>80140</v>
      </c>
      <c r="C257" s="77"/>
      <c r="D257" s="323" t="s">
        <v>272</v>
      </c>
      <c r="E257" s="137">
        <v>10898620</v>
      </c>
      <c r="F257" s="79">
        <f>F258+F260+F262</f>
        <v>158800</v>
      </c>
      <c r="G257" s="79">
        <f>G258+G260+G262</f>
        <v>37000</v>
      </c>
      <c r="H257" s="79">
        <f t="shared" si="3"/>
        <v>10776820</v>
      </c>
      <c r="I257" s="138"/>
      <c r="J257" s="138"/>
      <c r="L257" s="94"/>
    </row>
    <row r="258" spans="1:12" s="95" customFormat="1" ht="18.75" customHeight="1">
      <c r="A258" s="80"/>
      <c r="B258" s="66"/>
      <c r="C258" s="466"/>
      <c r="D258" s="537" t="s">
        <v>57</v>
      </c>
      <c r="E258" s="143">
        <v>8095100</v>
      </c>
      <c r="F258" s="560">
        <f>F259</f>
        <v>105940</v>
      </c>
      <c r="G258" s="560"/>
      <c r="H258" s="143">
        <f t="shared" si="3"/>
        <v>7989160</v>
      </c>
      <c r="I258" s="138"/>
      <c r="J258" s="138"/>
      <c r="L258" s="94"/>
    </row>
    <row r="259" spans="1:12" s="95" customFormat="1" ht="18.75" customHeight="1">
      <c r="A259" s="80"/>
      <c r="B259" s="66"/>
      <c r="C259" s="82">
        <v>4010</v>
      </c>
      <c r="D259" s="534" t="s">
        <v>335</v>
      </c>
      <c r="E259" s="418">
        <v>7450791</v>
      </c>
      <c r="F259" s="322">
        <f>236940-131000</f>
        <v>105940</v>
      </c>
      <c r="G259" s="322"/>
      <c r="H259" s="152">
        <f t="shared" si="3"/>
        <v>7344851</v>
      </c>
      <c r="I259" s="138"/>
      <c r="J259" s="138"/>
      <c r="L259" s="94"/>
    </row>
    <row r="260" spans="1:12" s="95" customFormat="1" ht="19.5" customHeight="1">
      <c r="A260" s="80"/>
      <c r="B260" s="66"/>
      <c r="C260" s="466"/>
      <c r="D260" s="537" t="s">
        <v>387</v>
      </c>
      <c r="E260" s="143">
        <v>1165200</v>
      </c>
      <c r="F260" s="560"/>
      <c r="G260" s="560">
        <f>G261</f>
        <v>37000</v>
      </c>
      <c r="H260" s="560">
        <f t="shared" si="3"/>
        <v>1202200</v>
      </c>
      <c r="I260" s="138"/>
      <c r="J260" s="138"/>
      <c r="L260" s="94"/>
    </row>
    <row r="261" spans="1:12" s="561" customFormat="1" ht="18" customHeight="1">
      <c r="A261" s="204"/>
      <c r="B261" s="81"/>
      <c r="C261" s="82">
        <v>4260</v>
      </c>
      <c r="D261" s="534" t="s">
        <v>464</v>
      </c>
      <c r="E261" s="152">
        <v>336300</v>
      </c>
      <c r="F261" s="548"/>
      <c r="G261" s="548">
        <v>37000</v>
      </c>
      <c r="H261" s="548">
        <f t="shared" si="3"/>
        <v>373300</v>
      </c>
      <c r="I261" s="157"/>
      <c r="J261" s="157"/>
      <c r="L261" s="562"/>
    </row>
    <row r="262" spans="1:12" s="95" customFormat="1" ht="19.5" customHeight="1">
      <c r="A262" s="80"/>
      <c r="B262" s="66"/>
      <c r="C262" s="66"/>
      <c r="D262" s="618" t="s">
        <v>413</v>
      </c>
      <c r="E262" s="865">
        <v>1624700</v>
      </c>
      <c r="F262" s="619">
        <f>SUM(F263:F264)</f>
        <v>52860</v>
      </c>
      <c r="G262" s="619"/>
      <c r="H262" s="619">
        <f t="shared" si="3"/>
        <v>1571840</v>
      </c>
      <c r="I262" s="138"/>
      <c r="J262" s="138"/>
      <c r="L262" s="94"/>
    </row>
    <row r="263" spans="1:12" s="561" customFormat="1" ht="18" customHeight="1">
      <c r="A263" s="204"/>
      <c r="B263" s="81"/>
      <c r="C263" s="82">
        <v>4110</v>
      </c>
      <c r="D263" s="534" t="s">
        <v>462</v>
      </c>
      <c r="E263" s="152">
        <v>1421950</v>
      </c>
      <c r="F263" s="548">
        <f>100000-48600</f>
        <v>51400</v>
      </c>
      <c r="G263" s="548"/>
      <c r="H263" s="548">
        <f t="shared" si="3"/>
        <v>1370550</v>
      </c>
      <c r="I263" s="157"/>
      <c r="J263" s="157"/>
      <c r="L263" s="562"/>
    </row>
    <row r="264" spans="1:12" s="561" customFormat="1" ht="18" customHeight="1">
      <c r="A264" s="204"/>
      <c r="B264" s="82"/>
      <c r="C264" s="82">
        <v>4120</v>
      </c>
      <c r="D264" s="534" t="s">
        <v>463</v>
      </c>
      <c r="E264" s="152">
        <v>202750</v>
      </c>
      <c r="F264" s="548">
        <f>3700-2240</f>
        <v>1460</v>
      </c>
      <c r="G264" s="548"/>
      <c r="H264" s="548">
        <f t="shared" si="3"/>
        <v>201290</v>
      </c>
      <c r="I264" s="157"/>
      <c r="J264" s="157"/>
      <c r="L264" s="562"/>
    </row>
    <row r="265" spans="1:12" s="95" customFormat="1" ht="18.75" customHeight="1">
      <c r="A265" s="76"/>
      <c r="B265" s="78">
        <v>80146</v>
      </c>
      <c r="C265" s="78"/>
      <c r="D265" s="78" t="s">
        <v>710</v>
      </c>
      <c r="E265" s="559">
        <v>1630000</v>
      </c>
      <c r="F265" s="523">
        <f>F266</f>
        <v>28177</v>
      </c>
      <c r="G265" s="523">
        <f>G266</f>
        <v>28177</v>
      </c>
      <c r="H265" s="523">
        <f t="shared" si="3"/>
        <v>1630000</v>
      </c>
      <c r="I265" s="138"/>
      <c r="J265" s="138"/>
      <c r="L265" s="94"/>
    </row>
    <row r="266" spans="1:12" s="95" customFormat="1" ht="21" customHeight="1">
      <c r="A266" s="80"/>
      <c r="B266" s="466"/>
      <c r="C266" s="466"/>
      <c r="D266" s="999" t="s">
        <v>807</v>
      </c>
      <c r="E266" s="144">
        <v>1630000</v>
      </c>
      <c r="F266" s="565">
        <f>SUM(F267:F272)</f>
        <v>28177</v>
      </c>
      <c r="G266" s="565">
        <f>SUM(G267:G272)</f>
        <v>28177</v>
      </c>
      <c r="H266" s="565">
        <f t="shared" si="3"/>
        <v>1630000</v>
      </c>
      <c r="I266" s="138"/>
      <c r="J266" s="138"/>
      <c r="L266" s="94"/>
    </row>
    <row r="267" spans="1:12" s="557" customFormat="1" ht="21" customHeight="1">
      <c r="A267" s="227"/>
      <c r="B267" s="320"/>
      <c r="C267" s="320">
        <v>4010</v>
      </c>
      <c r="D267" s="778" t="s">
        <v>335</v>
      </c>
      <c r="E267" s="154">
        <v>560608</v>
      </c>
      <c r="F267" s="636">
        <f>15408-5401-7424+20192</f>
        <v>22775</v>
      </c>
      <c r="G267" s="636"/>
      <c r="H267" s="636">
        <f t="shared" si="3"/>
        <v>537833</v>
      </c>
      <c r="I267" s="155"/>
      <c r="J267" s="155"/>
      <c r="L267" s="558"/>
    </row>
    <row r="268" spans="1:12" s="557" customFormat="1" ht="21" customHeight="1">
      <c r="A268" s="205"/>
      <c r="B268" s="169"/>
      <c r="C268" s="320">
        <v>4110</v>
      </c>
      <c r="D268" s="321" t="s">
        <v>462</v>
      </c>
      <c r="E268" s="418">
        <v>42277</v>
      </c>
      <c r="F268" s="322">
        <f>1101-1025-733+1468</f>
        <v>811</v>
      </c>
      <c r="G268" s="322"/>
      <c r="H268" s="322">
        <f t="shared" si="3"/>
        <v>41466</v>
      </c>
      <c r="I268" s="155"/>
      <c r="J268" s="155"/>
      <c r="L268" s="558"/>
    </row>
    <row r="269" spans="1:12" s="557" customFormat="1" ht="21" customHeight="1">
      <c r="A269" s="205"/>
      <c r="B269" s="169"/>
      <c r="C269" s="161">
        <v>4120</v>
      </c>
      <c r="D269" s="903" t="s">
        <v>463</v>
      </c>
      <c r="E269" s="764">
        <v>5758</v>
      </c>
      <c r="F269" s="765">
        <f>200-100+150-145</f>
        <v>105</v>
      </c>
      <c r="G269" s="765"/>
      <c r="H269" s="765">
        <f t="shared" si="3"/>
        <v>5653</v>
      </c>
      <c r="I269" s="155"/>
      <c r="J269" s="155"/>
      <c r="L269" s="558"/>
    </row>
    <row r="270" spans="1:12" s="557" customFormat="1" ht="21" customHeight="1">
      <c r="A270" s="205"/>
      <c r="B270" s="169"/>
      <c r="C270" s="161">
        <v>4170</v>
      </c>
      <c r="D270" s="903" t="s">
        <v>395</v>
      </c>
      <c r="E270" s="764">
        <v>105539</v>
      </c>
      <c r="F270" s="765">
        <f>5086-600</f>
        <v>4486</v>
      </c>
      <c r="G270" s="765"/>
      <c r="H270" s="765">
        <f t="shared" si="3"/>
        <v>101053</v>
      </c>
      <c r="I270" s="155"/>
      <c r="J270" s="155"/>
      <c r="L270" s="558"/>
    </row>
    <row r="271" spans="1:12" s="557" customFormat="1" ht="21" customHeight="1">
      <c r="A271" s="205"/>
      <c r="B271" s="169"/>
      <c r="C271" s="161">
        <v>4210</v>
      </c>
      <c r="D271" s="903" t="s">
        <v>383</v>
      </c>
      <c r="E271" s="764">
        <v>11550</v>
      </c>
      <c r="F271" s="765"/>
      <c r="G271" s="765">
        <f>450-450+300-201</f>
        <v>99</v>
      </c>
      <c r="H271" s="765">
        <f t="shared" si="3"/>
        <v>11649</v>
      </c>
      <c r="I271" s="155"/>
      <c r="J271" s="155"/>
      <c r="L271" s="558"/>
    </row>
    <row r="272" spans="1:12" s="557" customFormat="1" ht="21" customHeight="1">
      <c r="A272" s="227"/>
      <c r="B272" s="320"/>
      <c r="C272" s="161">
        <v>4300</v>
      </c>
      <c r="D272" s="903" t="s">
        <v>384</v>
      </c>
      <c r="E272" s="764">
        <v>900605</v>
      </c>
      <c r="F272" s="765"/>
      <c r="G272" s="765">
        <f>15174+12904</f>
        <v>28078</v>
      </c>
      <c r="H272" s="765">
        <f aca="true" t="shared" si="4" ref="H272:H338">E272+G272-F272</f>
        <v>928683</v>
      </c>
      <c r="I272" s="155"/>
      <c r="J272" s="155"/>
      <c r="L272" s="558"/>
    </row>
    <row r="273" spans="1:12" ht="21" customHeight="1">
      <c r="A273" s="431">
        <v>851</v>
      </c>
      <c r="B273" s="73"/>
      <c r="C273" s="73"/>
      <c r="D273" s="92" t="s">
        <v>370</v>
      </c>
      <c r="E273" s="74">
        <v>6195000</v>
      </c>
      <c r="F273" s="75">
        <f>F274+F281+F293</f>
        <v>15064</v>
      </c>
      <c r="G273" s="75">
        <f>G274+G281+G293</f>
        <v>15064</v>
      </c>
      <c r="H273" s="75">
        <f t="shared" si="4"/>
        <v>6195000</v>
      </c>
      <c r="I273" s="47"/>
      <c r="J273" s="47"/>
      <c r="L273" s="47"/>
    </row>
    <row r="274" spans="1:12" s="130" customFormat="1" ht="21" customHeight="1">
      <c r="A274" s="76"/>
      <c r="B274" s="77">
        <v>85149</v>
      </c>
      <c r="C274" s="77"/>
      <c r="D274" s="78" t="s">
        <v>467</v>
      </c>
      <c r="E274" s="137">
        <v>216500</v>
      </c>
      <c r="F274" s="137">
        <f>F275</f>
        <v>5000</v>
      </c>
      <c r="G274" s="137">
        <f>G275</f>
        <v>5000</v>
      </c>
      <c r="H274" s="137">
        <f t="shared" si="4"/>
        <v>216500</v>
      </c>
      <c r="I274" s="138"/>
      <c r="J274" s="138"/>
      <c r="L274" s="138"/>
    </row>
    <row r="275" spans="1:12" s="130" customFormat="1" ht="21" customHeight="1">
      <c r="A275" s="80"/>
      <c r="B275" s="466"/>
      <c r="C275" s="466"/>
      <c r="D275" s="210" t="s">
        <v>699</v>
      </c>
      <c r="E275" s="144">
        <v>216500</v>
      </c>
      <c r="F275" s="144">
        <f>SUM(F276:F280)</f>
        <v>5000</v>
      </c>
      <c r="G275" s="144">
        <f>SUM(G276:G280)</f>
        <v>5000</v>
      </c>
      <c r="H275" s="144">
        <f t="shared" si="4"/>
        <v>216500</v>
      </c>
      <c r="I275" s="138"/>
      <c r="J275" s="138"/>
      <c r="L275" s="138"/>
    </row>
    <row r="276" spans="1:12" s="158" customFormat="1" ht="18" customHeight="1">
      <c r="A276" s="204"/>
      <c r="B276" s="81"/>
      <c r="C276" s="82">
        <v>4110</v>
      </c>
      <c r="D276" s="83" t="s">
        <v>462</v>
      </c>
      <c r="E276" s="145">
        <v>648</v>
      </c>
      <c r="F276" s="145"/>
      <c r="G276" s="145">
        <v>336</v>
      </c>
      <c r="H276" s="145">
        <f t="shared" si="4"/>
        <v>984</v>
      </c>
      <c r="I276" s="157"/>
      <c r="J276" s="157"/>
      <c r="L276" s="157"/>
    </row>
    <row r="277" spans="1:12" s="158" customFormat="1" ht="18" customHeight="1">
      <c r="A277" s="204"/>
      <c r="B277" s="81"/>
      <c r="C277" s="81">
        <v>4120</v>
      </c>
      <c r="D277" s="972" t="s">
        <v>463</v>
      </c>
      <c r="E277" s="553">
        <v>93</v>
      </c>
      <c r="F277" s="553"/>
      <c r="G277" s="553">
        <v>100</v>
      </c>
      <c r="H277" s="152">
        <f t="shared" si="4"/>
        <v>193</v>
      </c>
      <c r="I277" s="157"/>
      <c r="J277" s="157"/>
      <c r="L277" s="157"/>
    </row>
    <row r="278" spans="1:12" s="158" customFormat="1" ht="18" customHeight="1">
      <c r="A278" s="204"/>
      <c r="B278" s="81"/>
      <c r="C278" s="480">
        <v>4170</v>
      </c>
      <c r="D278" s="539" t="s">
        <v>395</v>
      </c>
      <c r="E278" s="579">
        <v>9799</v>
      </c>
      <c r="F278" s="579"/>
      <c r="G278" s="579">
        <v>2384</v>
      </c>
      <c r="H278" s="152">
        <f t="shared" si="4"/>
        <v>12183</v>
      </c>
      <c r="I278" s="157"/>
      <c r="J278" s="157"/>
      <c r="L278" s="157"/>
    </row>
    <row r="279" spans="1:12" s="158" customFormat="1" ht="18" customHeight="1">
      <c r="A279" s="204"/>
      <c r="B279" s="81"/>
      <c r="C279" s="480">
        <v>4210</v>
      </c>
      <c r="D279" s="539" t="s">
        <v>383</v>
      </c>
      <c r="E279" s="579">
        <v>14180</v>
      </c>
      <c r="F279" s="579"/>
      <c r="G279" s="579">
        <v>2180</v>
      </c>
      <c r="H279" s="152">
        <f t="shared" si="4"/>
        <v>16360</v>
      </c>
      <c r="I279" s="157"/>
      <c r="J279" s="157"/>
      <c r="L279" s="157"/>
    </row>
    <row r="280" spans="1:12" s="158" customFormat="1" ht="21" customHeight="1">
      <c r="A280" s="204"/>
      <c r="B280" s="82"/>
      <c r="C280" s="320">
        <v>4280</v>
      </c>
      <c r="D280" s="776" t="s">
        <v>465</v>
      </c>
      <c r="E280" s="145">
        <v>180380</v>
      </c>
      <c r="F280" s="145">
        <v>5000</v>
      </c>
      <c r="G280" s="145"/>
      <c r="H280" s="145">
        <f t="shared" si="4"/>
        <v>175380</v>
      </c>
      <c r="I280" s="157"/>
      <c r="J280" s="157"/>
      <c r="L280" s="157"/>
    </row>
    <row r="281" spans="1:12" s="130" customFormat="1" ht="21" customHeight="1">
      <c r="A281" s="76"/>
      <c r="B281" s="78">
        <v>85154</v>
      </c>
      <c r="C281" s="78"/>
      <c r="D281" s="78" t="s">
        <v>394</v>
      </c>
      <c r="E281" s="137">
        <v>4305000</v>
      </c>
      <c r="F281" s="137">
        <f>F282</f>
        <v>9219</v>
      </c>
      <c r="G281" s="137">
        <f>G282</f>
        <v>9219</v>
      </c>
      <c r="H281" s="137">
        <f t="shared" si="4"/>
        <v>4305000</v>
      </c>
      <c r="I281" s="138"/>
      <c r="J281" s="138"/>
      <c r="L281" s="138"/>
    </row>
    <row r="282" spans="1:12" s="130" customFormat="1" ht="27.75" customHeight="1">
      <c r="A282" s="80"/>
      <c r="B282" s="466"/>
      <c r="C282" s="466"/>
      <c r="D282" s="601" t="s">
        <v>163</v>
      </c>
      <c r="E282" s="602">
        <v>4305000</v>
      </c>
      <c r="F282" s="602">
        <f>F289+F283</f>
        <v>9219</v>
      </c>
      <c r="G282" s="602">
        <f>G289+G283</f>
        <v>9219</v>
      </c>
      <c r="H282" s="602">
        <f t="shared" si="4"/>
        <v>4305000</v>
      </c>
      <c r="I282" s="138"/>
      <c r="J282" s="138"/>
      <c r="L282" s="138"/>
    </row>
    <row r="283" spans="1:12" s="158" customFormat="1" ht="79.5" customHeight="1">
      <c r="A283" s="204"/>
      <c r="B283" s="81"/>
      <c r="C283" s="66"/>
      <c r="D283" s="1263" t="s">
        <v>162</v>
      </c>
      <c r="E283" s="1314">
        <v>1910000</v>
      </c>
      <c r="F283" s="1314">
        <f>SUM(F284:F288)</f>
        <v>8219</v>
      </c>
      <c r="G283" s="1314">
        <f>SUM(G284:G288)</f>
        <v>8219</v>
      </c>
      <c r="H283" s="1314">
        <f t="shared" si="4"/>
        <v>1910000</v>
      </c>
      <c r="I283" s="157"/>
      <c r="J283" s="157"/>
      <c r="L283" s="157"/>
    </row>
    <row r="284" spans="1:12" s="130" customFormat="1" ht="21" customHeight="1">
      <c r="A284" s="205"/>
      <c r="B284" s="169"/>
      <c r="C284" s="534">
        <v>4110</v>
      </c>
      <c r="D284" s="534" t="s">
        <v>462</v>
      </c>
      <c r="E284" s="414">
        <v>53283</v>
      </c>
      <c r="F284" s="414">
        <f>285-153</f>
        <v>132</v>
      </c>
      <c r="G284" s="414"/>
      <c r="H284" s="152">
        <f t="shared" si="4"/>
        <v>53151</v>
      </c>
      <c r="I284" s="138"/>
      <c r="J284" s="138"/>
      <c r="L284" s="138"/>
    </row>
    <row r="285" spans="1:12" s="130" customFormat="1" ht="21" customHeight="1">
      <c r="A285" s="205"/>
      <c r="B285" s="169"/>
      <c r="C285" s="534">
        <v>4120</v>
      </c>
      <c r="D285" s="534" t="s">
        <v>463</v>
      </c>
      <c r="E285" s="414">
        <v>7749</v>
      </c>
      <c r="F285" s="414"/>
      <c r="G285" s="414">
        <v>22</v>
      </c>
      <c r="H285" s="152">
        <f t="shared" si="4"/>
        <v>7771</v>
      </c>
      <c r="I285" s="138"/>
      <c r="J285" s="138"/>
      <c r="L285" s="138"/>
    </row>
    <row r="286" spans="1:12" s="130" customFormat="1" ht="21" customHeight="1">
      <c r="A286" s="205"/>
      <c r="B286" s="169"/>
      <c r="C286" s="534">
        <v>4170</v>
      </c>
      <c r="D286" s="534" t="s">
        <v>395</v>
      </c>
      <c r="E286" s="414">
        <v>386240</v>
      </c>
      <c r="F286" s="414"/>
      <c r="G286" s="414">
        <f>8087-188</f>
        <v>7899</v>
      </c>
      <c r="H286" s="152">
        <f t="shared" si="4"/>
        <v>394139</v>
      </c>
      <c r="I286" s="138"/>
      <c r="J286" s="138"/>
      <c r="L286" s="138"/>
    </row>
    <row r="287" spans="1:12" s="130" customFormat="1" ht="21" customHeight="1">
      <c r="A287" s="205"/>
      <c r="B287" s="169"/>
      <c r="C287" s="534">
        <v>4240</v>
      </c>
      <c r="D287" s="534" t="s">
        <v>711</v>
      </c>
      <c r="E287" s="414">
        <v>20776</v>
      </c>
      <c r="F287" s="414"/>
      <c r="G287" s="414">
        <v>298</v>
      </c>
      <c r="H287" s="152">
        <f t="shared" si="4"/>
        <v>21074</v>
      </c>
      <c r="I287" s="138"/>
      <c r="J287" s="138"/>
      <c r="L287" s="138"/>
    </row>
    <row r="288" spans="1:12" s="130" customFormat="1" ht="21" customHeight="1">
      <c r="A288" s="76"/>
      <c r="B288" s="449"/>
      <c r="C288" s="82">
        <v>4300</v>
      </c>
      <c r="D288" s="83" t="s">
        <v>384</v>
      </c>
      <c r="E288" s="84">
        <v>604604</v>
      </c>
      <c r="F288" s="84">
        <v>8087</v>
      </c>
      <c r="G288" s="84"/>
      <c r="H288" s="84">
        <f t="shared" si="4"/>
        <v>596517</v>
      </c>
      <c r="I288" s="138"/>
      <c r="J288" s="138"/>
      <c r="L288" s="138"/>
    </row>
    <row r="289" spans="1:12" s="158" customFormat="1" ht="19.5" customHeight="1">
      <c r="A289" s="204"/>
      <c r="B289" s="81"/>
      <c r="C289" s="66"/>
      <c r="D289" s="532" t="s">
        <v>701</v>
      </c>
      <c r="E289" s="533">
        <v>232000</v>
      </c>
      <c r="F289" s="533">
        <f>SUM(F290:F291)</f>
        <v>1000</v>
      </c>
      <c r="G289" s="533">
        <f>SUM(G290:G291)</f>
        <v>1000</v>
      </c>
      <c r="H289" s="533">
        <f t="shared" si="4"/>
        <v>232000</v>
      </c>
      <c r="I289" s="157"/>
      <c r="J289" s="157"/>
      <c r="L289" s="157"/>
    </row>
    <row r="290" spans="1:12" s="158" customFormat="1" ht="18" customHeight="1">
      <c r="A290" s="204"/>
      <c r="B290" s="81"/>
      <c r="C290" s="82">
        <v>4110</v>
      </c>
      <c r="D290" s="83" t="s">
        <v>462</v>
      </c>
      <c r="E290" s="152">
        <v>5000</v>
      </c>
      <c r="F290" s="152"/>
      <c r="G290" s="152">
        <v>1000</v>
      </c>
      <c r="H290" s="152">
        <f t="shared" si="4"/>
        <v>6000</v>
      </c>
      <c r="I290" s="157"/>
      <c r="J290" s="157"/>
      <c r="L290" s="157"/>
    </row>
    <row r="291" spans="1:12" s="158" customFormat="1" ht="18" customHeight="1">
      <c r="A291" s="204"/>
      <c r="B291" s="81"/>
      <c r="C291" s="81">
        <v>4210</v>
      </c>
      <c r="D291" s="972" t="s">
        <v>383</v>
      </c>
      <c r="E291" s="553">
        <v>18500</v>
      </c>
      <c r="F291" s="553">
        <v>1000</v>
      </c>
      <c r="G291" s="553"/>
      <c r="H291" s="553">
        <f t="shared" si="4"/>
        <v>17500</v>
      </c>
      <c r="I291" s="157"/>
      <c r="J291" s="157"/>
      <c r="L291" s="157"/>
    </row>
    <row r="292" spans="1:12" s="158" customFormat="1" ht="35.25" customHeight="1">
      <c r="A292" s="1547"/>
      <c r="B292" s="1543"/>
      <c r="C292" s="1543"/>
      <c r="D292" s="1549"/>
      <c r="E292" s="1585"/>
      <c r="F292" s="1585"/>
      <c r="G292" s="1585"/>
      <c r="H292" s="1585"/>
      <c r="I292" s="157"/>
      <c r="J292" s="157"/>
      <c r="L292" s="157"/>
    </row>
    <row r="293" spans="1:12" s="130" customFormat="1" ht="21" customHeight="1">
      <c r="A293" s="76"/>
      <c r="B293" s="78">
        <v>85195</v>
      </c>
      <c r="C293" s="78"/>
      <c r="D293" s="78" t="s">
        <v>366</v>
      </c>
      <c r="E293" s="559">
        <v>420000</v>
      </c>
      <c r="F293" s="559">
        <f>F294</f>
        <v>845</v>
      </c>
      <c r="G293" s="559">
        <f>G294</f>
        <v>845</v>
      </c>
      <c r="H293" s="559">
        <f t="shared" si="4"/>
        <v>420000</v>
      </c>
      <c r="I293" s="138"/>
      <c r="J293" s="138"/>
      <c r="L293" s="138"/>
    </row>
    <row r="294" spans="1:12" s="130" customFormat="1" ht="29.25" customHeight="1">
      <c r="A294" s="80"/>
      <c r="B294" s="466"/>
      <c r="C294" s="466"/>
      <c r="D294" s="530" t="s">
        <v>476</v>
      </c>
      <c r="E294" s="531">
        <v>400000</v>
      </c>
      <c r="F294" s="531">
        <f>F295</f>
        <v>845</v>
      </c>
      <c r="G294" s="531">
        <f>G295</f>
        <v>845</v>
      </c>
      <c r="H294" s="531">
        <f t="shared" si="4"/>
        <v>400000</v>
      </c>
      <c r="I294" s="138"/>
      <c r="J294" s="138"/>
      <c r="L294" s="138"/>
    </row>
    <row r="295" spans="1:12" s="158" customFormat="1" ht="25.5">
      <c r="A295" s="204"/>
      <c r="B295" s="81"/>
      <c r="C295" s="66"/>
      <c r="D295" s="1039" t="s">
        <v>239</v>
      </c>
      <c r="E295" s="533">
        <v>70160</v>
      </c>
      <c r="F295" s="533">
        <f>SUM(F296:F297)</f>
        <v>845</v>
      </c>
      <c r="G295" s="533">
        <f>SUM(G296:G297)</f>
        <v>845</v>
      </c>
      <c r="H295" s="533">
        <f t="shared" si="4"/>
        <v>70160</v>
      </c>
      <c r="I295" s="157"/>
      <c r="J295" s="157"/>
      <c r="L295" s="157"/>
    </row>
    <row r="296" spans="1:12" s="158" customFormat="1" ht="21" customHeight="1">
      <c r="A296" s="204"/>
      <c r="B296" s="81"/>
      <c r="C296" s="82">
        <v>4170</v>
      </c>
      <c r="D296" s="566" t="s">
        <v>395</v>
      </c>
      <c r="E296" s="152">
        <v>3351</v>
      </c>
      <c r="F296" s="152"/>
      <c r="G296" s="152">
        <v>845</v>
      </c>
      <c r="H296" s="152">
        <f t="shared" si="4"/>
        <v>4196</v>
      </c>
      <c r="I296" s="157"/>
      <c r="J296" s="157"/>
      <c r="L296" s="157"/>
    </row>
    <row r="297" spans="1:12" s="158" customFormat="1" ht="21" customHeight="1">
      <c r="A297" s="540"/>
      <c r="B297" s="82"/>
      <c r="C297" s="82">
        <v>4300</v>
      </c>
      <c r="D297" s="534" t="s">
        <v>384</v>
      </c>
      <c r="E297" s="152">
        <v>11500</v>
      </c>
      <c r="F297" s="152">
        <v>845</v>
      </c>
      <c r="G297" s="152"/>
      <c r="H297" s="152">
        <f t="shared" si="4"/>
        <v>10655</v>
      </c>
      <c r="I297" s="157"/>
      <c r="J297" s="157"/>
      <c r="L297" s="157"/>
    </row>
    <row r="298" spans="1:12" ht="21" customHeight="1">
      <c r="A298" s="431">
        <v>852</v>
      </c>
      <c r="B298" s="73"/>
      <c r="C298" s="73"/>
      <c r="D298" s="92" t="s">
        <v>368</v>
      </c>
      <c r="E298" s="74">
        <v>99508725</v>
      </c>
      <c r="F298" s="75">
        <f>F316+F345+F299+F326</f>
        <v>193469</v>
      </c>
      <c r="G298" s="75">
        <f>G316+G345+G299+G326</f>
        <v>408469</v>
      </c>
      <c r="H298" s="75">
        <f t="shared" si="4"/>
        <v>99723725</v>
      </c>
      <c r="I298" s="47"/>
      <c r="J298" s="47"/>
      <c r="L298" s="47"/>
    </row>
    <row r="299" spans="1:12" s="130" customFormat="1" ht="21" customHeight="1">
      <c r="A299" s="76"/>
      <c r="B299" s="77">
        <v>85201</v>
      </c>
      <c r="C299" s="77"/>
      <c r="D299" s="323" t="s">
        <v>849</v>
      </c>
      <c r="E299" s="137">
        <v>12219504</v>
      </c>
      <c r="F299" s="137">
        <f>F300+F303+F310+F313</f>
        <v>8486</v>
      </c>
      <c r="G299" s="137">
        <f>G300+G303+G310+G313</f>
        <v>146450</v>
      </c>
      <c r="H299" s="137">
        <f t="shared" si="4"/>
        <v>12357468</v>
      </c>
      <c r="I299" s="138"/>
      <c r="J299" s="138"/>
      <c r="L299" s="138"/>
    </row>
    <row r="300" spans="1:12" s="229" customFormat="1" ht="21" customHeight="1">
      <c r="A300" s="206"/>
      <c r="B300" s="214"/>
      <c r="C300" s="207"/>
      <c r="D300" s="893" t="s">
        <v>57</v>
      </c>
      <c r="E300" s="803">
        <v>3503865</v>
      </c>
      <c r="F300" s="803"/>
      <c r="G300" s="803">
        <f>SUM(G301:G302)</f>
        <v>101050</v>
      </c>
      <c r="H300" s="803">
        <f t="shared" si="4"/>
        <v>3604915</v>
      </c>
      <c r="I300" s="209"/>
      <c r="J300" s="209"/>
      <c r="L300" s="209"/>
    </row>
    <row r="301" spans="1:12" s="156" customFormat="1" ht="21" customHeight="1">
      <c r="A301" s="205"/>
      <c r="B301" s="169"/>
      <c r="C301" s="320">
        <v>4010</v>
      </c>
      <c r="D301" s="900" t="s">
        <v>335</v>
      </c>
      <c r="E301" s="154">
        <v>3245140</v>
      </c>
      <c r="F301" s="154"/>
      <c r="G301" s="154">
        <f>18550+107000-28000</f>
        <v>97550</v>
      </c>
      <c r="H301" s="154">
        <f t="shared" si="4"/>
        <v>3342690</v>
      </c>
      <c r="I301" s="155"/>
      <c r="J301" s="155"/>
      <c r="L301" s="155"/>
    </row>
    <row r="302" spans="1:12" s="156" customFormat="1" ht="21" customHeight="1">
      <c r="A302" s="205"/>
      <c r="B302" s="169"/>
      <c r="C302" s="169">
        <v>4170</v>
      </c>
      <c r="D302" s="1099" t="s">
        <v>395</v>
      </c>
      <c r="E302" s="418">
        <v>22000</v>
      </c>
      <c r="F302" s="418"/>
      <c r="G302" s="418">
        <f>5000-1500</f>
        <v>3500</v>
      </c>
      <c r="H302" s="418">
        <f t="shared" si="4"/>
        <v>25500</v>
      </c>
      <c r="I302" s="155"/>
      <c r="J302" s="155"/>
      <c r="L302" s="155"/>
    </row>
    <row r="303" spans="1:12" s="229" customFormat="1" ht="21" customHeight="1">
      <c r="A303" s="206"/>
      <c r="B303" s="214"/>
      <c r="C303" s="207"/>
      <c r="D303" s="893" t="s">
        <v>387</v>
      </c>
      <c r="E303" s="803">
        <v>1691416</v>
      </c>
      <c r="F303" s="803">
        <f>SUM(F304:F309)</f>
        <v>8486</v>
      </c>
      <c r="G303" s="803"/>
      <c r="H303" s="803">
        <f t="shared" si="4"/>
        <v>1682930</v>
      </c>
      <c r="I303" s="209"/>
      <c r="J303" s="209"/>
      <c r="L303" s="209"/>
    </row>
    <row r="304" spans="1:12" s="156" customFormat="1" ht="21" customHeight="1">
      <c r="A304" s="205"/>
      <c r="B304" s="169"/>
      <c r="C304" s="169">
        <v>3110</v>
      </c>
      <c r="D304" s="778" t="s">
        <v>24</v>
      </c>
      <c r="E304" s="154">
        <v>393562</v>
      </c>
      <c r="F304" s="154">
        <f>300+1872</f>
        <v>2172</v>
      </c>
      <c r="G304" s="154"/>
      <c r="H304" s="154">
        <f t="shared" si="4"/>
        <v>391390</v>
      </c>
      <c r="I304" s="155"/>
      <c r="J304" s="155"/>
      <c r="L304" s="155"/>
    </row>
    <row r="305" spans="1:12" s="156" customFormat="1" ht="21" customHeight="1">
      <c r="A305" s="205"/>
      <c r="B305" s="169"/>
      <c r="C305" s="161">
        <v>4210</v>
      </c>
      <c r="D305" s="903" t="s">
        <v>383</v>
      </c>
      <c r="E305" s="764">
        <v>207750</v>
      </c>
      <c r="F305" s="764">
        <v>3500</v>
      </c>
      <c r="G305" s="764"/>
      <c r="H305" s="764">
        <f t="shared" si="4"/>
        <v>204250</v>
      </c>
      <c r="I305" s="155"/>
      <c r="J305" s="155"/>
      <c r="L305" s="155"/>
    </row>
    <row r="306" spans="1:12" s="156" customFormat="1" ht="21" customHeight="1">
      <c r="A306" s="205"/>
      <c r="B306" s="169"/>
      <c r="C306" s="1108">
        <v>4220</v>
      </c>
      <c r="D306" s="1109" t="s">
        <v>472</v>
      </c>
      <c r="E306" s="764">
        <v>265007</v>
      </c>
      <c r="F306" s="764">
        <f>7250-6236</f>
        <v>1014</v>
      </c>
      <c r="G306" s="764"/>
      <c r="H306" s="764">
        <f t="shared" si="4"/>
        <v>263993</v>
      </c>
      <c r="I306" s="155"/>
      <c r="J306" s="155"/>
      <c r="L306" s="155"/>
    </row>
    <row r="307" spans="1:12" s="156" customFormat="1" ht="21" customHeight="1">
      <c r="A307" s="205"/>
      <c r="B307" s="169"/>
      <c r="C307" s="161">
        <v>4300</v>
      </c>
      <c r="D307" s="161" t="s">
        <v>384</v>
      </c>
      <c r="E307" s="764">
        <v>239270</v>
      </c>
      <c r="F307" s="764">
        <v>1200</v>
      </c>
      <c r="G307" s="764"/>
      <c r="H307" s="764">
        <f t="shared" si="4"/>
        <v>238070</v>
      </c>
      <c r="I307" s="155"/>
      <c r="J307" s="155"/>
      <c r="L307" s="155"/>
    </row>
    <row r="308" spans="1:12" s="156" customFormat="1" ht="21" customHeight="1">
      <c r="A308" s="205"/>
      <c r="B308" s="169"/>
      <c r="C308" s="161">
        <v>4410</v>
      </c>
      <c r="D308" s="161" t="s">
        <v>468</v>
      </c>
      <c r="E308" s="764">
        <v>12640</v>
      </c>
      <c r="F308" s="764">
        <v>300</v>
      </c>
      <c r="G308" s="764"/>
      <c r="H308" s="764">
        <f t="shared" si="4"/>
        <v>12340</v>
      </c>
      <c r="I308" s="155"/>
      <c r="J308" s="155"/>
      <c r="L308" s="155"/>
    </row>
    <row r="309" spans="1:12" s="156" customFormat="1" ht="21" customHeight="1">
      <c r="A309" s="205"/>
      <c r="B309" s="169"/>
      <c r="C309" s="161">
        <v>4430</v>
      </c>
      <c r="D309" s="161" t="s">
        <v>466</v>
      </c>
      <c r="E309" s="764">
        <v>12898</v>
      </c>
      <c r="F309" s="764">
        <v>300</v>
      </c>
      <c r="G309" s="764"/>
      <c r="H309" s="764">
        <f t="shared" si="4"/>
        <v>12598</v>
      </c>
      <c r="I309" s="155"/>
      <c r="J309" s="155"/>
      <c r="L309" s="155"/>
    </row>
    <row r="310" spans="1:12" s="229" customFormat="1" ht="21" customHeight="1">
      <c r="A310" s="206"/>
      <c r="B310" s="214"/>
      <c r="C310" s="214"/>
      <c r="D310" s="214" t="s">
        <v>413</v>
      </c>
      <c r="E310" s="416">
        <v>677000</v>
      </c>
      <c r="F310" s="416"/>
      <c r="G310" s="416">
        <f>SUM(G311:G312)</f>
        <v>17400</v>
      </c>
      <c r="H310" s="416">
        <f t="shared" si="4"/>
        <v>694400</v>
      </c>
      <c r="I310" s="209"/>
      <c r="J310" s="209"/>
      <c r="L310" s="209"/>
    </row>
    <row r="311" spans="1:12" s="156" customFormat="1" ht="21" customHeight="1">
      <c r="A311" s="205"/>
      <c r="B311" s="169"/>
      <c r="C311" s="320">
        <v>4110</v>
      </c>
      <c r="D311" s="896" t="s">
        <v>462</v>
      </c>
      <c r="E311" s="154">
        <v>593780</v>
      </c>
      <c r="F311" s="154"/>
      <c r="G311" s="154">
        <f>19100-3600</f>
        <v>15500</v>
      </c>
      <c r="H311" s="154">
        <f t="shared" si="4"/>
        <v>609280</v>
      </c>
      <c r="I311" s="155"/>
      <c r="J311" s="155"/>
      <c r="L311" s="155"/>
    </row>
    <row r="312" spans="1:12" s="156" customFormat="1" ht="20.25" customHeight="1">
      <c r="A312" s="205"/>
      <c r="B312" s="169"/>
      <c r="C312" s="161">
        <v>4120</v>
      </c>
      <c r="D312" s="161" t="s">
        <v>463</v>
      </c>
      <c r="E312" s="418">
        <v>83220</v>
      </c>
      <c r="F312" s="418"/>
      <c r="G312" s="418">
        <f>2500-600</f>
        <v>1900</v>
      </c>
      <c r="H312" s="418">
        <f t="shared" si="4"/>
        <v>85120</v>
      </c>
      <c r="I312" s="155"/>
      <c r="J312" s="155"/>
      <c r="L312" s="155"/>
    </row>
    <row r="313" spans="1:12" s="229" customFormat="1" ht="21" customHeight="1">
      <c r="A313" s="206"/>
      <c r="B313" s="214"/>
      <c r="C313" s="214"/>
      <c r="D313" s="214" t="s">
        <v>604</v>
      </c>
      <c r="E313" s="416">
        <v>2217223</v>
      </c>
      <c r="F313" s="416"/>
      <c r="G313" s="416">
        <f>G315</f>
        <v>28000</v>
      </c>
      <c r="H313" s="416">
        <f t="shared" si="4"/>
        <v>2245223</v>
      </c>
      <c r="I313" s="209"/>
      <c r="J313" s="209"/>
      <c r="L313" s="209"/>
    </row>
    <row r="314" spans="1:12" s="156" customFormat="1" ht="21" customHeight="1">
      <c r="A314" s="205"/>
      <c r="B314" s="169"/>
      <c r="C314" s="169"/>
      <c r="D314" s="549" t="s">
        <v>145</v>
      </c>
      <c r="E314" s="459">
        <v>1328323</v>
      </c>
      <c r="F314" s="459"/>
      <c r="G314" s="459">
        <v>28000</v>
      </c>
      <c r="H314" s="459">
        <f>E314+G314-F314</f>
        <v>1356323</v>
      </c>
      <c r="I314" s="155"/>
      <c r="J314" s="155"/>
      <c r="L314" s="155"/>
    </row>
    <row r="315" spans="1:12" s="156" customFormat="1" ht="21" customHeight="1">
      <c r="A315" s="205"/>
      <c r="B315" s="320"/>
      <c r="C315" s="320">
        <v>6050</v>
      </c>
      <c r="D315" s="320" t="s">
        <v>599</v>
      </c>
      <c r="E315" s="418">
        <v>2128323</v>
      </c>
      <c r="F315" s="418"/>
      <c r="G315" s="418">
        <f>G314</f>
        <v>28000</v>
      </c>
      <c r="H315" s="418">
        <f t="shared" si="4"/>
        <v>2156323</v>
      </c>
      <c r="I315" s="155"/>
      <c r="J315" s="155"/>
      <c r="L315" s="155"/>
    </row>
    <row r="316" spans="1:12" s="130" customFormat="1" ht="21" customHeight="1">
      <c r="A316" s="76"/>
      <c r="B316" s="78">
        <v>85202</v>
      </c>
      <c r="C316" s="78"/>
      <c r="D316" s="429" t="s">
        <v>724</v>
      </c>
      <c r="E316" s="559">
        <v>19392351</v>
      </c>
      <c r="F316" s="559">
        <f>F317+F323+F321</f>
        <v>22992</v>
      </c>
      <c r="G316" s="559">
        <f>G317+G323+G321</f>
        <v>20000</v>
      </c>
      <c r="H316" s="559">
        <f t="shared" si="4"/>
        <v>19389359</v>
      </c>
      <c r="I316" s="138"/>
      <c r="J316" s="138"/>
      <c r="L316" s="138"/>
    </row>
    <row r="317" spans="1:12" s="130" customFormat="1" ht="21" customHeight="1">
      <c r="A317" s="206"/>
      <c r="B317" s="214"/>
      <c r="C317" s="214"/>
      <c r="D317" s="882" t="s">
        <v>387</v>
      </c>
      <c r="E317" s="267">
        <v>3726226</v>
      </c>
      <c r="F317" s="267">
        <f>SUM(F318:F319)</f>
        <v>20792</v>
      </c>
      <c r="G317" s="267"/>
      <c r="H317" s="267">
        <f t="shared" si="4"/>
        <v>3705434</v>
      </c>
      <c r="I317" s="138"/>
      <c r="J317" s="138"/>
      <c r="L317" s="138"/>
    </row>
    <row r="318" spans="1:12" s="156" customFormat="1" ht="21" customHeight="1">
      <c r="A318" s="205"/>
      <c r="B318" s="169"/>
      <c r="C318" s="169">
        <v>4220</v>
      </c>
      <c r="D318" s="778" t="s">
        <v>472</v>
      </c>
      <c r="E318" s="154">
        <v>1140200</v>
      </c>
      <c r="F318" s="154">
        <v>10000</v>
      </c>
      <c r="G318" s="154"/>
      <c r="H318" s="154">
        <f t="shared" si="4"/>
        <v>1130200</v>
      </c>
      <c r="I318" s="155"/>
      <c r="J318" s="155"/>
      <c r="L318" s="155"/>
    </row>
    <row r="319" spans="1:12" s="156" customFormat="1" ht="21" customHeight="1">
      <c r="A319" s="205"/>
      <c r="B319" s="169"/>
      <c r="C319" s="522">
        <v>4300</v>
      </c>
      <c r="D319" s="1586" t="s">
        <v>384</v>
      </c>
      <c r="E319" s="1540">
        <v>456500</v>
      </c>
      <c r="F319" s="1540">
        <f>10000+792</f>
        <v>10792</v>
      </c>
      <c r="G319" s="1540"/>
      <c r="H319" s="1540">
        <f t="shared" si="4"/>
        <v>445708</v>
      </c>
      <c r="I319" s="155"/>
      <c r="J319" s="155"/>
      <c r="L319" s="155"/>
    </row>
    <row r="320" spans="1:12" s="156" customFormat="1" ht="21" customHeight="1">
      <c r="A320" s="1541"/>
      <c r="B320" s="1542"/>
      <c r="C320" s="1542"/>
      <c r="D320" s="1584"/>
      <c r="E320" s="1545"/>
      <c r="F320" s="1545"/>
      <c r="G320" s="1545"/>
      <c r="H320" s="1545"/>
      <c r="I320" s="155"/>
      <c r="J320" s="155"/>
      <c r="L320" s="155"/>
    </row>
    <row r="321" spans="1:12" s="130" customFormat="1" ht="21" customHeight="1">
      <c r="A321" s="206"/>
      <c r="B321" s="214"/>
      <c r="C321" s="214"/>
      <c r="D321" s="882" t="s">
        <v>413</v>
      </c>
      <c r="E321" s="267">
        <v>1559422</v>
      </c>
      <c r="F321" s="267">
        <f>F322</f>
        <v>2200</v>
      </c>
      <c r="G321" s="267"/>
      <c r="H321" s="267">
        <f t="shared" si="4"/>
        <v>1557222</v>
      </c>
      <c r="I321" s="138"/>
      <c r="J321" s="138"/>
      <c r="L321" s="138"/>
    </row>
    <row r="322" spans="1:12" s="156" customFormat="1" ht="21" customHeight="1">
      <c r="A322" s="205"/>
      <c r="B322" s="169"/>
      <c r="C322" s="320">
        <v>4110</v>
      </c>
      <c r="D322" s="778" t="s">
        <v>462</v>
      </c>
      <c r="E322" s="154">
        <v>1371922</v>
      </c>
      <c r="F322" s="154">
        <v>2200</v>
      </c>
      <c r="G322" s="154"/>
      <c r="H322" s="154">
        <f t="shared" si="4"/>
        <v>1369722</v>
      </c>
      <c r="I322" s="155"/>
      <c r="J322" s="155"/>
      <c r="L322" s="155"/>
    </row>
    <row r="323" spans="1:12" s="130" customFormat="1" ht="21" customHeight="1">
      <c r="A323" s="206"/>
      <c r="B323" s="214"/>
      <c r="C323" s="66"/>
      <c r="D323" s="466" t="s">
        <v>604</v>
      </c>
      <c r="E323" s="144">
        <v>4001003</v>
      </c>
      <c r="F323" s="144"/>
      <c r="G323" s="144">
        <f>G325</f>
        <v>20000</v>
      </c>
      <c r="H323" s="144">
        <f t="shared" si="4"/>
        <v>4021003</v>
      </c>
      <c r="I323" s="138"/>
      <c r="J323" s="138"/>
      <c r="L323" s="138"/>
    </row>
    <row r="324" spans="1:12" s="156" customFormat="1" ht="20.25" customHeight="1">
      <c r="A324" s="205"/>
      <c r="B324" s="169"/>
      <c r="C324" s="81"/>
      <c r="D324" s="1068" t="s">
        <v>747</v>
      </c>
      <c r="E324" s="459">
        <v>552300</v>
      </c>
      <c r="F324" s="459"/>
      <c r="G324" s="459">
        <v>20000</v>
      </c>
      <c r="H324" s="459">
        <f t="shared" si="4"/>
        <v>572300</v>
      </c>
      <c r="I324" s="155"/>
      <c r="J324" s="155"/>
      <c r="L324" s="155"/>
    </row>
    <row r="325" spans="1:12" s="156" customFormat="1" ht="21" customHeight="1">
      <c r="A325" s="205"/>
      <c r="B325" s="320"/>
      <c r="C325" s="82">
        <v>6060</v>
      </c>
      <c r="D325" s="534" t="s">
        <v>420</v>
      </c>
      <c r="E325" s="418">
        <v>552300</v>
      </c>
      <c r="F325" s="418"/>
      <c r="G325" s="418">
        <f>G324</f>
        <v>20000</v>
      </c>
      <c r="H325" s="418">
        <f t="shared" si="4"/>
        <v>572300</v>
      </c>
      <c r="I325" s="155"/>
      <c r="J325" s="155"/>
      <c r="L325" s="155"/>
    </row>
    <row r="326" spans="1:12" s="130" customFormat="1" ht="24" customHeight="1">
      <c r="A326" s="76"/>
      <c r="B326" s="78">
        <v>85220</v>
      </c>
      <c r="C326" s="78"/>
      <c r="D326" s="887" t="s">
        <v>570</v>
      </c>
      <c r="E326" s="559">
        <v>702060</v>
      </c>
      <c r="F326" s="559">
        <f>F327+F337</f>
        <v>161991</v>
      </c>
      <c r="G326" s="559">
        <f>G327+G337</f>
        <v>22155</v>
      </c>
      <c r="H326" s="559">
        <f t="shared" si="4"/>
        <v>562224</v>
      </c>
      <c r="I326" s="138"/>
      <c r="J326" s="138"/>
      <c r="L326" s="138"/>
    </row>
    <row r="327" spans="1:12" s="229" customFormat="1" ht="18" customHeight="1">
      <c r="A327" s="206"/>
      <c r="B327" s="207"/>
      <c r="C327" s="207"/>
      <c r="D327" s="207" t="s">
        <v>286</v>
      </c>
      <c r="E327" s="416">
        <v>292060</v>
      </c>
      <c r="F327" s="416">
        <f>F328+F330+F334</f>
        <v>56491</v>
      </c>
      <c r="G327" s="416">
        <f>G328+G330+G334</f>
        <v>22155</v>
      </c>
      <c r="H327" s="416">
        <f t="shared" si="4"/>
        <v>257724</v>
      </c>
      <c r="I327" s="209"/>
      <c r="J327" s="209"/>
      <c r="L327" s="209"/>
    </row>
    <row r="328" spans="1:12" s="229" customFormat="1" ht="16.5" customHeight="1">
      <c r="A328" s="206"/>
      <c r="B328" s="214"/>
      <c r="C328" s="214"/>
      <c r="D328" s="894" t="s">
        <v>57</v>
      </c>
      <c r="E328" s="895">
        <v>97360</v>
      </c>
      <c r="F328" s="895">
        <f>F329</f>
        <v>29000</v>
      </c>
      <c r="G328" s="895"/>
      <c r="H328" s="895">
        <f t="shared" si="4"/>
        <v>68360</v>
      </c>
      <c r="I328" s="209"/>
      <c r="J328" s="209"/>
      <c r="L328" s="209"/>
    </row>
    <row r="329" spans="1:12" s="156" customFormat="1" ht="20.25" customHeight="1">
      <c r="A329" s="205"/>
      <c r="B329" s="169"/>
      <c r="C329" s="320">
        <v>4010</v>
      </c>
      <c r="D329" s="896" t="s">
        <v>335</v>
      </c>
      <c r="E329" s="897">
        <v>50500</v>
      </c>
      <c r="F329" s="897">
        <v>29000</v>
      </c>
      <c r="G329" s="897"/>
      <c r="H329" s="897">
        <f t="shared" si="4"/>
        <v>21500</v>
      </c>
      <c r="I329" s="155"/>
      <c r="J329" s="155"/>
      <c r="L329" s="155"/>
    </row>
    <row r="330" spans="1:12" s="229" customFormat="1" ht="21" customHeight="1">
      <c r="A330" s="206"/>
      <c r="B330" s="214"/>
      <c r="C330" s="214"/>
      <c r="D330" s="894" t="s">
        <v>387</v>
      </c>
      <c r="E330" s="895">
        <v>177060</v>
      </c>
      <c r="F330" s="895">
        <f>SUM(F331:F333)</f>
        <v>22891</v>
      </c>
      <c r="G330" s="895">
        <f>SUM(G331:G333)</f>
        <v>22155</v>
      </c>
      <c r="H330" s="895">
        <f t="shared" si="4"/>
        <v>176324</v>
      </c>
      <c r="I330" s="209"/>
      <c r="J330" s="209"/>
      <c r="L330" s="209"/>
    </row>
    <row r="331" spans="1:12" s="156" customFormat="1" ht="21" customHeight="1">
      <c r="A331" s="205"/>
      <c r="B331" s="169"/>
      <c r="C331" s="320">
        <v>4210</v>
      </c>
      <c r="D331" s="896" t="s">
        <v>383</v>
      </c>
      <c r="E331" s="154">
        <v>87160</v>
      </c>
      <c r="F331" s="154">
        <v>22155</v>
      </c>
      <c r="G331" s="154"/>
      <c r="H331" s="154">
        <f t="shared" si="4"/>
        <v>65005</v>
      </c>
      <c r="I331" s="155"/>
      <c r="J331" s="155"/>
      <c r="L331" s="155"/>
    </row>
    <row r="332" spans="1:12" s="156" customFormat="1" ht="21" customHeight="1">
      <c r="A332" s="205"/>
      <c r="B332" s="169"/>
      <c r="C332" s="320">
        <v>4270</v>
      </c>
      <c r="D332" s="320" t="s">
        <v>765</v>
      </c>
      <c r="E332" s="418">
        <v>45000</v>
      </c>
      <c r="F332" s="418"/>
      <c r="G332" s="418">
        <v>22155</v>
      </c>
      <c r="H332" s="418">
        <f t="shared" si="4"/>
        <v>67155</v>
      </c>
      <c r="I332" s="155"/>
      <c r="J332" s="155"/>
      <c r="L332" s="155"/>
    </row>
    <row r="333" spans="1:12" s="156" customFormat="1" ht="20.25" customHeight="1">
      <c r="A333" s="205"/>
      <c r="B333" s="169"/>
      <c r="C333" s="320">
        <v>4440</v>
      </c>
      <c r="D333" s="320" t="s">
        <v>56</v>
      </c>
      <c r="E333" s="414">
        <v>1500</v>
      </c>
      <c r="F333" s="414">
        <v>736</v>
      </c>
      <c r="G333" s="414"/>
      <c r="H333" s="414">
        <f t="shared" si="4"/>
        <v>764</v>
      </c>
      <c r="I333" s="155"/>
      <c r="J333" s="155"/>
      <c r="L333" s="155"/>
    </row>
    <row r="334" spans="1:12" s="229" customFormat="1" ht="21" customHeight="1">
      <c r="A334" s="206"/>
      <c r="B334" s="214"/>
      <c r="C334" s="214"/>
      <c r="D334" s="894" t="s">
        <v>413</v>
      </c>
      <c r="E334" s="895">
        <v>17640</v>
      </c>
      <c r="F334" s="895">
        <f>SUM(F335:F336)</f>
        <v>4600</v>
      </c>
      <c r="G334" s="895"/>
      <c r="H334" s="895">
        <f t="shared" si="4"/>
        <v>13040</v>
      </c>
      <c r="I334" s="209"/>
      <c r="J334" s="209"/>
      <c r="L334" s="209"/>
    </row>
    <row r="335" spans="1:12" s="156" customFormat="1" ht="20.25" customHeight="1">
      <c r="A335" s="205"/>
      <c r="B335" s="169"/>
      <c r="C335" s="320">
        <v>4110</v>
      </c>
      <c r="D335" s="896" t="s">
        <v>462</v>
      </c>
      <c r="E335" s="897">
        <v>15510</v>
      </c>
      <c r="F335" s="897">
        <v>4100</v>
      </c>
      <c r="G335" s="897"/>
      <c r="H335" s="897">
        <f t="shared" si="4"/>
        <v>11410</v>
      </c>
      <c r="I335" s="155"/>
      <c r="J335" s="155"/>
      <c r="L335" s="155"/>
    </row>
    <row r="336" spans="1:12" s="156" customFormat="1" ht="20.25" customHeight="1">
      <c r="A336" s="205"/>
      <c r="B336" s="169"/>
      <c r="C336" s="320">
        <v>4120</v>
      </c>
      <c r="D336" s="320" t="s">
        <v>463</v>
      </c>
      <c r="E336" s="414">
        <v>2130</v>
      </c>
      <c r="F336" s="414">
        <v>500</v>
      </c>
      <c r="G336" s="414"/>
      <c r="H336" s="897">
        <f t="shared" si="4"/>
        <v>1630</v>
      </c>
      <c r="I336" s="155"/>
      <c r="J336" s="155"/>
      <c r="L336" s="155"/>
    </row>
    <row r="337" spans="1:12" s="229" customFormat="1" ht="18" customHeight="1">
      <c r="A337" s="206"/>
      <c r="B337" s="214"/>
      <c r="C337" s="207"/>
      <c r="D337" s="207" t="s">
        <v>642</v>
      </c>
      <c r="E337" s="416">
        <v>210000</v>
      </c>
      <c r="F337" s="416">
        <f>F338+F340+F342</f>
        <v>105500</v>
      </c>
      <c r="G337" s="416"/>
      <c r="H337" s="416">
        <f t="shared" si="4"/>
        <v>104500</v>
      </c>
      <c r="I337" s="209"/>
      <c r="J337" s="209"/>
      <c r="L337" s="209"/>
    </row>
    <row r="338" spans="1:12" s="229" customFormat="1" ht="21" customHeight="1">
      <c r="A338" s="206"/>
      <c r="B338" s="214"/>
      <c r="C338" s="214"/>
      <c r="D338" s="894" t="s">
        <v>57</v>
      </c>
      <c r="E338" s="895">
        <v>165700</v>
      </c>
      <c r="F338" s="895">
        <f>F339</f>
        <v>83000</v>
      </c>
      <c r="G338" s="895"/>
      <c r="H338" s="895">
        <f t="shared" si="4"/>
        <v>82700</v>
      </c>
      <c r="I338" s="209"/>
      <c r="J338" s="209"/>
      <c r="L338" s="209"/>
    </row>
    <row r="339" spans="1:12" s="156" customFormat="1" ht="20.25" customHeight="1">
      <c r="A339" s="205"/>
      <c r="B339" s="169"/>
      <c r="C339" s="320">
        <v>4010</v>
      </c>
      <c r="D339" s="896" t="s">
        <v>335</v>
      </c>
      <c r="E339" s="897">
        <v>155840</v>
      </c>
      <c r="F339" s="897">
        <v>83000</v>
      </c>
      <c r="G339" s="897"/>
      <c r="H339" s="897">
        <f aca="true" t="shared" si="5" ref="H339:H398">E339+G339-F339</f>
        <v>72840</v>
      </c>
      <c r="I339" s="155"/>
      <c r="J339" s="155"/>
      <c r="L339" s="155"/>
    </row>
    <row r="340" spans="1:12" s="229" customFormat="1" ht="21" customHeight="1">
      <c r="A340" s="206"/>
      <c r="B340" s="214"/>
      <c r="C340" s="214"/>
      <c r="D340" s="894" t="s">
        <v>387</v>
      </c>
      <c r="E340" s="895">
        <v>13300</v>
      </c>
      <c r="F340" s="895">
        <f>F341</f>
        <v>5500</v>
      </c>
      <c r="G340" s="895"/>
      <c r="H340" s="895">
        <f t="shared" si="5"/>
        <v>7800</v>
      </c>
      <c r="I340" s="209"/>
      <c r="J340" s="209"/>
      <c r="L340" s="209"/>
    </row>
    <row r="341" spans="1:12" s="156" customFormat="1" ht="20.25" customHeight="1">
      <c r="A341" s="205"/>
      <c r="B341" s="169"/>
      <c r="C341" s="320">
        <v>4440</v>
      </c>
      <c r="D341" s="896" t="s">
        <v>56</v>
      </c>
      <c r="E341" s="897">
        <v>8900</v>
      </c>
      <c r="F341" s="897">
        <v>5500</v>
      </c>
      <c r="G341" s="897"/>
      <c r="H341" s="897">
        <f t="shared" si="5"/>
        <v>3400</v>
      </c>
      <c r="I341" s="155"/>
      <c r="J341" s="155"/>
      <c r="L341" s="155"/>
    </row>
    <row r="342" spans="1:12" s="229" customFormat="1" ht="21" customHeight="1">
      <c r="A342" s="206"/>
      <c r="B342" s="214"/>
      <c r="C342" s="214"/>
      <c r="D342" s="894" t="s">
        <v>413</v>
      </c>
      <c r="E342" s="895">
        <v>31000</v>
      </c>
      <c r="F342" s="895">
        <f>SUM(F343:F344)</f>
        <v>17000</v>
      </c>
      <c r="G342" s="895"/>
      <c r="H342" s="895">
        <f t="shared" si="5"/>
        <v>14000</v>
      </c>
      <c r="I342" s="209"/>
      <c r="J342" s="209"/>
      <c r="L342" s="209"/>
    </row>
    <row r="343" spans="1:12" s="156" customFormat="1" ht="20.25" customHeight="1">
      <c r="A343" s="205"/>
      <c r="B343" s="169"/>
      <c r="C343" s="320">
        <v>4110</v>
      </c>
      <c r="D343" s="896" t="s">
        <v>462</v>
      </c>
      <c r="E343" s="897">
        <v>27200</v>
      </c>
      <c r="F343" s="897">
        <v>15000</v>
      </c>
      <c r="G343" s="897"/>
      <c r="H343" s="897">
        <f t="shared" si="5"/>
        <v>12200</v>
      </c>
      <c r="I343" s="155"/>
      <c r="J343" s="155"/>
      <c r="L343" s="155"/>
    </row>
    <row r="344" spans="1:12" s="156" customFormat="1" ht="20.25" customHeight="1">
      <c r="A344" s="205"/>
      <c r="B344" s="169"/>
      <c r="C344" s="320">
        <v>4120</v>
      </c>
      <c r="D344" s="320" t="s">
        <v>463</v>
      </c>
      <c r="E344" s="414">
        <v>3800</v>
      </c>
      <c r="F344" s="414">
        <v>2000</v>
      </c>
      <c r="G344" s="414"/>
      <c r="H344" s="897">
        <f t="shared" si="5"/>
        <v>1800</v>
      </c>
      <c r="I344" s="155"/>
      <c r="J344" s="155"/>
      <c r="L344" s="155"/>
    </row>
    <row r="345" spans="1:12" s="130" customFormat="1" ht="21" customHeight="1">
      <c r="A345" s="76"/>
      <c r="B345" s="77">
        <v>85295</v>
      </c>
      <c r="C345" s="77"/>
      <c r="D345" s="1005" t="s">
        <v>366</v>
      </c>
      <c r="E345" s="137">
        <v>4315811</v>
      </c>
      <c r="F345" s="137"/>
      <c r="G345" s="137">
        <f>G346+G348</f>
        <v>219864</v>
      </c>
      <c r="H345" s="137">
        <f t="shared" si="5"/>
        <v>4535675</v>
      </c>
      <c r="I345" s="138"/>
      <c r="J345" s="138"/>
      <c r="L345" s="138"/>
    </row>
    <row r="346" spans="1:12" s="130" customFormat="1" ht="20.25" customHeight="1">
      <c r="A346" s="206"/>
      <c r="B346" s="214"/>
      <c r="C346" s="702"/>
      <c r="D346" s="762" t="s">
        <v>759</v>
      </c>
      <c r="E346" s="144">
        <v>3000000</v>
      </c>
      <c r="F346" s="144"/>
      <c r="G346" s="144">
        <f>G347</f>
        <v>215000</v>
      </c>
      <c r="H346" s="144">
        <f t="shared" si="5"/>
        <v>3215000</v>
      </c>
      <c r="I346" s="138"/>
      <c r="J346" s="138"/>
      <c r="L346" s="138"/>
    </row>
    <row r="347" spans="1:12" s="156" customFormat="1" ht="18.75" customHeight="1">
      <c r="A347" s="205"/>
      <c r="B347" s="169"/>
      <c r="C347" s="320">
        <v>3110</v>
      </c>
      <c r="D347" s="938" t="s">
        <v>24</v>
      </c>
      <c r="E347" s="154">
        <v>2900000</v>
      </c>
      <c r="F347" s="154"/>
      <c r="G347" s="154">
        <v>215000</v>
      </c>
      <c r="H347" s="154">
        <f t="shared" si="5"/>
        <v>3115000</v>
      </c>
      <c r="I347" s="155"/>
      <c r="J347" s="155"/>
      <c r="L347" s="155"/>
    </row>
    <row r="348" spans="1:12" s="130" customFormat="1" ht="25.5">
      <c r="A348" s="206"/>
      <c r="B348" s="214"/>
      <c r="C348" s="466"/>
      <c r="D348" s="1041" t="s">
        <v>641</v>
      </c>
      <c r="E348" s="144">
        <v>9811</v>
      </c>
      <c r="F348" s="144"/>
      <c r="G348" s="144">
        <f>G349</f>
        <v>4864</v>
      </c>
      <c r="H348" s="144">
        <f t="shared" si="5"/>
        <v>14675</v>
      </c>
      <c r="I348" s="138"/>
      <c r="J348" s="138"/>
      <c r="L348" s="138"/>
    </row>
    <row r="349" spans="1:12" s="156" customFormat="1" ht="18.75" customHeight="1">
      <c r="A349" s="227"/>
      <c r="B349" s="320"/>
      <c r="C349" s="320">
        <v>3110</v>
      </c>
      <c r="D349" s="775" t="s">
        <v>24</v>
      </c>
      <c r="E349" s="154">
        <v>9811</v>
      </c>
      <c r="F349" s="154"/>
      <c r="G349" s="154">
        <f>792+2200+1872</f>
        <v>4864</v>
      </c>
      <c r="H349" s="154">
        <f t="shared" si="5"/>
        <v>14675</v>
      </c>
      <c r="I349" s="155"/>
      <c r="J349" s="155"/>
      <c r="L349" s="155"/>
    </row>
    <row r="350" spans="1:12" ht="21" customHeight="1">
      <c r="A350" s="72">
        <v>853</v>
      </c>
      <c r="B350" s="89"/>
      <c r="C350" s="73"/>
      <c r="D350" s="92" t="s">
        <v>412</v>
      </c>
      <c r="E350" s="74">
        <v>9940267</v>
      </c>
      <c r="F350" s="75">
        <f>F359+F351</f>
        <v>38911</v>
      </c>
      <c r="G350" s="75">
        <f>G359+G351</f>
        <v>43911</v>
      </c>
      <c r="H350" s="75">
        <f t="shared" si="5"/>
        <v>9945267</v>
      </c>
      <c r="I350" s="47"/>
      <c r="J350" s="47"/>
      <c r="L350" s="47"/>
    </row>
    <row r="351" spans="1:12" s="95" customFormat="1" ht="18.75" customHeight="1">
      <c r="A351" s="76"/>
      <c r="B351" s="77">
        <v>85321</v>
      </c>
      <c r="C351" s="77"/>
      <c r="D351" s="78" t="s">
        <v>205</v>
      </c>
      <c r="E351" s="137">
        <v>100000</v>
      </c>
      <c r="F351" s="79">
        <f>F352+F354</f>
        <v>37915</v>
      </c>
      <c r="G351" s="79">
        <f>G352+G354</f>
        <v>37915</v>
      </c>
      <c r="H351" s="79">
        <f t="shared" si="5"/>
        <v>100000</v>
      </c>
      <c r="I351" s="138"/>
      <c r="J351" s="138"/>
      <c r="L351" s="94"/>
    </row>
    <row r="352" spans="1:12" s="229" customFormat="1" ht="18" customHeight="1">
      <c r="A352" s="206"/>
      <c r="B352" s="214"/>
      <c r="C352" s="214"/>
      <c r="D352" s="1237" t="s">
        <v>57</v>
      </c>
      <c r="E352" s="803"/>
      <c r="F352" s="803"/>
      <c r="G352" s="803">
        <f>G353</f>
        <v>37915</v>
      </c>
      <c r="H352" s="803">
        <f t="shared" si="5"/>
        <v>37915</v>
      </c>
      <c r="I352" s="209"/>
      <c r="J352" s="209"/>
      <c r="L352" s="209"/>
    </row>
    <row r="353" spans="1:12" s="156" customFormat="1" ht="18" customHeight="1">
      <c r="A353" s="205"/>
      <c r="B353" s="169"/>
      <c r="C353" s="320">
        <v>4010</v>
      </c>
      <c r="D353" s="320" t="s">
        <v>335</v>
      </c>
      <c r="E353" s="154"/>
      <c r="F353" s="154"/>
      <c r="G353" s="154">
        <v>37915</v>
      </c>
      <c r="H353" s="154">
        <f t="shared" si="5"/>
        <v>37915</v>
      </c>
      <c r="I353" s="155"/>
      <c r="J353" s="155"/>
      <c r="L353" s="155"/>
    </row>
    <row r="354" spans="1:12" s="229" customFormat="1" ht="18" customHeight="1">
      <c r="A354" s="206"/>
      <c r="B354" s="214"/>
      <c r="C354" s="214"/>
      <c r="D354" s="1237" t="s">
        <v>387</v>
      </c>
      <c r="E354" s="803">
        <v>100000</v>
      </c>
      <c r="F354" s="803">
        <f>SUM(F355:F358)</f>
        <v>37915</v>
      </c>
      <c r="G354" s="803"/>
      <c r="H354" s="803">
        <f t="shared" si="5"/>
        <v>62085</v>
      </c>
      <c r="I354" s="209"/>
      <c r="J354" s="209"/>
      <c r="L354" s="209"/>
    </row>
    <row r="355" spans="1:12" s="156" customFormat="1" ht="18" customHeight="1">
      <c r="A355" s="205"/>
      <c r="B355" s="169"/>
      <c r="C355" s="169">
        <v>4210</v>
      </c>
      <c r="D355" s="169" t="s">
        <v>383</v>
      </c>
      <c r="E355" s="154">
        <v>12924</v>
      </c>
      <c r="F355" s="863">
        <v>4000</v>
      </c>
      <c r="G355" s="154"/>
      <c r="H355" s="154">
        <f t="shared" si="5"/>
        <v>8924</v>
      </c>
      <c r="I355" s="155"/>
      <c r="J355" s="155"/>
      <c r="L355" s="155"/>
    </row>
    <row r="356" spans="1:12" s="156" customFormat="1" ht="18" customHeight="1">
      <c r="A356" s="205"/>
      <c r="B356" s="169"/>
      <c r="C356" s="161">
        <v>4300</v>
      </c>
      <c r="D356" s="161" t="s">
        <v>384</v>
      </c>
      <c r="E356" s="764">
        <v>80000</v>
      </c>
      <c r="F356" s="908">
        <v>32015</v>
      </c>
      <c r="G356" s="764"/>
      <c r="H356" s="764">
        <f t="shared" si="5"/>
        <v>47985</v>
      </c>
      <c r="I356" s="155"/>
      <c r="J356" s="155"/>
      <c r="L356" s="155"/>
    </row>
    <row r="357" spans="1:12" s="156" customFormat="1" ht="18" customHeight="1">
      <c r="A357" s="205"/>
      <c r="B357" s="169"/>
      <c r="C357" s="161">
        <v>4410</v>
      </c>
      <c r="D357" s="161" t="s">
        <v>468</v>
      </c>
      <c r="E357" s="764">
        <v>1000</v>
      </c>
      <c r="F357" s="908">
        <v>500</v>
      </c>
      <c r="G357" s="764"/>
      <c r="H357" s="764">
        <f t="shared" si="5"/>
        <v>500</v>
      </c>
      <c r="I357" s="155"/>
      <c r="J357" s="155"/>
      <c r="L357" s="155"/>
    </row>
    <row r="358" spans="1:12" s="156" customFormat="1" ht="18" customHeight="1">
      <c r="A358" s="205"/>
      <c r="B358" s="320"/>
      <c r="C358" s="161">
        <v>4420</v>
      </c>
      <c r="D358" s="161" t="s">
        <v>426</v>
      </c>
      <c r="E358" s="764">
        <v>1400</v>
      </c>
      <c r="F358" s="908">
        <v>1400</v>
      </c>
      <c r="G358" s="764"/>
      <c r="H358" s="764">
        <f t="shared" si="5"/>
        <v>0</v>
      </c>
      <c r="I358" s="155"/>
      <c r="J358" s="155"/>
      <c r="L358" s="155"/>
    </row>
    <row r="359" spans="1:12" s="95" customFormat="1" ht="18.75" customHeight="1">
      <c r="A359" s="76"/>
      <c r="B359" s="77">
        <v>85333</v>
      </c>
      <c r="C359" s="77"/>
      <c r="D359" s="78" t="s">
        <v>331</v>
      </c>
      <c r="E359" s="137">
        <v>4451467</v>
      </c>
      <c r="F359" s="79">
        <f>F360+F362</f>
        <v>996</v>
      </c>
      <c r="G359" s="79">
        <f>G360+G362</f>
        <v>5996</v>
      </c>
      <c r="H359" s="79">
        <f t="shared" si="5"/>
        <v>4456467</v>
      </c>
      <c r="I359" s="138"/>
      <c r="J359" s="138"/>
      <c r="L359" s="94"/>
    </row>
    <row r="360" spans="1:12" s="229" customFormat="1" ht="18" customHeight="1">
      <c r="A360" s="206"/>
      <c r="B360" s="214"/>
      <c r="C360" s="214"/>
      <c r="D360" s="882" t="s">
        <v>387</v>
      </c>
      <c r="E360" s="803">
        <v>603600</v>
      </c>
      <c r="F360" s="803"/>
      <c r="G360" s="803">
        <f>G361</f>
        <v>5000</v>
      </c>
      <c r="H360" s="803">
        <f t="shared" si="5"/>
        <v>608600</v>
      </c>
      <c r="I360" s="209"/>
      <c r="J360" s="209"/>
      <c r="L360" s="209"/>
    </row>
    <row r="361" spans="1:12" s="156" customFormat="1" ht="18" customHeight="1">
      <c r="A361" s="205"/>
      <c r="B361" s="169"/>
      <c r="C361" s="320">
        <v>4270</v>
      </c>
      <c r="D361" s="778" t="s">
        <v>569</v>
      </c>
      <c r="E361" s="154">
        <v>95000</v>
      </c>
      <c r="F361" s="154"/>
      <c r="G361" s="154">
        <v>5000</v>
      </c>
      <c r="H361" s="154">
        <f t="shared" si="5"/>
        <v>100000</v>
      </c>
      <c r="I361" s="155"/>
      <c r="J361" s="155"/>
      <c r="L361" s="155"/>
    </row>
    <row r="362" spans="1:12" s="229" customFormat="1" ht="18" customHeight="1">
      <c r="A362" s="206"/>
      <c r="B362" s="214"/>
      <c r="C362" s="214"/>
      <c r="D362" s="882" t="s">
        <v>698</v>
      </c>
      <c r="E362" s="803">
        <v>39384</v>
      </c>
      <c r="F362" s="803">
        <f>SUM(F363:F364)</f>
        <v>996</v>
      </c>
      <c r="G362" s="803">
        <f>SUM(G363:G364)</f>
        <v>996</v>
      </c>
      <c r="H362" s="803">
        <f t="shared" si="5"/>
        <v>39384</v>
      </c>
      <c r="I362" s="209"/>
      <c r="J362" s="209"/>
      <c r="L362" s="209"/>
    </row>
    <row r="363" spans="1:12" s="156" customFormat="1" ht="18" customHeight="1">
      <c r="A363" s="205"/>
      <c r="B363" s="169"/>
      <c r="C363" s="320">
        <v>4218</v>
      </c>
      <c r="D363" s="778" t="s">
        <v>383</v>
      </c>
      <c r="E363" s="154">
        <v>1950</v>
      </c>
      <c r="F363" s="154"/>
      <c r="G363" s="154">
        <v>996</v>
      </c>
      <c r="H363" s="154">
        <f t="shared" si="5"/>
        <v>2946</v>
      </c>
      <c r="I363" s="155"/>
      <c r="J363" s="155"/>
      <c r="L363" s="155"/>
    </row>
    <row r="364" spans="1:12" s="156" customFormat="1" ht="18" customHeight="1">
      <c r="A364" s="205"/>
      <c r="B364" s="320"/>
      <c r="C364" s="320">
        <v>4308</v>
      </c>
      <c r="D364" s="321" t="s">
        <v>384</v>
      </c>
      <c r="E364" s="418">
        <v>30250</v>
      </c>
      <c r="F364" s="418">
        <v>996</v>
      </c>
      <c r="G364" s="418"/>
      <c r="H364" s="418">
        <f t="shared" si="5"/>
        <v>29254</v>
      </c>
      <c r="I364" s="155"/>
      <c r="J364" s="155"/>
      <c r="L364" s="155"/>
    </row>
    <row r="365" spans="1:12" ht="19.5" customHeight="1">
      <c r="A365" s="72">
        <v>854</v>
      </c>
      <c r="B365" s="89"/>
      <c r="C365" s="73"/>
      <c r="D365" s="92" t="s">
        <v>369</v>
      </c>
      <c r="E365" s="74">
        <v>42811970</v>
      </c>
      <c r="F365" s="75">
        <f>F366+F375+F385+F393+F400+F409+F415+F420+F426</f>
        <v>376608</v>
      </c>
      <c r="G365" s="75">
        <f>G366+G375+G385+G393+G400+G409+G415+G420+G426</f>
        <v>1349771</v>
      </c>
      <c r="H365" s="75">
        <f t="shared" si="5"/>
        <v>43785133</v>
      </c>
      <c r="I365" s="47"/>
      <c r="J365" s="47"/>
      <c r="L365" s="47"/>
    </row>
    <row r="366" spans="1:12" s="95" customFormat="1" ht="18.75" customHeight="1">
      <c r="A366" s="76"/>
      <c r="B366" s="77">
        <v>85401</v>
      </c>
      <c r="C366" s="77"/>
      <c r="D366" s="78" t="s">
        <v>841</v>
      </c>
      <c r="E366" s="137">
        <v>7067360</v>
      </c>
      <c r="F366" s="79">
        <f>F367+F369+F372</f>
        <v>93539</v>
      </c>
      <c r="G366" s="79">
        <f>G367+G369+G372</f>
        <v>11297</v>
      </c>
      <c r="H366" s="79">
        <f t="shared" si="5"/>
        <v>6985118</v>
      </c>
      <c r="I366" s="138"/>
      <c r="J366" s="138"/>
      <c r="L366" s="94"/>
    </row>
    <row r="367" spans="1:12" s="229" customFormat="1" ht="18" customHeight="1">
      <c r="A367" s="206"/>
      <c r="B367" s="214"/>
      <c r="C367" s="214"/>
      <c r="D367" s="1237" t="s">
        <v>57</v>
      </c>
      <c r="E367" s="803">
        <v>5500260</v>
      </c>
      <c r="F367" s="803">
        <f>F368</f>
        <v>21800</v>
      </c>
      <c r="G367" s="803"/>
      <c r="H367" s="803">
        <f t="shared" si="5"/>
        <v>5478460</v>
      </c>
      <c r="I367" s="209"/>
      <c r="J367" s="209"/>
      <c r="L367" s="209"/>
    </row>
    <row r="368" spans="1:12" s="156" customFormat="1" ht="18" customHeight="1">
      <c r="A368" s="205"/>
      <c r="B368" s="169"/>
      <c r="C368" s="320">
        <v>4010</v>
      </c>
      <c r="D368" s="320" t="s">
        <v>335</v>
      </c>
      <c r="E368" s="154">
        <v>5137766</v>
      </c>
      <c r="F368" s="154">
        <f>249812-228012</f>
        <v>21800</v>
      </c>
      <c r="G368" s="154"/>
      <c r="H368" s="154">
        <f t="shared" si="5"/>
        <v>5115966</v>
      </c>
      <c r="I368" s="155"/>
      <c r="J368" s="155"/>
      <c r="L368" s="155"/>
    </row>
    <row r="369" spans="1:12" s="95" customFormat="1" ht="18.75" customHeight="1">
      <c r="A369" s="80"/>
      <c r="B369" s="66"/>
      <c r="C369" s="466"/>
      <c r="D369" s="999" t="s">
        <v>387</v>
      </c>
      <c r="E369" s="144">
        <v>444415</v>
      </c>
      <c r="F369" s="565"/>
      <c r="G369" s="565">
        <f>SUM(G370:G371)</f>
        <v>9125</v>
      </c>
      <c r="H369" s="565">
        <f t="shared" si="5"/>
        <v>453540</v>
      </c>
      <c r="I369" s="138"/>
      <c r="J369" s="138"/>
      <c r="L369" s="94"/>
    </row>
    <row r="370" spans="1:12" s="557" customFormat="1" ht="18.75" customHeight="1">
      <c r="A370" s="205"/>
      <c r="B370" s="169"/>
      <c r="C370" s="320">
        <v>4260</v>
      </c>
      <c r="D370" s="778" t="s">
        <v>464</v>
      </c>
      <c r="E370" s="154">
        <v>3400</v>
      </c>
      <c r="F370" s="636"/>
      <c r="G370" s="636">
        <v>8915</v>
      </c>
      <c r="H370" s="154">
        <f t="shared" si="5"/>
        <v>12315</v>
      </c>
      <c r="I370" s="155"/>
      <c r="J370" s="155"/>
      <c r="L370" s="558"/>
    </row>
    <row r="371" spans="1:12" s="557" customFormat="1" ht="18.75" customHeight="1">
      <c r="A371" s="205"/>
      <c r="B371" s="169"/>
      <c r="C371" s="161">
        <v>4300</v>
      </c>
      <c r="D371" s="903" t="s">
        <v>384</v>
      </c>
      <c r="E371" s="764">
        <v>900</v>
      </c>
      <c r="F371" s="765"/>
      <c r="G371" s="765">
        <v>210</v>
      </c>
      <c r="H371" s="764">
        <f t="shared" si="5"/>
        <v>1110</v>
      </c>
      <c r="I371" s="155"/>
      <c r="J371" s="155"/>
      <c r="L371" s="558"/>
    </row>
    <row r="372" spans="1:12" s="555" customFormat="1" ht="18.75" customHeight="1">
      <c r="A372" s="206"/>
      <c r="B372" s="214"/>
      <c r="C372" s="214"/>
      <c r="D372" s="762" t="s">
        <v>413</v>
      </c>
      <c r="E372" s="1261">
        <v>1122685</v>
      </c>
      <c r="F372" s="1262">
        <f>SUM(F373:F374)</f>
        <v>71739</v>
      </c>
      <c r="G372" s="1262">
        <f>SUM(G373:G374)</f>
        <v>2172</v>
      </c>
      <c r="H372" s="1262">
        <f t="shared" si="5"/>
        <v>1053118</v>
      </c>
      <c r="I372" s="209"/>
      <c r="J372" s="209"/>
      <c r="L372" s="556"/>
    </row>
    <row r="373" spans="1:12" s="557" customFormat="1" ht="18.75" customHeight="1">
      <c r="A373" s="205"/>
      <c r="B373" s="169"/>
      <c r="C373" s="320">
        <v>4110</v>
      </c>
      <c r="D373" s="528" t="s">
        <v>462</v>
      </c>
      <c r="E373" s="418">
        <v>994385</v>
      </c>
      <c r="F373" s="322">
        <f>103620-31881</f>
        <v>71739</v>
      </c>
      <c r="G373" s="322"/>
      <c r="H373" s="322">
        <f t="shared" si="5"/>
        <v>922646</v>
      </c>
      <c r="I373" s="155"/>
      <c r="J373" s="155"/>
      <c r="L373" s="558"/>
    </row>
    <row r="374" spans="1:12" s="557" customFormat="1" ht="18.75" customHeight="1">
      <c r="A374" s="205"/>
      <c r="B374" s="169"/>
      <c r="C374" s="320">
        <v>4120</v>
      </c>
      <c r="D374" s="528" t="s">
        <v>463</v>
      </c>
      <c r="E374" s="418">
        <v>128300</v>
      </c>
      <c r="F374" s="322"/>
      <c r="G374" s="322">
        <f>5022-2850</f>
        <v>2172</v>
      </c>
      <c r="H374" s="322">
        <f t="shared" si="5"/>
        <v>130472</v>
      </c>
      <c r="I374" s="155"/>
      <c r="J374" s="155"/>
      <c r="L374" s="558"/>
    </row>
    <row r="375" spans="1:12" s="95" customFormat="1" ht="18.75" customHeight="1">
      <c r="A375" s="76"/>
      <c r="B375" s="77">
        <v>85403</v>
      </c>
      <c r="C375" s="77"/>
      <c r="D375" s="78" t="s">
        <v>831</v>
      </c>
      <c r="E375" s="137">
        <v>10813206</v>
      </c>
      <c r="F375" s="79">
        <f>F376+F379+F382</f>
        <v>38000</v>
      </c>
      <c r="G375" s="79">
        <f>G376+G379+G382</f>
        <v>64400</v>
      </c>
      <c r="H375" s="79">
        <f t="shared" si="5"/>
        <v>10839606</v>
      </c>
      <c r="I375" s="138"/>
      <c r="J375" s="138"/>
      <c r="L375" s="94"/>
    </row>
    <row r="376" spans="1:12" s="95" customFormat="1" ht="18.75" customHeight="1">
      <c r="A376" s="80"/>
      <c r="B376" s="66"/>
      <c r="C376" s="466"/>
      <c r="D376" s="537" t="s">
        <v>57</v>
      </c>
      <c r="E376" s="143">
        <v>5480200</v>
      </c>
      <c r="F376" s="560"/>
      <c r="G376" s="560">
        <f>SUM(G377:G378)</f>
        <v>35200</v>
      </c>
      <c r="H376" s="143">
        <f t="shared" si="5"/>
        <v>5515400</v>
      </c>
      <c r="I376" s="138"/>
      <c r="J376" s="138"/>
      <c r="L376" s="94"/>
    </row>
    <row r="377" spans="1:12" s="95" customFormat="1" ht="18.75" customHeight="1">
      <c r="A377" s="80"/>
      <c r="B377" s="66"/>
      <c r="C377" s="82">
        <v>4010</v>
      </c>
      <c r="D377" s="534" t="s">
        <v>335</v>
      </c>
      <c r="E377" s="418">
        <v>5088414</v>
      </c>
      <c r="F377" s="322"/>
      <c r="G377" s="322">
        <f>163000-131800</f>
        <v>31200</v>
      </c>
      <c r="H377" s="152">
        <f t="shared" si="5"/>
        <v>5119614</v>
      </c>
      <c r="I377" s="138"/>
      <c r="J377" s="138"/>
      <c r="L377" s="94"/>
    </row>
    <row r="378" spans="1:12" s="95" customFormat="1" ht="18.75" customHeight="1">
      <c r="A378" s="80"/>
      <c r="B378" s="66"/>
      <c r="C378" s="81">
        <v>4170</v>
      </c>
      <c r="D378" s="563" t="s">
        <v>395</v>
      </c>
      <c r="E378" s="783">
        <v>3400</v>
      </c>
      <c r="F378" s="912"/>
      <c r="G378" s="912">
        <v>4000</v>
      </c>
      <c r="H378" s="553">
        <f t="shared" si="5"/>
        <v>7400</v>
      </c>
      <c r="I378" s="138"/>
      <c r="J378" s="138"/>
      <c r="L378" s="94"/>
    </row>
    <row r="379" spans="1:12" s="95" customFormat="1" ht="18.75" customHeight="1">
      <c r="A379" s="80"/>
      <c r="B379" s="66"/>
      <c r="C379" s="466"/>
      <c r="D379" s="537" t="s">
        <v>387</v>
      </c>
      <c r="E379" s="143">
        <v>1353264</v>
      </c>
      <c r="F379" s="560">
        <f>SUM(F380:F381)</f>
        <v>38000</v>
      </c>
      <c r="G379" s="560"/>
      <c r="H379" s="560">
        <f t="shared" si="5"/>
        <v>1315264</v>
      </c>
      <c r="I379" s="138"/>
      <c r="J379" s="138"/>
      <c r="L379" s="94"/>
    </row>
    <row r="380" spans="1:12" s="557" customFormat="1" ht="18.75" customHeight="1">
      <c r="A380" s="205"/>
      <c r="B380" s="169"/>
      <c r="C380" s="320">
        <v>4260</v>
      </c>
      <c r="D380" s="321" t="s">
        <v>464</v>
      </c>
      <c r="E380" s="418">
        <v>534000</v>
      </c>
      <c r="F380" s="322">
        <f>39000-5000</f>
        <v>34000</v>
      </c>
      <c r="G380" s="322"/>
      <c r="H380" s="322">
        <f t="shared" si="5"/>
        <v>500000</v>
      </c>
      <c r="I380" s="155"/>
      <c r="J380" s="155"/>
      <c r="L380" s="558"/>
    </row>
    <row r="381" spans="1:12" s="557" customFormat="1" ht="18.75" customHeight="1">
      <c r="A381" s="227"/>
      <c r="B381" s="320"/>
      <c r="C381" s="320">
        <v>4270</v>
      </c>
      <c r="D381" s="321" t="s">
        <v>830</v>
      </c>
      <c r="E381" s="418">
        <v>226073</v>
      </c>
      <c r="F381" s="322">
        <v>4000</v>
      </c>
      <c r="G381" s="322"/>
      <c r="H381" s="322">
        <f t="shared" si="5"/>
        <v>222073</v>
      </c>
      <c r="I381" s="155"/>
      <c r="J381" s="155"/>
      <c r="L381" s="558"/>
    </row>
    <row r="382" spans="1:12" s="95" customFormat="1" ht="18.75" customHeight="1">
      <c r="A382" s="80"/>
      <c r="B382" s="66"/>
      <c r="C382" s="66"/>
      <c r="D382" s="618" t="s">
        <v>413</v>
      </c>
      <c r="E382" s="865">
        <v>1040500</v>
      </c>
      <c r="F382" s="619"/>
      <c r="G382" s="619">
        <f>SUM(G383:G384)</f>
        <v>29200</v>
      </c>
      <c r="H382" s="865">
        <f t="shared" si="5"/>
        <v>1069700</v>
      </c>
      <c r="I382" s="138"/>
      <c r="J382" s="138"/>
      <c r="L382" s="94"/>
    </row>
    <row r="383" spans="1:12" s="95" customFormat="1" ht="18.75" customHeight="1">
      <c r="A383" s="80"/>
      <c r="B383" s="66"/>
      <c r="C383" s="82">
        <v>4110</v>
      </c>
      <c r="D383" s="534" t="s">
        <v>462</v>
      </c>
      <c r="E383" s="418">
        <v>920240</v>
      </c>
      <c r="F383" s="322"/>
      <c r="G383" s="322">
        <f>31000-9400</f>
        <v>21600</v>
      </c>
      <c r="H383" s="152">
        <f t="shared" si="5"/>
        <v>941840</v>
      </c>
      <c r="I383" s="138"/>
      <c r="J383" s="138"/>
      <c r="L383" s="94"/>
    </row>
    <row r="384" spans="1:12" s="561" customFormat="1" ht="18.75" customHeight="1">
      <c r="A384" s="204"/>
      <c r="B384" s="82"/>
      <c r="C384" s="82">
        <v>4120</v>
      </c>
      <c r="D384" s="534" t="s">
        <v>463</v>
      </c>
      <c r="E384" s="764">
        <v>120260</v>
      </c>
      <c r="F384" s="765"/>
      <c r="G384" s="765">
        <v>7600</v>
      </c>
      <c r="H384" s="418">
        <f t="shared" si="5"/>
        <v>127860</v>
      </c>
      <c r="I384" s="157"/>
      <c r="J384" s="157"/>
      <c r="L384" s="562"/>
    </row>
    <row r="385" spans="1:12" s="95" customFormat="1" ht="25.5">
      <c r="A385" s="76"/>
      <c r="B385" s="77">
        <v>85406</v>
      </c>
      <c r="C385" s="77"/>
      <c r="D385" s="429" t="s">
        <v>425</v>
      </c>
      <c r="E385" s="137">
        <v>5593342</v>
      </c>
      <c r="F385" s="79">
        <f>F386+F388+F390</f>
        <v>41742</v>
      </c>
      <c r="G385" s="79">
        <f>G386+G388+G390</f>
        <v>57100</v>
      </c>
      <c r="H385" s="79">
        <f t="shared" si="5"/>
        <v>5608700</v>
      </c>
      <c r="I385" s="138"/>
      <c r="J385" s="138"/>
      <c r="L385" s="94"/>
    </row>
    <row r="386" spans="1:12" s="95" customFormat="1" ht="18.75" customHeight="1">
      <c r="A386" s="80"/>
      <c r="B386" s="66"/>
      <c r="C386" s="466"/>
      <c r="D386" s="537" t="s">
        <v>57</v>
      </c>
      <c r="E386" s="143">
        <v>4156800</v>
      </c>
      <c r="F386" s="560"/>
      <c r="G386" s="560">
        <f>G387</f>
        <v>56500</v>
      </c>
      <c r="H386" s="143">
        <f t="shared" si="5"/>
        <v>4213300</v>
      </c>
      <c r="I386" s="138"/>
      <c r="J386" s="138"/>
      <c r="L386" s="94"/>
    </row>
    <row r="387" spans="1:12" s="95" customFormat="1" ht="18.75" customHeight="1">
      <c r="A387" s="80"/>
      <c r="B387" s="66"/>
      <c r="C387" s="82">
        <v>4010</v>
      </c>
      <c r="D387" s="534" t="s">
        <v>335</v>
      </c>
      <c r="E387" s="418">
        <v>3869623</v>
      </c>
      <c r="F387" s="322"/>
      <c r="G387" s="322">
        <f>132500-76000</f>
        <v>56500</v>
      </c>
      <c r="H387" s="152">
        <f t="shared" si="5"/>
        <v>3926123</v>
      </c>
      <c r="I387" s="138"/>
      <c r="J387" s="138"/>
      <c r="L387" s="94"/>
    </row>
    <row r="388" spans="1:12" s="95" customFormat="1" ht="18.75" customHeight="1">
      <c r="A388" s="80"/>
      <c r="B388" s="66"/>
      <c r="C388" s="466"/>
      <c r="D388" s="537" t="s">
        <v>387</v>
      </c>
      <c r="E388" s="143">
        <v>596100</v>
      </c>
      <c r="F388" s="560">
        <f>F389</f>
        <v>25000</v>
      </c>
      <c r="G388" s="560"/>
      <c r="H388" s="560">
        <f t="shared" si="5"/>
        <v>571100</v>
      </c>
      <c r="I388" s="138"/>
      <c r="J388" s="138"/>
      <c r="L388" s="94"/>
    </row>
    <row r="389" spans="1:12" s="557" customFormat="1" ht="18.75" customHeight="1">
      <c r="A389" s="205"/>
      <c r="B389" s="169"/>
      <c r="C389" s="320">
        <v>4260</v>
      </c>
      <c r="D389" s="321" t="s">
        <v>464</v>
      </c>
      <c r="E389" s="418">
        <v>83000</v>
      </c>
      <c r="F389" s="322">
        <f>26000-1000</f>
        <v>25000</v>
      </c>
      <c r="G389" s="322"/>
      <c r="H389" s="322">
        <f t="shared" si="5"/>
        <v>58000</v>
      </c>
      <c r="I389" s="155"/>
      <c r="J389" s="155"/>
      <c r="L389" s="558"/>
    </row>
    <row r="390" spans="1:12" s="95" customFormat="1" ht="18.75" customHeight="1">
      <c r="A390" s="80"/>
      <c r="B390" s="66"/>
      <c r="C390" s="466"/>
      <c r="D390" s="537" t="s">
        <v>413</v>
      </c>
      <c r="E390" s="143">
        <v>835842</v>
      </c>
      <c r="F390" s="560">
        <f>SUM(F391:F392)</f>
        <v>16742</v>
      </c>
      <c r="G390" s="560">
        <f>SUM(G391:G392)</f>
        <v>600</v>
      </c>
      <c r="H390" s="143">
        <f t="shared" si="5"/>
        <v>819700</v>
      </c>
      <c r="I390" s="138"/>
      <c r="J390" s="138"/>
      <c r="L390" s="94"/>
    </row>
    <row r="391" spans="1:12" s="95" customFormat="1" ht="18.75" customHeight="1">
      <c r="A391" s="80"/>
      <c r="B391" s="66"/>
      <c r="C391" s="82">
        <v>4110</v>
      </c>
      <c r="D391" s="534" t="s">
        <v>462</v>
      </c>
      <c r="E391" s="418">
        <v>735642</v>
      </c>
      <c r="F391" s="322">
        <f>35542-18800</f>
        <v>16742</v>
      </c>
      <c r="G391" s="322"/>
      <c r="H391" s="152">
        <f t="shared" si="5"/>
        <v>718900</v>
      </c>
      <c r="I391" s="138"/>
      <c r="J391" s="138"/>
      <c r="L391" s="94"/>
    </row>
    <row r="392" spans="1:12" s="561" customFormat="1" ht="18.75" customHeight="1">
      <c r="A392" s="204"/>
      <c r="B392" s="82"/>
      <c r="C392" s="82">
        <v>4120</v>
      </c>
      <c r="D392" s="534" t="s">
        <v>463</v>
      </c>
      <c r="E392" s="764">
        <v>100200</v>
      </c>
      <c r="F392" s="765"/>
      <c r="G392" s="765">
        <f>2600-2000</f>
        <v>600</v>
      </c>
      <c r="H392" s="418">
        <f t="shared" si="5"/>
        <v>100800</v>
      </c>
      <c r="I392" s="157"/>
      <c r="J392" s="157"/>
      <c r="L392" s="562"/>
    </row>
    <row r="393" spans="1:12" s="95" customFormat="1" ht="19.5" customHeight="1">
      <c r="A393" s="76"/>
      <c r="B393" s="78">
        <v>85407</v>
      </c>
      <c r="C393" s="78"/>
      <c r="D393" s="429" t="s">
        <v>709</v>
      </c>
      <c r="E393" s="559">
        <v>2471000</v>
      </c>
      <c r="F393" s="523">
        <f>F394+F396+F398</f>
        <v>29446</v>
      </c>
      <c r="G393" s="523">
        <f>G394+G396+G398</f>
        <v>5700</v>
      </c>
      <c r="H393" s="523">
        <f t="shared" si="5"/>
        <v>2447254</v>
      </c>
      <c r="I393" s="138"/>
      <c r="J393" s="138"/>
      <c r="L393" s="94"/>
    </row>
    <row r="394" spans="1:12" s="130" customFormat="1" ht="21" customHeight="1">
      <c r="A394" s="80"/>
      <c r="B394" s="66"/>
      <c r="C394" s="66"/>
      <c r="D394" s="208" t="s">
        <v>57</v>
      </c>
      <c r="E394" s="865">
        <v>1724490</v>
      </c>
      <c r="F394" s="865">
        <f>SUM(F395)</f>
        <v>12446</v>
      </c>
      <c r="G394" s="865"/>
      <c r="H394" s="865">
        <f t="shared" si="5"/>
        <v>1712044</v>
      </c>
      <c r="I394" s="138"/>
      <c r="J394" s="138"/>
      <c r="L394" s="138"/>
    </row>
    <row r="395" spans="1:12" s="158" customFormat="1" ht="21" customHeight="1">
      <c r="A395" s="204"/>
      <c r="B395" s="81"/>
      <c r="C395" s="82">
        <v>4010</v>
      </c>
      <c r="D395" s="83" t="s">
        <v>335</v>
      </c>
      <c r="E395" s="152">
        <v>1601946</v>
      </c>
      <c r="F395" s="152">
        <v>12446</v>
      </c>
      <c r="G395" s="152"/>
      <c r="H395" s="152">
        <f t="shared" si="5"/>
        <v>1589500</v>
      </c>
      <c r="I395" s="157"/>
      <c r="J395" s="157"/>
      <c r="L395" s="157"/>
    </row>
    <row r="396" spans="1:12" s="130" customFormat="1" ht="21" customHeight="1">
      <c r="A396" s="80"/>
      <c r="B396" s="66"/>
      <c r="C396" s="66"/>
      <c r="D396" s="208" t="s">
        <v>387</v>
      </c>
      <c r="E396" s="865">
        <v>387410</v>
      </c>
      <c r="F396" s="865"/>
      <c r="G396" s="865">
        <f>SUM(G397)</f>
        <v>5700</v>
      </c>
      <c r="H396" s="865">
        <f t="shared" si="5"/>
        <v>393110</v>
      </c>
      <c r="I396" s="138"/>
      <c r="J396" s="138"/>
      <c r="L396" s="138"/>
    </row>
    <row r="397" spans="1:12" s="158" customFormat="1" ht="21" customHeight="1">
      <c r="A397" s="204"/>
      <c r="B397" s="81"/>
      <c r="C397" s="82">
        <v>4260</v>
      </c>
      <c r="D397" s="83" t="s">
        <v>464</v>
      </c>
      <c r="E397" s="152">
        <v>89000</v>
      </c>
      <c r="F397" s="152"/>
      <c r="G397" s="152">
        <v>5700</v>
      </c>
      <c r="H397" s="152">
        <f t="shared" si="5"/>
        <v>94700</v>
      </c>
      <c r="I397" s="157"/>
      <c r="J397" s="157"/>
      <c r="L397" s="157"/>
    </row>
    <row r="398" spans="1:12" s="130" customFormat="1" ht="21" customHeight="1">
      <c r="A398" s="80"/>
      <c r="B398" s="66"/>
      <c r="C398" s="66"/>
      <c r="D398" s="208" t="s">
        <v>413</v>
      </c>
      <c r="E398" s="865">
        <v>349100</v>
      </c>
      <c r="F398" s="865">
        <f>SUM(F399)</f>
        <v>17000</v>
      </c>
      <c r="G398" s="865"/>
      <c r="H398" s="865">
        <f t="shared" si="5"/>
        <v>332100</v>
      </c>
      <c r="I398" s="138"/>
      <c r="J398" s="138"/>
      <c r="L398" s="138"/>
    </row>
    <row r="399" spans="1:12" s="158" customFormat="1" ht="21" customHeight="1">
      <c r="A399" s="204"/>
      <c r="B399" s="81"/>
      <c r="C399" s="82">
        <v>4110</v>
      </c>
      <c r="D399" s="83" t="s">
        <v>462</v>
      </c>
      <c r="E399" s="152">
        <v>309200</v>
      </c>
      <c r="F399" s="152">
        <v>17000</v>
      </c>
      <c r="G399" s="152"/>
      <c r="H399" s="152">
        <f aca="true" t="shared" si="6" ref="H399:H461">E399+G399-F399</f>
        <v>292200</v>
      </c>
      <c r="I399" s="157"/>
      <c r="J399" s="157"/>
      <c r="L399" s="157"/>
    </row>
    <row r="400" spans="1:12" s="95" customFormat="1" ht="19.5" customHeight="1">
      <c r="A400" s="76"/>
      <c r="B400" s="77">
        <v>85410</v>
      </c>
      <c r="C400" s="77"/>
      <c r="D400" s="323" t="s">
        <v>732</v>
      </c>
      <c r="E400" s="137">
        <v>7311179</v>
      </c>
      <c r="F400" s="79">
        <f>F401+F403+F406</f>
        <v>41570</v>
      </c>
      <c r="G400" s="79">
        <f>G401+G403+G406</f>
        <v>180037</v>
      </c>
      <c r="H400" s="79">
        <f t="shared" si="6"/>
        <v>7449646</v>
      </c>
      <c r="I400" s="138"/>
      <c r="J400" s="138"/>
      <c r="L400" s="94"/>
    </row>
    <row r="401" spans="1:12" s="95" customFormat="1" ht="18.75" customHeight="1">
      <c r="A401" s="80"/>
      <c r="B401" s="66"/>
      <c r="C401" s="466"/>
      <c r="D401" s="537" t="s">
        <v>57</v>
      </c>
      <c r="E401" s="143">
        <v>4168040</v>
      </c>
      <c r="F401" s="560"/>
      <c r="G401" s="560">
        <f>G402</f>
        <v>125466</v>
      </c>
      <c r="H401" s="143">
        <f t="shared" si="6"/>
        <v>4293506</v>
      </c>
      <c r="I401" s="138"/>
      <c r="J401" s="138"/>
      <c r="L401" s="94"/>
    </row>
    <row r="402" spans="1:12" s="95" customFormat="1" ht="18.75" customHeight="1">
      <c r="A402" s="80"/>
      <c r="B402" s="66"/>
      <c r="C402" s="82">
        <v>4010</v>
      </c>
      <c r="D402" s="534" t="s">
        <v>335</v>
      </c>
      <c r="E402" s="418">
        <v>3863089</v>
      </c>
      <c r="F402" s="322"/>
      <c r="G402" s="322">
        <f>149256-23790</f>
        <v>125466</v>
      </c>
      <c r="H402" s="152">
        <f t="shared" si="6"/>
        <v>3988555</v>
      </c>
      <c r="I402" s="138"/>
      <c r="J402" s="138"/>
      <c r="L402" s="94"/>
    </row>
    <row r="403" spans="1:12" s="95" customFormat="1" ht="18.75" customHeight="1">
      <c r="A403" s="80"/>
      <c r="B403" s="66"/>
      <c r="C403" s="466"/>
      <c r="D403" s="537" t="s">
        <v>387</v>
      </c>
      <c r="E403" s="143">
        <v>1490839</v>
      </c>
      <c r="F403" s="560"/>
      <c r="G403" s="560">
        <f>SUM(G404:G405)</f>
        <v>49531</v>
      </c>
      <c r="H403" s="560">
        <f t="shared" si="6"/>
        <v>1540370</v>
      </c>
      <c r="I403" s="138"/>
      <c r="J403" s="138"/>
      <c r="L403" s="94"/>
    </row>
    <row r="404" spans="1:12" s="557" customFormat="1" ht="18.75" customHeight="1">
      <c r="A404" s="205"/>
      <c r="B404" s="169"/>
      <c r="C404" s="320">
        <v>4210</v>
      </c>
      <c r="D404" s="321" t="s">
        <v>383</v>
      </c>
      <c r="E404" s="418">
        <v>225534</v>
      </c>
      <c r="F404" s="322"/>
      <c r="G404" s="322">
        <v>10000</v>
      </c>
      <c r="H404" s="322">
        <f t="shared" si="6"/>
        <v>235534</v>
      </c>
      <c r="I404" s="155"/>
      <c r="J404" s="155"/>
      <c r="L404" s="558"/>
    </row>
    <row r="405" spans="1:12" s="557" customFormat="1" ht="18.75" customHeight="1">
      <c r="A405" s="205"/>
      <c r="B405" s="169"/>
      <c r="C405" s="320">
        <v>4260</v>
      </c>
      <c r="D405" s="321" t="s">
        <v>464</v>
      </c>
      <c r="E405" s="418">
        <v>783819</v>
      </c>
      <c r="F405" s="322"/>
      <c r="G405" s="322">
        <f>86000-46469</f>
        <v>39531</v>
      </c>
      <c r="H405" s="322">
        <f t="shared" si="6"/>
        <v>823350</v>
      </c>
      <c r="I405" s="155"/>
      <c r="J405" s="155"/>
      <c r="L405" s="558"/>
    </row>
    <row r="406" spans="1:12" s="95" customFormat="1" ht="18.75" customHeight="1">
      <c r="A406" s="80"/>
      <c r="B406" s="66"/>
      <c r="C406" s="466"/>
      <c r="D406" s="537" t="s">
        <v>413</v>
      </c>
      <c r="E406" s="143">
        <v>856300</v>
      </c>
      <c r="F406" s="560">
        <f>SUM(F407:F408)</f>
        <v>41570</v>
      </c>
      <c r="G406" s="560">
        <f>SUM(G407:G408)</f>
        <v>5040</v>
      </c>
      <c r="H406" s="143">
        <f t="shared" si="6"/>
        <v>819770</v>
      </c>
      <c r="I406" s="138"/>
      <c r="J406" s="138"/>
      <c r="L406" s="94"/>
    </row>
    <row r="407" spans="1:12" s="95" customFormat="1" ht="18.75" customHeight="1">
      <c r="A407" s="80"/>
      <c r="B407" s="66"/>
      <c r="C407" s="82">
        <v>4110</v>
      </c>
      <c r="D407" s="534" t="s">
        <v>462</v>
      </c>
      <c r="E407" s="418">
        <v>758750</v>
      </c>
      <c r="F407" s="322">
        <f>68800-27230</f>
        <v>41570</v>
      </c>
      <c r="G407" s="322"/>
      <c r="H407" s="152">
        <f t="shared" si="6"/>
        <v>717180</v>
      </c>
      <c r="I407" s="138"/>
      <c r="J407" s="138"/>
      <c r="L407" s="94"/>
    </row>
    <row r="408" spans="1:12" s="561" customFormat="1" ht="18.75" customHeight="1">
      <c r="A408" s="204"/>
      <c r="B408" s="82"/>
      <c r="C408" s="82">
        <v>4120</v>
      </c>
      <c r="D408" s="534" t="s">
        <v>463</v>
      </c>
      <c r="E408" s="764">
        <v>97550</v>
      </c>
      <c r="F408" s="765"/>
      <c r="G408" s="765">
        <v>5040</v>
      </c>
      <c r="H408" s="418">
        <f t="shared" si="6"/>
        <v>102590</v>
      </c>
      <c r="I408" s="157"/>
      <c r="J408" s="157"/>
      <c r="L408" s="562"/>
    </row>
    <row r="409" spans="1:12" s="130" customFormat="1" ht="18.75" customHeight="1">
      <c r="A409" s="76"/>
      <c r="B409" s="77">
        <v>85415</v>
      </c>
      <c r="C409" s="77"/>
      <c r="D409" s="77" t="s">
        <v>705</v>
      </c>
      <c r="E409" s="137">
        <v>1725704</v>
      </c>
      <c r="F409" s="137">
        <f>F410+F412</f>
        <v>54236</v>
      </c>
      <c r="G409" s="137">
        <f>G410+G412</f>
        <v>973163</v>
      </c>
      <c r="H409" s="137">
        <f t="shared" si="6"/>
        <v>2644631</v>
      </c>
      <c r="I409" s="138"/>
      <c r="J409" s="138"/>
      <c r="L409" s="138"/>
    </row>
    <row r="410" spans="1:12" s="130" customFormat="1" ht="19.5" customHeight="1">
      <c r="A410" s="80"/>
      <c r="B410" s="466"/>
      <c r="C410" s="466"/>
      <c r="D410" s="536" t="s">
        <v>60</v>
      </c>
      <c r="E410" s="144">
        <v>453787</v>
      </c>
      <c r="F410" s="144">
        <f>F411</f>
        <v>54236</v>
      </c>
      <c r="G410" s="144"/>
      <c r="H410" s="144">
        <f t="shared" si="6"/>
        <v>399551</v>
      </c>
      <c r="I410" s="138"/>
      <c r="J410" s="138"/>
      <c r="L410" s="138"/>
    </row>
    <row r="411" spans="1:12" s="158" customFormat="1" ht="18.75" customHeight="1">
      <c r="A411" s="540"/>
      <c r="B411" s="82"/>
      <c r="C411" s="82">
        <v>3240</v>
      </c>
      <c r="D411" s="534" t="s">
        <v>606</v>
      </c>
      <c r="E411" s="145">
        <v>241787</v>
      </c>
      <c r="F411" s="145">
        <f>54876-640</f>
        <v>54236</v>
      </c>
      <c r="G411" s="145"/>
      <c r="H411" s="145">
        <f t="shared" si="6"/>
        <v>187551</v>
      </c>
      <c r="I411" s="157"/>
      <c r="J411" s="157"/>
      <c r="L411" s="157"/>
    </row>
    <row r="412" spans="1:12" s="130" customFormat="1" ht="27" customHeight="1">
      <c r="A412" s="80"/>
      <c r="B412" s="66"/>
      <c r="C412" s="66"/>
      <c r="D412" s="762" t="s">
        <v>605</v>
      </c>
      <c r="E412" s="267">
        <v>1063517</v>
      </c>
      <c r="F412" s="267"/>
      <c r="G412" s="267">
        <f>SUM(G413:G414)</f>
        <v>973163</v>
      </c>
      <c r="H412" s="267">
        <f t="shared" si="6"/>
        <v>2036680</v>
      </c>
      <c r="I412" s="138"/>
      <c r="J412" s="138"/>
      <c r="L412" s="138"/>
    </row>
    <row r="413" spans="1:12" s="158" customFormat="1" ht="18.75" customHeight="1">
      <c r="A413" s="204"/>
      <c r="B413" s="81"/>
      <c r="C413" s="82">
        <v>3240</v>
      </c>
      <c r="D413" s="534" t="s">
        <v>606</v>
      </c>
      <c r="E413" s="145">
        <v>1040501</v>
      </c>
      <c r="F413" s="145"/>
      <c r="G413" s="145">
        <f>925163-3016</f>
        <v>922147</v>
      </c>
      <c r="H413" s="145">
        <f t="shared" si="6"/>
        <v>1962648</v>
      </c>
      <c r="I413" s="157"/>
      <c r="J413" s="157"/>
      <c r="L413" s="157"/>
    </row>
    <row r="414" spans="1:12" s="158" customFormat="1" ht="18.75" customHeight="1">
      <c r="A414" s="204"/>
      <c r="B414" s="81"/>
      <c r="C414" s="82">
        <v>3260</v>
      </c>
      <c r="D414" s="534" t="s">
        <v>607</v>
      </c>
      <c r="E414" s="152">
        <v>23016</v>
      </c>
      <c r="F414" s="152"/>
      <c r="G414" s="152">
        <f>3016+48000</f>
        <v>51016</v>
      </c>
      <c r="H414" s="152">
        <f t="shared" si="6"/>
        <v>74032</v>
      </c>
      <c r="I414" s="157"/>
      <c r="J414" s="157"/>
      <c r="L414" s="157"/>
    </row>
    <row r="415" spans="1:12" s="95" customFormat="1" ht="19.5" customHeight="1">
      <c r="A415" s="76"/>
      <c r="B415" s="77">
        <v>85417</v>
      </c>
      <c r="C415" s="77"/>
      <c r="D415" s="78" t="s">
        <v>844</v>
      </c>
      <c r="E415" s="137">
        <v>285531</v>
      </c>
      <c r="F415" s="79"/>
      <c r="G415" s="79">
        <f>G416+G418</f>
        <v>3850</v>
      </c>
      <c r="H415" s="79">
        <f t="shared" si="6"/>
        <v>289381</v>
      </c>
      <c r="I415" s="138"/>
      <c r="J415" s="138"/>
      <c r="L415" s="94"/>
    </row>
    <row r="416" spans="1:12" s="95" customFormat="1" ht="18.75" customHeight="1">
      <c r="A416" s="80"/>
      <c r="B416" s="466"/>
      <c r="C416" s="466"/>
      <c r="D416" s="536" t="s">
        <v>57</v>
      </c>
      <c r="E416" s="143">
        <v>171500</v>
      </c>
      <c r="F416" s="560"/>
      <c r="G416" s="560">
        <f>G417</f>
        <v>3000</v>
      </c>
      <c r="H416" s="560">
        <f t="shared" si="6"/>
        <v>174500</v>
      </c>
      <c r="I416" s="138"/>
      <c r="J416" s="138"/>
      <c r="L416" s="94"/>
    </row>
    <row r="417" spans="1:12" s="561" customFormat="1" ht="18.75" customHeight="1">
      <c r="A417" s="204"/>
      <c r="B417" s="81"/>
      <c r="C417" s="82">
        <v>4010</v>
      </c>
      <c r="D417" s="528" t="s">
        <v>335</v>
      </c>
      <c r="E417" s="152">
        <v>158969</v>
      </c>
      <c r="F417" s="548"/>
      <c r="G417" s="548">
        <v>3000</v>
      </c>
      <c r="H417" s="548">
        <f t="shared" si="6"/>
        <v>161969</v>
      </c>
      <c r="I417" s="157"/>
      <c r="J417" s="157"/>
      <c r="L417" s="562"/>
    </row>
    <row r="418" spans="1:12" s="95" customFormat="1" ht="18.75" customHeight="1">
      <c r="A418" s="80"/>
      <c r="B418" s="66"/>
      <c r="C418" s="466"/>
      <c r="D418" s="536" t="s">
        <v>413</v>
      </c>
      <c r="E418" s="143">
        <v>34400</v>
      </c>
      <c r="F418" s="560"/>
      <c r="G418" s="560">
        <f>G419</f>
        <v>850</v>
      </c>
      <c r="H418" s="560">
        <f t="shared" si="6"/>
        <v>35250</v>
      </c>
      <c r="I418" s="138"/>
      <c r="J418" s="138"/>
      <c r="L418" s="94"/>
    </row>
    <row r="419" spans="1:12" s="561" customFormat="1" ht="18.75" customHeight="1">
      <c r="A419" s="204"/>
      <c r="B419" s="81"/>
      <c r="C419" s="82">
        <v>4110</v>
      </c>
      <c r="D419" s="528" t="s">
        <v>462</v>
      </c>
      <c r="E419" s="152">
        <v>30300</v>
      </c>
      <c r="F419" s="548"/>
      <c r="G419" s="548">
        <v>850</v>
      </c>
      <c r="H419" s="548">
        <f t="shared" si="6"/>
        <v>31150</v>
      </c>
      <c r="I419" s="157"/>
      <c r="J419" s="157"/>
      <c r="L419" s="562"/>
    </row>
    <row r="420" spans="1:12" s="95" customFormat="1" ht="19.5" customHeight="1">
      <c r="A420" s="76"/>
      <c r="B420" s="77">
        <v>85446</v>
      </c>
      <c r="C420" s="77"/>
      <c r="D420" s="78" t="s">
        <v>710</v>
      </c>
      <c r="E420" s="137">
        <v>178000</v>
      </c>
      <c r="F420" s="79">
        <f>F421</f>
        <v>447</v>
      </c>
      <c r="G420" s="79">
        <f>G421</f>
        <v>447</v>
      </c>
      <c r="H420" s="79">
        <f t="shared" si="6"/>
        <v>178000</v>
      </c>
      <c r="I420" s="138"/>
      <c r="J420" s="138"/>
      <c r="L420" s="94"/>
    </row>
    <row r="421" spans="1:12" s="95" customFormat="1" ht="18.75" customHeight="1">
      <c r="A421" s="80"/>
      <c r="B421" s="466"/>
      <c r="C421" s="466"/>
      <c r="D421" s="536" t="s">
        <v>807</v>
      </c>
      <c r="E421" s="143">
        <v>178000</v>
      </c>
      <c r="F421" s="560">
        <f>SUM(F422:F425)</f>
        <v>447</v>
      </c>
      <c r="G421" s="560">
        <f>SUM(G422:G425)</f>
        <v>447</v>
      </c>
      <c r="H421" s="560">
        <f t="shared" si="6"/>
        <v>178000</v>
      </c>
      <c r="I421" s="138"/>
      <c r="J421" s="138"/>
      <c r="L421" s="94"/>
    </row>
    <row r="422" spans="1:12" s="561" customFormat="1" ht="18.75" customHeight="1">
      <c r="A422" s="204"/>
      <c r="B422" s="81"/>
      <c r="C422" s="82">
        <v>4010</v>
      </c>
      <c r="D422" s="528" t="s">
        <v>335</v>
      </c>
      <c r="E422" s="152">
        <v>47264</v>
      </c>
      <c r="F422" s="548">
        <f>928-556</f>
        <v>372</v>
      </c>
      <c r="G422" s="548"/>
      <c r="H422" s="548">
        <f t="shared" si="6"/>
        <v>46892</v>
      </c>
      <c r="I422" s="157"/>
      <c r="J422" s="157"/>
      <c r="L422" s="562"/>
    </row>
    <row r="423" spans="1:12" s="561" customFormat="1" ht="18.75" customHeight="1">
      <c r="A423" s="204"/>
      <c r="B423" s="81"/>
      <c r="C423" s="82">
        <v>4110</v>
      </c>
      <c r="D423" s="528" t="s">
        <v>462</v>
      </c>
      <c r="E423" s="152">
        <v>8503</v>
      </c>
      <c r="F423" s="548">
        <v>67</v>
      </c>
      <c r="G423" s="548"/>
      <c r="H423" s="548">
        <f t="shared" si="6"/>
        <v>8436</v>
      </c>
      <c r="I423" s="157"/>
      <c r="J423" s="157"/>
      <c r="L423" s="562"/>
    </row>
    <row r="424" spans="1:12" s="561" customFormat="1" ht="18.75" customHeight="1">
      <c r="A424" s="204"/>
      <c r="B424" s="81"/>
      <c r="C424" s="82">
        <v>4120</v>
      </c>
      <c r="D424" s="528" t="s">
        <v>463</v>
      </c>
      <c r="E424" s="152">
        <v>1158</v>
      </c>
      <c r="F424" s="548">
        <f>22-14</f>
        <v>8</v>
      </c>
      <c r="G424" s="548"/>
      <c r="H424" s="548">
        <f t="shared" si="6"/>
        <v>1150</v>
      </c>
      <c r="I424" s="157"/>
      <c r="J424" s="157"/>
      <c r="L424" s="562"/>
    </row>
    <row r="425" spans="1:12" s="561" customFormat="1" ht="18.75" customHeight="1">
      <c r="A425" s="204"/>
      <c r="B425" s="81"/>
      <c r="C425" s="82">
        <v>4300</v>
      </c>
      <c r="D425" s="528" t="s">
        <v>384</v>
      </c>
      <c r="E425" s="152">
        <v>106298</v>
      </c>
      <c r="F425" s="548"/>
      <c r="G425" s="548">
        <f>1247-800</f>
        <v>447</v>
      </c>
      <c r="H425" s="548">
        <f t="shared" si="6"/>
        <v>106745</v>
      </c>
      <c r="I425" s="157"/>
      <c r="J425" s="157"/>
      <c r="L425" s="562"/>
    </row>
    <row r="426" spans="1:12" s="95" customFormat="1" ht="18.75" customHeight="1">
      <c r="A426" s="76"/>
      <c r="B426" s="77">
        <v>85495</v>
      </c>
      <c r="C426" s="77"/>
      <c r="D426" s="77" t="s">
        <v>366</v>
      </c>
      <c r="E426" s="137">
        <v>6624148</v>
      </c>
      <c r="F426" s="79">
        <f>F427</f>
        <v>77628</v>
      </c>
      <c r="G426" s="79">
        <f>G427</f>
        <v>53777</v>
      </c>
      <c r="H426" s="79">
        <f t="shared" si="6"/>
        <v>6600297</v>
      </c>
      <c r="I426" s="138"/>
      <c r="J426" s="138"/>
      <c r="L426" s="94"/>
    </row>
    <row r="427" spans="1:12" s="95" customFormat="1" ht="18.75" customHeight="1">
      <c r="A427" s="80"/>
      <c r="B427" s="466"/>
      <c r="C427" s="466"/>
      <c r="D427" s="466" t="s">
        <v>856</v>
      </c>
      <c r="E427" s="144">
        <v>6410490</v>
      </c>
      <c r="F427" s="565">
        <f>F428+F430+F433</f>
        <v>77628</v>
      </c>
      <c r="G427" s="565">
        <f>G428+G430+G433</f>
        <v>53777</v>
      </c>
      <c r="H427" s="565">
        <f t="shared" si="6"/>
        <v>6386639</v>
      </c>
      <c r="I427" s="138"/>
      <c r="J427" s="138"/>
      <c r="L427" s="94"/>
    </row>
    <row r="428" spans="1:12" s="95" customFormat="1" ht="18.75" customHeight="1">
      <c r="A428" s="80"/>
      <c r="B428" s="66"/>
      <c r="C428" s="66"/>
      <c r="D428" s="1263" t="s">
        <v>57</v>
      </c>
      <c r="E428" s="575">
        <v>4154280</v>
      </c>
      <c r="F428" s="576"/>
      <c r="G428" s="576">
        <f>G429</f>
        <v>9754</v>
      </c>
      <c r="H428" s="576">
        <f t="shared" si="6"/>
        <v>4164034</v>
      </c>
      <c r="I428" s="138"/>
      <c r="J428" s="138"/>
      <c r="L428" s="94"/>
    </row>
    <row r="429" spans="1:12" s="561" customFormat="1" ht="18.75" customHeight="1">
      <c r="A429" s="204"/>
      <c r="B429" s="81"/>
      <c r="C429" s="82">
        <v>4010</v>
      </c>
      <c r="D429" s="528" t="s">
        <v>335</v>
      </c>
      <c r="E429" s="152">
        <v>3873877</v>
      </c>
      <c r="F429" s="548"/>
      <c r="G429" s="548">
        <f>267515-257761</f>
        <v>9754</v>
      </c>
      <c r="H429" s="548">
        <f t="shared" si="6"/>
        <v>3883631</v>
      </c>
      <c r="I429" s="157"/>
      <c r="J429" s="157"/>
      <c r="L429" s="562"/>
    </row>
    <row r="430" spans="1:12" s="95" customFormat="1" ht="18.75" customHeight="1">
      <c r="A430" s="80"/>
      <c r="B430" s="66"/>
      <c r="C430" s="66"/>
      <c r="D430" s="574" t="s">
        <v>387</v>
      </c>
      <c r="E430" s="575">
        <v>1440520</v>
      </c>
      <c r="F430" s="576">
        <f>SUM(F431:F432)</f>
        <v>73000</v>
      </c>
      <c r="G430" s="576">
        <f>SUM(G431:G432)</f>
        <v>40120</v>
      </c>
      <c r="H430" s="576">
        <f t="shared" si="6"/>
        <v>1407640</v>
      </c>
      <c r="I430" s="138"/>
      <c r="J430" s="138"/>
      <c r="L430" s="94"/>
    </row>
    <row r="431" spans="1:12" s="95" customFormat="1" ht="18.75" customHeight="1">
      <c r="A431" s="80"/>
      <c r="B431" s="66"/>
      <c r="C431" s="82">
        <v>4220</v>
      </c>
      <c r="D431" s="534" t="s">
        <v>472</v>
      </c>
      <c r="E431" s="145">
        <v>541100</v>
      </c>
      <c r="F431" s="567">
        <v>73000</v>
      </c>
      <c r="G431" s="567"/>
      <c r="H431" s="567">
        <f t="shared" si="6"/>
        <v>468100</v>
      </c>
      <c r="I431" s="138"/>
      <c r="J431" s="138"/>
      <c r="L431" s="94"/>
    </row>
    <row r="432" spans="1:12" s="561" customFormat="1" ht="18.75" customHeight="1">
      <c r="A432" s="204"/>
      <c r="B432" s="81"/>
      <c r="C432" s="82">
        <v>4260</v>
      </c>
      <c r="D432" s="534" t="s">
        <v>464</v>
      </c>
      <c r="E432" s="152">
        <v>377110</v>
      </c>
      <c r="F432" s="548"/>
      <c r="G432" s="548">
        <f>42020-1900</f>
        <v>40120</v>
      </c>
      <c r="H432" s="548">
        <f t="shared" si="6"/>
        <v>417230</v>
      </c>
      <c r="I432" s="157"/>
      <c r="J432" s="157"/>
      <c r="L432" s="562"/>
    </row>
    <row r="433" spans="1:12" s="95" customFormat="1" ht="18.75" customHeight="1">
      <c r="A433" s="80"/>
      <c r="B433" s="66"/>
      <c r="C433" s="466"/>
      <c r="D433" s="537" t="s">
        <v>413</v>
      </c>
      <c r="E433" s="143">
        <v>800190</v>
      </c>
      <c r="F433" s="560">
        <f>SUM(F434:F435)</f>
        <v>4628</v>
      </c>
      <c r="G433" s="560">
        <f>SUM(G434:G435)</f>
        <v>3903</v>
      </c>
      <c r="H433" s="143">
        <f t="shared" si="6"/>
        <v>799465</v>
      </c>
      <c r="I433" s="138"/>
      <c r="J433" s="138"/>
      <c r="L433" s="94"/>
    </row>
    <row r="434" spans="1:12" s="95" customFormat="1" ht="18.75" customHeight="1">
      <c r="A434" s="80"/>
      <c r="B434" s="66"/>
      <c r="C434" s="82">
        <v>4110</v>
      </c>
      <c r="D434" s="534" t="s">
        <v>462</v>
      </c>
      <c r="E434" s="418">
        <v>704230</v>
      </c>
      <c r="F434" s="322">
        <f>38788-34160</f>
        <v>4628</v>
      </c>
      <c r="G434" s="322"/>
      <c r="H434" s="152">
        <f t="shared" si="6"/>
        <v>699602</v>
      </c>
      <c r="I434" s="138"/>
      <c r="J434" s="138"/>
      <c r="L434" s="94"/>
    </row>
    <row r="435" spans="1:12" s="561" customFormat="1" ht="18.75" customHeight="1">
      <c r="A435" s="540"/>
      <c r="B435" s="82"/>
      <c r="C435" s="82">
        <v>4120</v>
      </c>
      <c r="D435" s="534" t="s">
        <v>463</v>
      </c>
      <c r="E435" s="764">
        <v>95960</v>
      </c>
      <c r="F435" s="765"/>
      <c r="G435" s="765">
        <f>6585-2682</f>
        <v>3903</v>
      </c>
      <c r="H435" s="418">
        <f t="shared" si="6"/>
        <v>99863</v>
      </c>
      <c r="I435" s="157"/>
      <c r="J435" s="157"/>
      <c r="L435" s="562"/>
    </row>
    <row r="436" spans="1:12" ht="21" customHeight="1">
      <c r="A436" s="73">
        <v>900</v>
      </c>
      <c r="B436" s="73"/>
      <c r="C436" s="73"/>
      <c r="D436" s="73" t="s">
        <v>25</v>
      </c>
      <c r="E436" s="74">
        <v>63857379</v>
      </c>
      <c r="F436" s="75">
        <f>F437+F453+F441+F448</f>
        <v>449770</v>
      </c>
      <c r="G436" s="75">
        <f>G437+G453+G441+G448</f>
        <v>654836</v>
      </c>
      <c r="H436" s="75">
        <f t="shared" si="6"/>
        <v>64062445</v>
      </c>
      <c r="I436" s="47"/>
      <c r="J436" s="47"/>
      <c r="L436" s="47"/>
    </row>
    <row r="437" spans="1:12" s="95" customFormat="1" ht="17.25" customHeight="1">
      <c r="A437" s="76"/>
      <c r="B437" s="78">
        <v>90002</v>
      </c>
      <c r="C437" s="78"/>
      <c r="D437" s="78" t="s">
        <v>801</v>
      </c>
      <c r="E437" s="559">
        <v>15972379</v>
      </c>
      <c r="F437" s="523"/>
      <c r="G437" s="523">
        <f>G438</f>
        <v>205066</v>
      </c>
      <c r="H437" s="523">
        <f t="shared" si="6"/>
        <v>16177445</v>
      </c>
      <c r="I437" s="138"/>
      <c r="J437" s="138"/>
      <c r="L437" s="94"/>
    </row>
    <row r="438" spans="1:12" s="130" customFormat="1" ht="25.5">
      <c r="A438" s="80"/>
      <c r="B438" s="66"/>
      <c r="C438" s="66"/>
      <c r="D438" s="536" t="s">
        <v>533</v>
      </c>
      <c r="E438" s="865"/>
      <c r="F438" s="143"/>
      <c r="G438" s="143">
        <f>G439</f>
        <v>205066</v>
      </c>
      <c r="H438" s="143">
        <f t="shared" si="6"/>
        <v>205066</v>
      </c>
      <c r="I438" s="138"/>
      <c r="J438" s="138"/>
      <c r="L438" s="138"/>
    </row>
    <row r="439" spans="1:12" s="156" customFormat="1" ht="19.5" customHeight="1">
      <c r="A439" s="205"/>
      <c r="B439" s="320"/>
      <c r="C439" s="320">
        <v>4270</v>
      </c>
      <c r="D439" s="460" t="s">
        <v>288</v>
      </c>
      <c r="E439" s="154"/>
      <c r="F439" s="154"/>
      <c r="G439" s="154">
        <v>205066</v>
      </c>
      <c r="H439" s="154">
        <f t="shared" si="6"/>
        <v>205066</v>
      </c>
      <c r="I439" s="155"/>
      <c r="J439" s="155"/>
      <c r="L439" s="155"/>
    </row>
    <row r="440" spans="1:12" s="156" customFormat="1" ht="44.25" customHeight="1" hidden="1">
      <c r="A440" s="1541"/>
      <c r="B440" s="1542"/>
      <c r="C440" s="1542"/>
      <c r="D440" s="1587"/>
      <c r="E440" s="1545"/>
      <c r="F440" s="1545"/>
      <c r="G440" s="1545"/>
      <c r="H440" s="1545"/>
      <c r="I440" s="155"/>
      <c r="J440" s="155"/>
      <c r="L440" s="155"/>
    </row>
    <row r="441" spans="1:12" s="95" customFormat="1" ht="18" customHeight="1">
      <c r="A441" s="76"/>
      <c r="B441" s="78">
        <v>90003</v>
      </c>
      <c r="C441" s="78"/>
      <c r="D441" s="78" t="s">
        <v>802</v>
      </c>
      <c r="E441" s="559">
        <v>9117000</v>
      </c>
      <c r="F441" s="523">
        <f>F442+F446</f>
        <v>109770</v>
      </c>
      <c r="G441" s="523">
        <f>G442+G446</f>
        <v>89770</v>
      </c>
      <c r="H441" s="523">
        <f t="shared" si="6"/>
        <v>9097000</v>
      </c>
      <c r="I441" s="138"/>
      <c r="J441" s="138"/>
      <c r="L441" s="94"/>
    </row>
    <row r="442" spans="1:12" s="130" customFormat="1" ht="18.75" customHeight="1">
      <c r="A442" s="80"/>
      <c r="B442" s="66"/>
      <c r="C442" s="66"/>
      <c r="D442" s="536" t="s">
        <v>202</v>
      </c>
      <c r="E442" s="865">
        <v>1100000</v>
      </c>
      <c r="F442" s="143">
        <f>SUM(F443:F445)</f>
        <v>109770</v>
      </c>
      <c r="G442" s="143">
        <f>SUM(G443:G445)</f>
        <v>84770</v>
      </c>
      <c r="H442" s="143">
        <f t="shared" si="6"/>
        <v>1075000</v>
      </c>
      <c r="I442" s="138"/>
      <c r="J442" s="138"/>
      <c r="L442" s="138"/>
    </row>
    <row r="443" spans="1:12" s="158" customFormat="1" ht="18" customHeight="1">
      <c r="A443" s="540"/>
      <c r="B443" s="82"/>
      <c r="C443" s="82">
        <v>4300</v>
      </c>
      <c r="D443" s="528" t="s">
        <v>384</v>
      </c>
      <c r="E443" s="152">
        <v>1100000</v>
      </c>
      <c r="F443" s="152">
        <f>84770+25000</f>
        <v>109770</v>
      </c>
      <c r="G443" s="152"/>
      <c r="H443" s="152">
        <f t="shared" si="6"/>
        <v>990230</v>
      </c>
      <c r="I443" s="157"/>
      <c r="J443" s="157"/>
      <c r="L443" s="157"/>
    </row>
    <row r="444" spans="1:12" s="158" customFormat="1" ht="18" customHeight="1">
      <c r="A444" s="204"/>
      <c r="B444" s="81"/>
      <c r="C444" s="82">
        <v>4430</v>
      </c>
      <c r="D444" s="528" t="s">
        <v>466</v>
      </c>
      <c r="E444" s="152"/>
      <c r="F444" s="152"/>
      <c r="G444" s="152">
        <v>4410</v>
      </c>
      <c r="H444" s="152">
        <f t="shared" si="6"/>
        <v>4410</v>
      </c>
      <c r="I444" s="157"/>
      <c r="J444" s="157"/>
      <c r="L444" s="157"/>
    </row>
    <row r="445" spans="1:12" s="158" customFormat="1" ht="25.5">
      <c r="A445" s="204"/>
      <c r="B445" s="81"/>
      <c r="C445" s="82">
        <v>4600</v>
      </c>
      <c r="D445" s="528" t="s">
        <v>203</v>
      </c>
      <c r="E445" s="152"/>
      <c r="F445" s="152"/>
      <c r="G445" s="152">
        <v>80360</v>
      </c>
      <c r="H445" s="152">
        <f t="shared" si="6"/>
        <v>80360</v>
      </c>
      <c r="I445" s="157"/>
      <c r="J445" s="157"/>
      <c r="L445" s="157"/>
    </row>
    <row r="446" spans="1:12" s="561" customFormat="1" ht="18.75" customHeight="1">
      <c r="A446" s="206"/>
      <c r="B446" s="214"/>
      <c r="C446" s="66"/>
      <c r="D446" s="210" t="s">
        <v>778</v>
      </c>
      <c r="E446" s="267">
        <v>120000</v>
      </c>
      <c r="F446" s="267"/>
      <c r="G446" s="267">
        <f>G447</f>
        <v>5000</v>
      </c>
      <c r="H446" s="144">
        <f t="shared" si="6"/>
        <v>125000</v>
      </c>
      <c r="I446" s="157"/>
      <c r="J446" s="157"/>
      <c r="L446" s="562"/>
    </row>
    <row r="447" spans="1:12" s="561" customFormat="1" ht="18.75" customHeight="1">
      <c r="A447" s="205"/>
      <c r="B447" s="320"/>
      <c r="C447" s="82">
        <v>4300</v>
      </c>
      <c r="D447" s="528" t="s">
        <v>384</v>
      </c>
      <c r="E447" s="154">
        <v>120000</v>
      </c>
      <c r="F447" s="154"/>
      <c r="G447" s="154">
        <v>5000</v>
      </c>
      <c r="H447" s="154">
        <f t="shared" si="6"/>
        <v>125000</v>
      </c>
      <c r="I447" s="157"/>
      <c r="J447" s="157"/>
      <c r="L447" s="562"/>
    </row>
    <row r="448" spans="1:12" s="561" customFormat="1" ht="18" customHeight="1">
      <c r="A448" s="81"/>
      <c r="B448" s="78">
        <v>90015</v>
      </c>
      <c r="C448" s="78"/>
      <c r="D448" s="78" t="s">
        <v>774</v>
      </c>
      <c r="E448" s="137">
        <v>7950000</v>
      </c>
      <c r="F448" s="137">
        <f>F449+F451</f>
        <v>100000</v>
      </c>
      <c r="G448" s="137">
        <f>G449+G451</f>
        <v>100000</v>
      </c>
      <c r="H448" s="137">
        <f t="shared" si="6"/>
        <v>7950000</v>
      </c>
      <c r="I448" s="157"/>
      <c r="J448" s="157"/>
      <c r="L448" s="562"/>
    </row>
    <row r="449" spans="1:12" s="561" customFormat="1" ht="18.75" customHeight="1">
      <c r="A449" s="206"/>
      <c r="B449" s="214"/>
      <c r="C449" s="66"/>
      <c r="D449" s="535" t="s">
        <v>775</v>
      </c>
      <c r="E449" s="267">
        <v>4500000</v>
      </c>
      <c r="F449" s="267">
        <f>F450</f>
        <v>100000</v>
      </c>
      <c r="G449" s="267"/>
      <c r="H449" s="144">
        <f t="shared" si="6"/>
        <v>4400000</v>
      </c>
      <c r="I449" s="157"/>
      <c r="J449" s="157"/>
      <c r="L449" s="562"/>
    </row>
    <row r="450" spans="1:12" s="561" customFormat="1" ht="18.75" customHeight="1">
      <c r="A450" s="205"/>
      <c r="B450" s="169"/>
      <c r="C450" s="82">
        <v>4260</v>
      </c>
      <c r="D450" s="528" t="s">
        <v>464</v>
      </c>
      <c r="E450" s="154">
        <v>4500000</v>
      </c>
      <c r="F450" s="154">
        <v>100000</v>
      </c>
      <c r="G450" s="154"/>
      <c r="H450" s="154">
        <f t="shared" si="6"/>
        <v>4400000</v>
      </c>
      <c r="I450" s="157"/>
      <c r="J450" s="157"/>
      <c r="L450" s="562"/>
    </row>
    <row r="451" spans="1:12" s="555" customFormat="1" ht="18.75" customHeight="1">
      <c r="A451" s="206"/>
      <c r="B451" s="214"/>
      <c r="C451" s="214"/>
      <c r="D451" s="941" t="s">
        <v>776</v>
      </c>
      <c r="E451" s="942">
        <v>350000</v>
      </c>
      <c r="F451" s="942"/>
      <c r="G451" s="942">
        <f>G452</f>
        <v>100000</v>
      </c>
      <c r="H451" s="803">
        <f t="shared" si="6"/>
        <v>450000</v>
      </c>
      <c r="I451" s="209"/>
      <c r="J451" s="209"/>
      <c r="L451" s="556"/>
    </row>
    <row r="452" spans="1:12" s="561" customFormat="1" ht="18.75" customHeight="1">
      <c r="A452" s="205"/>
      <c r="B452" s="320"/>
      <c r="C452" s="82">
        <v>6050</v>
      </c>
      <c r="D452" s="776" t="s">
        <v>599</v>
      </c>
      <c r="E452" s="154">
        <v>350000</v>
      </c>
      <c r="F452" s="154"/>
      <c r="G452" s="154">
        <v>100000</v>
      </c>
      <c r="H452" s="154">
        <f t="shared" si="6"/>
        <v>450000</v>
      </c>
      <c r="I452" s="157"/>
      <c r="J452" s="157"/>
      <c r="L452" s="562"/>
    </row>
    <row r="453" spans="1:12" s="95" customFormat="1" ht="17.25" customHeight="1">
      <c r="A453" s="76"/>
      <c r="B453" s="78">
        <v>90095</v>
      </c>
      <c r="C453" s="78"/>
      <c r="D453" s="78" t="s">
        <v>366</v>
      </c>
      <c r="E453" s="559">
        <v>17181000</v>
      </c>
      <c r="F453" s="523">
        <f>F456+F454</f>
        <v>240000</v>
      </c>
      <c r="G453" s="523">
        <f>G456+G454</f>
        <v>260000</v>
      </c>
      <c r="H453" s="523">
        <f t="shared" si="6"/>
        <v>17201000</v>
      </c>
      <c r="I453" s="138"/>
      <c r="J453" s="138"/>
      <c r="L453" s="94"/>
    </row>
    <row r="454" spans="1:12" s="561" customFormat="1" ht="16.5" customHeight="1">
      <c r="A454" s="206"/>
      <c r="B454" s="214"/>
      <c r="C454" s="66"/>
      <c r="D454" s="535" t="s">
        <v>779</v>
      </c>
      <c r="E454" s="267">
        <v>45000</v>
      </c>
      <c r="F454" s="267"/>
      <c r="G454" s="267">
        <f>G455</f>
        <v>20000</v>
      </c>
      <c r="H454" s="144">
        <f t="shared" si="6"/>
        <v>65000</v>
      </c>
      <c r="I454" s="157"/>
      <c r="J454" s="157"/>
      <c r="L454" s="562"/>
    </row>
    <row r="455" spans="1:12" s="561" customFormat="1" ht="18" customHeight="1">
      <c r="A455" s="205"/>
      <c r="B455" s="169"/>
      <c r="C455" s="82">
        <v>4300</v>
      </c>
      <c r="D455" s="528" t="s">
        <v>384</v>
      </c>
      <c r="E455" s="154">
        <v>45000</v>
      </c>
      <c r="F455" s="154"/>
      <c r="G455" s="154">
        <v>20000</v>
      </c>
      <c r="H455" s="154">
        <f t="shared" si="6"/>
        <v>65000</v>
      </c>
      <c r="I455" s="157"/>
      <c r="J455" s="157"/>
      <c r="L455" s="562"/>
    </row>
    <row r="456" spans="1:12" s="130" customFormat="1" ht="21" customHeight="1">
      <c r="A456" s="80"/>
      <c r="B456" s="66"/>
      <c r="C456" s="66"/>
      <c r="D456" s="568" t="s">
        <v>604</v>
      </c>
      <c r="E456" s="865">
        <v>17071000</v>
      </c>
      <c r="F456" s="143">
        <f>F460</f>
        <v>240000</v>
      </c>
      <c r="G456" s="143">
        <f>G460</f>
        <v>240000</v>
      </c>
      <c r="H456" s="143">
        <f t="shared" si="6"/>
        <v>17071000</v>
      </c>
      <c r="I456" s="138"/>
      <c r="J456" s="138"/>
      <c r="L456" s="138"/>
    </row>
    <row r="457" spans="1:12" s="156" customFormat="1" ht="15.75" customHeight="1">
      <c r="A457" s="205"/>
      <c r="B457" s="169"/>
      <c r="C457" s="169"/>
      <c r="D457" s="1014" t="s">
        <v>32</v>
      </c>
      <c r="E457" s="459">
        <v>6346000</v>
      </c>
      <c r="F457" s="459"/>
      <c r="G457" s="459">
        <v>200000</v>
      </c>
      <c r="H457" s="459">
        <f t="shared" si="6"/>
        <v>6546000</v>
      </c>
      <c r="I457" s="155"/>
      <c r="J457" s="155"/>
      <c r="L457" s="155"/>
    </row>
    <row r="458" spans="1:12" s="156" customFormat="1" ht="16.5" customHeight="1">
      <c r="A458" s="205"/>
      <c r="B458" s="169"/>
      <c r="C458" s="169"/>
      <c r="D458" s="1015" t="s">
        <v>179</v>
      </c>
      <c r="E458" s="1101">
        <v>2575000</v>
      </c>
      <c r="F458" s="1101"/>
      <c r="G458" s="1101">
        <v>40000</v>
      </c>
      <c r="H458" s="1101">
        <f t="shared" si="6"/>
        <v>2615000</v>
      </c>
      <c r="I458" s="155"/>
      <c r="J458" s="155"/>
      <c r="L458" s="155"/>
    </row>
    <row r="459" spans="1:12" s="156" customFormat="1" ht="16.5" customHeight="1">
      <c r="A459" s="205"/>
      <c r="B459" s="169"/>
      <c r="C459" s="169"/>
      <c r="D459" s="1016" t="s">
        <v>832</v>
      </c>
      <c r="E459" s="461">
        <v>1300000</v>
      </c>
      <c r="F459" s="461">
        <v>240000</v>
      </c>
      <c r="G459" s="461"/>
      <c r="H459" s="461">
        <f t="shared" si="6"/>
        <v>1060000</v>
      </c>
      <c r="I459" s="155"/>
      <c r="J459" s="155"/>
      <c r="L459" s="155"/>
    </row>
    <row r="460" spans="1:12" s="158" customFormat="1" ht="21" customHeight="1">
      <c r="A460" s="540"/>
      <c r="B460" s="82"/>
      <c r="C460" s="82">
        <v>6050</v>
      </c>
      <c r="D460" s="528" t="s">
        <v>599</v>
      </c>
      <c r="E460" s="152">
        <v>15021000</v>
      </c>
      <c r="F460" s="152">
        <f>SUM(F457:F459)</f>
        <v>240000</v>
      </c>
      <c r="G460" s="152">
        <f>SUM(G457:G459)</f>
        <v>240000</v>
      </c>
      <c r="H460" s="152">
        <f t="shared" si="6"/>
        <v>15021000</v>
      </c>
      <c r="I460" s="157"/>
      <c r="J460" s="157"/>
      <c r="L460" s="157"/>
    </row>
    <row r="461" spans="1:12" ht="15.75" customHeight="1">
      <c r="A461" s="72">
        <v>926</v>
      </c>
      <c r="B461" s="89"/>
      <c r="C461" s="73"/>
      <c r="D461" s="92" t="s">
        <v>804</v>
      </c>
      <c r="E461" s="74">
        <v>20028114</v>
      </c>
      <c r="F461" s="75">
        <f>F462</f>
        <v>35224</v>
      </c>
      <c r="G461" s="75">
        <f>G462</f>
        <v>35224</v>
      </c>
      <c r="H461" s="75">
        <f t="shared" si="6"/>
        <v>20028114</v>
      </c>
      <c r="I461" s="47"/>
      <c r="J461" s="47"/>
      <c r="L461" s="47"/>
    </row>
    <row r="462" spans="1:12" s="130" customFormat="1" ht="18.75" customHeight="1">
      <c r="A462" s="76"/>
      <c r="B462" s="78">
        <v>92605</v>
      </c>
      <c r="C462" s="78"/>
      <c r="D462" s="78" t="s">
        <v>840</v>
      </c>
      <c r="E462" s="559">
        <v>3110000</v>
      </c>
      <c r="F462" s="559">
        <f>F467+F463</f>
        <v>35224</v>
      </c>
      <c r="G462" s="559">
        <f>G467+G463</f>
        <v>35224</v>
      </c>
      <c r="H462" s="559">
        <f aca="true" t="shared" si="7" ref="H462:H511">E462+G462-F462</f>
        <v>3110000</v>
      </c>
      <c r="I462" s="138"/>
      <c r="J462" s="138"/>
      <c r="L462" s="138"/>
    </row>
    <row r="463" spans="1:12" s="130" customFormat="1" ht="18.75" customHeight="1">
      <c r="A463" s="80"/>
      <c r="B463" s="466"/>
      <c r="C463" s="108"/>
      <c r="D463" s="98" t="s">
        <v>61</v>
      </c>
      <c r="E463" s="143">
        <v>1000000</v>
      </c>
      <c r="F463" s="143">
        <f>SUM(F464:F466)</f>
        <v>28724</v>
      </c>
      <c r="G463" s="143">
        <f>SUM(G464:G466)</f>
        <v>28724</v>
      </c>
      <c r="H463" s="143">
        <f t="shared" si="7"/>
        <v>1000000</v>
      </c>
      <c r="I463" s="138"/>
      <c r="J463" s="138"/>
      <c r="L463" s="138"/>
    </row>
    <row r="464" spans="1:12" s="158" customFormat="1" ht="18.75" customHeight="1">
      <c r="A464" s="204"/>
      <c r="B464" s="81"/>
      <c r="C464" s="321">
        <v>3040</v>
      </c>
      <c r="D464" s="460" t="s">
        <v>469</v>
      </c>
      <c r="E464" s="152">
        <v>80000</v>
      </c>
      <c r="F464" s="152"/>
      <c r="G464" s="152">
        <v>20000</v>
      </c>
      <c r="H464" s="152">
        <f t="shared" si="7"/>
        <v>100000</v>
      </c>
      <c r="I464" s="157"/>
      <c r="J464" s="157"/>
      <c r="L464" s="157"/>
    </row>
    <row r="465" spans="1:12" s="158" customFormat="1" ht="18.75" customHeight="1">
      <c r="A465" s="204"/>
      <c r="B465" s="81"/>
      <c r="C465" s="321">
        <v>4210</v>
      </c>
      <c r="D465" s="460" t="s">
        <v>383</v>
      </c>
      <c r="E465" s="579"/>
      <c r="F465" s="579"/>
      <c r="G465" s="579">
        <v>8724</v>
      </c>
      <c r="H465" s="152">
        <f t="shared" si="7"/>
        <v>8724</v>
      </c>
      <c r="I465" s="157"/>
      <c r="J465" s="157"/>
      <c r="L465" s="157"/>
    </row>
    <row r="466" spans="1:12" s="158" customFormat="1" ht="18.75" customHeight="1">
      <c r="A466" s="204"/>
      <c r="B466" s="81"/>
      <c r="C466" s="321">
        <v>4300</v>
      </c>
      <c r="D466" s="460" t="s">
        <v>384</v>
      </c>
      <c r="E466" s="152">
        <v>30000</v>
      </c>
      <c r="F466" s="152">
        <v>28724</v>
      </c>
      <c r="G466" s="152"/>
      <c r="H466" s="152">
        <f t="shared" si="7"/>
        <v>1276</v>
      </c>
      <c r="I466" s="157"/>
      <c r="J466" s="157"/>
      <c r="L466" s="157"/>
    </row>
    <row r="467" spans="1:12" s="229" customFormat="1" ht="18" customHeight="1">
      <c r="A467" s="206"/>
      <c r="B467" s="214"/>
      <c r="C467" s="214"/>
      <c r="D467" s="1095" t="s">
        <v>78</v>
      </c>
      <c r="E467" s="803">
        <v>290000</v>
      </c>
      <c r="F467" s="803">
        <f>F470</f>
        <v>6500</v>
      </c>
      <c r="G467" s="803">
        <f>G470</f>
        <v>6500</v>
      </c>
      <c r="H467" s="803">
        <f t="shared" si="7"/>
        <v>290000</v>
      </c>
      <c r="I467" s="209"/>
      <c r="J467" s="209"/>
      <c r="L467" s="209"/>
    </row>
    <row r="468" spans="1:12" s="156" customFormat="1" ht="16.5" customHeight="1">
      <c r="A468" s="205"/>
      <c r="B468" s="169"/>
      <c r="C468" s="169"/>
      <c r="D468" s="1215" t="s">
        <v>557</v>
      </c>
      <c r="E468" s="945">
        <v>220000</v>
      </c>
      <c r="F468" s="945"/>
      <c r="G468" s="945">
        <v>6500</v>
      </c>
      <c r="H468" s="945">
        <f t="shared" si="7"/>
        <v>226500</v>
      </c>
      <c r="I468" s="155"/>
      <c r="J468" s="155"/>
      <c r="L468" s="155"/>
    </row>
    <row r="469" spans="1:12" s="156" customFormat="1" ht="17.25" customHeight="1">
      <c r="A469" s="205"/>
      <c r="B469" s="169"/>
      <c r="C469" s="169"/>
      <c r="D469" s="554" t="s">
        <v>558</v>
      </c>
      <c r="E469" s="461">
        <v>70000</v>
      </c>
      <c r="F469" s="461">
        <v>6500</v>
      </c>
      <c r="G469" s="461"/>
      <c r="H469" s="461">
        <f t="shared" si="7"/>
        <v>63500</v>
      </c>
      <c r="I469" s="155"/>
      <c r="J469" s="155"/>
      <c r="L469" s="155"/>
    </row>
    <row r="470" spans="1:12" s="156" customFormat="1" ht="18.75" customHeight="1">
      <c r="A470" s="205"/>
      <c r="B470" s="169"/>
      <c r="C470" s="320">
        <v>6050</v>
      </c>
      <c r="D470" s="460" t="s">
        <v>599</v>
      </c>
      <c r="E470" s="418">
        <v>290000</v>
      </c>
      <c r="F470" s="418">
        <f>SUM(F468:F469)</f>
        <v>6500</v>
      </c>
      <c r="G470" s="418">
        <f>SUM(G468:G469)</f>
        <v>6500</v>
      </c>
      <c r="H470" s="418">
        <f t="shared" si="7"/>
        <v>290000</v>
      </c>
      <c r="I470" s="155"/>
      <c r="J470" s="155"/>
      <c r="L470" s="155"/>
    </row>
    <row r="471" spans="1:12" ht="27.75" customHeight="1" thickBot="1">
      <c r="A471" s="69"/>
      <c r="B471" s="69"/>
      <c r="C471" s="69"/>
      <c r="D471" s="163" t="s">
        <v>334</v>
      </c>
      <c r="E471" s="193">
        <v>5753097</v>
      </c>
      <c r="F471" s="193"/>
      <c r="G471" s="193">
        <f>G472+G476</f>
        <v>230000</v>
      </c>
      <c r="H471" s="193">
        <f t="shared" si="7"/>
        <v>5983097</v>
      </c>
      <c r="I471" s="47"/>
      <c r="J471" s="47"/>
      <c r="L471" s="47"/>
    </row>
    <row r="472" spans="1:12" ht="21" customHeight="1" thickTop="1">
      <c r="A472" s="72">
        <v>710</v>
      </c>
      <c r="B472" s="89"/>
      <c r="C472" s="73"/>
      <c r="D472" s="92" t="s">
        <v>756</v>
      </c>
      <c r="E472" s="74"/>
      <c r="F472" s="75"/>
      <c r="G472" s="75">
        <f>G473</f>
        <v>30000</v>
      </c>
      <c r="H472" s="75">
        <f t="shared" si="7"/>
        <v>30000</v>
      </c>
      <c r="I472" s="47"/>
      <c r="J472" s="47"/>
      <c r="L472" s="47"/>
    </row>
    <row r="473" spans="1:12" s="130" customFormat="1" ht="18.75" customHeight="1">
      <c r="A473" s="76"/>
      <c r="B473" s="77">
        <v>71035</v>
      </c>
      <c r="C473" s="77"/>
      <c r="D473" s="77" t="s">
        <v>332</v>
      </c>
      <c r="E473" s="137"/>
      <c r="F473" s="137"/>
      <c r="G473" s="137">
        <f>G474</f>
        <v>30000</v>
      </c>
      <c r="H473" s="137">
        <f t="shared" si="7"/>
        <v>30000</v>
      </c>
      <c r="I473" s="138"/>
      <c r="J473" s="138"/>
      <c r="L473" s="138"/>
    </row>
    <row r="474" spans="1:12" s="130" customFormat="1" ht="18.75" customHeight="1">
      <c r="A474" s="80"/>
      <c r="B474" s="466"/>
      <c r="C474" s="66"/>
      <c r="D474" s="536" t="s">
        <v>640</v>
      </c>
      <c r="E474" s="143"/>
      <c r="F474" s="143"/>
      <c r="G474" s="143">
        <f>G475</f>
        <v>30000</v>
      </c>
      <c r="H474" s="143">
        <f t="shared" si="7"/>
        <v>30000</v>
      </c>
      <c r="I474" s="138"/>
      <c r="J474" s="138"/>
      <c r="L474" s="138"/>
    </row>
    <row r="475" spans="1:12" s="158" customFormat="1" ht="18.75" customHeight="1">
      <c r="A475" s="540"/>
      <c r="B475" s="82"/>
      <c r="C475" s="82">
        <v>4300</v>
      </c>
      <c r="D475" s="528" t="s">
        <v>384</v>
      </c>
      <c r="E475" s="152"/>
      <c r="F475" s="152"/>
      <c r="G475" s="152">
        <v>30000</v>
      </c>
      <c r="H475" s="152">
        <f t="shared" si="7"/>
        <v>30000</v>
      </c>
      <c r="I475" s="157"/>
      <c r="J475" s="157"/>
      <c r="L475" s="157"/>
    </row>
    <row r="476" spans="1:12" s="194" customFormat="1" ht="18.75" customHeight="1">
      <c r="A476" s="431">
        <v>852</v>
      </c>
      <c r="B476" s="73"/>
      <c r="C476" s="73"/>
      <c r="D476" s="92" t="s">
        <v>368</v>
      </c>
      <c r="E476" s="597">
        <v>3618310</v>
      </c>
      <c r="F476" s="597"/>
      <c r="G476" s="597">
        <f>G477</f>
        <v>200000</v>
      </c>
      <c r="H476" s="597">
        <f t="shared" si="7"/>
        <v>3818310</v>
      </c>
      <c r="I476" s="195"/>
      <c r="J476" s="195"/>
      <c r="L476" s="195"/>
    </row>
    <row r="477" spans="1:12" s="194" customFormat="1" ht="18.75" customHeight="1">
      <c r="A477" s="141"/>
      <c r="B477" s="136">
        <v>85295</v>
      </c>
      <c r="C477" s="78"/>
      <c r="D477" s="77" t="s">
        <v>366</v>
      </c>
      <c r="E477" s="315"/>
      <c r="F477" s="315"/>
      <c r="G477" s="315">
        <f>G478</f>
        <v>200000</v>
      </c>
      <c r="H477" s="315">
        <f t="shared" si="7"/>
        <v>200000</v>
      </c>
      <c r="I477" s="195"/>
      <c r="J477" s="195"/>
      <c r="L477" s="195"/>
    </row>
    <row r="478" spans="1:12" s="273" customFormat="1" ht="18.75" customHeight="1">
      <c r="A478" s="214"/>
      <c r="B478" s="214"/>
      <c r="C478" s="66"/>
      <c r="D478" s="466" t="s">
        <v>784</v>
      </c>
      <c r="E478" s="909"/>
      <c r="F478" s="909"/>
      <c r="G478" s="909">
        <f>SUM(G479:G481)</f>
        <v>200000</v>
      </c>
      <c r="H478" s="909">
        <f t="shared" si="7"/>
        <v>200000</v>
      </c>
      <c r="I478" s="406"/>
      <c r="J478" s="406"/>
      <c r="L478" s="406"/>
    </row>
    <row r="479" spans="1:12" s="194" customFormat="1" ht="18.75" customHeight="1">
      <c r="A479" s="169"/>
      <c r="B479" s="169"/>
      <c r="C479" s="320">
        <v>4210</v>
      </c>
      <c r="D479" s="896" t="s">
        <v>383</v>
      </c>
      <c r="E479" s="863"/>
      <c r="F479" s="863"/>
      <c r="G479" s="863">
        <v>107950</v>
      </c>
      <c r="H479" s="863">
        <f t="shared" si="7"/>
        <v>107950</v>
      </c>
      <c r="I479" s="195"/>
      <c r="J479" s="195"/>
      <c r="L479" s="195"/>
    </row>
    <row r="480" spans="1:12" s="194" customFormat="1" ht="18.75" customHeight="1">
      <c r="A480" s="169"/>
      <c r="B480" s="169"/>
      <c r="C480" s="320">
        <v>4270</v>
      </c>
      <c r="D480" s="320" t="s">
        <v>507</v>
      </c>
      <c r="E480" s="940"/>
      <c r="F480" s="940"/>
      <c r="G480" s="940">
        <v>87550</v>
      </c>
      <c r="H480" s="863">
        <f t="shared" si="7"/>
        <v>87550</v>
      </c>
      <c r="I480" s="195"/>
      <c r="J480" s="195"/>
      <c r="L480" s="195"/>
    </row>
    <row r="481" spans="1:12" s="156" customFormat="1" ht="18.75" customHeight="1">
      <c r="A481" s="153"/>
      <c r="B481" s="153"/>
      <c r="C481" s="82">
        <v>4300</v>
      </c>
      <c r="D481" s="82" t="s">
        <v>384</v>
      </c>
      <c r="E481" s="412"/>
      <c r="F481" s="412"/>
      <c r="G481" s="412">
        <v>4500</v>
      </c>
      <c r="H481" s="412">
        <f t="shared" si="7"/>
        <v>4500</v>
      </c>
      <c r="I481" s="155"/>
      <c r="J481" s="155"/>
      <c r="L481" s="155"/>
    </row>
    <row r="482" spans="1:12" ht="20.25" customHeight="1" thickBot="1">
      <c r="A482" s="66"/>
      <c r="B482" s="66"/>
      <c r="C482" s="66"/>
      <c r="D482" s="950" t="s">
        <v>397</v>
      </c>
      <c r="E482" s="951">
        <v>98940149</v>
      </c>
      <c r="F482" s="951">
        <f>F483+F494</f>
        <v>4000</v>
      </c>
      <c r="G482" s="951">
        <f>G483+G494</f>
        <v>1148558</v>
      </c>
      <c r="H482" s="951">
        <f t="shared" si="7"/>
        <v>100084707</v>
      </c>
      <c r="I482" s="47"/>
      <c r="J482" s="47"/>
      <c r="L482" s="47"/>
    </row>
    <row r="483" spans="1:12" s="194" customFormat="1" ht="21" customHeight="1" thickBot="1">
      <c r="A483" s="169"/>
      <c r="B483" s="169"/>
      <c r="C483" s="169"/>
      <c r="D483" s="162" t="s">
        <v>398</v>
      </c>
      <c r="E483" s="463">
        <v>76622378</v>
      </c>
      <c r="F483" s="463"/>
      <c r="G483" s="463">
        <f>G484</f>
        <v>907558</v>
      </c>
      <c r="H483" s="463">
        <f t="shared" si="7"/>
        <v>77529936</v>
      </c>
      <c r="I483" s="195"/>
      <c r="J483" s="195"/>
      <c r="L483" s="195"/>
    </row>
    <row r="484" spans="1:12" s="194" customFormat="1" ht="30.75" customHeight="1" thickTop="1">
      <c r="A484" s="184">
        <v>751</v>
      </c>
      <c r="B484" s="72"/>
      <c r="C484" s="255"/>
      <c r="D484" s="795" t="s">
        <v>532</v>
      </c>
      <c r="E484" s="314">
        <v>29100</v>
      </c>
      <c r="F484" s="314"/>
      <c r="G484" s="314">
        <f>G485</f>
        <v>907558</v>
      </c>
      <c r="H484" s="314">
        <f t="shared" si="7"/>
        <v>936658</v>
      </c>
      <c r="I484" s="195"/>
      <c r="J484" s="195"/>
      <c r="L484" s="195"/>
    </row>
    <row r="485" spans="1:12" s="194" customFormat="1" ht="38.25">
      <c r="A485" s="257"/>
      <c r="B485" s="226">
        <v>75109</v>
      </c>
      <c r="C485" s="258"/>
      <c r="D485" s="323" t="s">
        <v>625</v>
      </c>
      <c r="E485" s="703"/>
      <c r="F485" s="703"/>
      <c r="G485" s="703">
        <f>G486</f>
        <v>907558</v>
      </c>
      <c r="H485" s="315">
        <f t="shared" si="7"/>
        <v>907558</v>
      </c>
      <c r="I485" s="195"/>
      <c r="J485" s="195"/>
      <c r="L485" s="195"/>
    </row>
    <row r="486" spans="1:12" s="194" customFormat="1" ht="19.5" customHeight="1">
      <c r="A486" s="169"/>
      <c r="B486" s="169"/>
      <c r="C486" s="66"/>
      <c r="D486" s="797" t="s">
        <v>626</v>
      </c>
      <c r="E486" s="432"/>
      <c r="F486" s="432"/>
      <c r="G486" s="432">
        <f>SUM(G487:G493)</f>
        <v>907558</v>
      </c>
      <c r="H486" s="432">
        <f t="shared" si="7"/>
        <v>907558</v>
      </c>
      <c r="I486" s="195"/>
      <c r="J486" s="195"/>
      <c r="L486" s="195"/>
    </row>
    <row r="487" spans="1:12" s="156" customFormat="1" ht="18.75" customHeight="1">
      <c r="A487" s="153"/>
      <c r="B487" s="153"/>
      <c r="C487" s="82">
        <v>3030</v>
      </c>
      <c r="D487" s="528" t="s">
        <v>623</v>
      </c>
      <c r="E487" s="160"/>
      <c r="F487" s="160"/>
      <c r="G487" s="160">
        <f>254860+254860</f>
        <v>509720</v>
      </c>
      <c r="H487" s="160">
        <f t="shared" si="7"/>
        <v>509720</v>
      </c>
      <c r="I487" s="155"/>
      <c r="J487" s="155"/>
      <c r="L487" s="155"/>
    </row>
    <row r="488" spans="1:12" s="156" customFormat="1" ht="18" customHeight="1">
      <c r="A488" s="153"/>
      <c r="B488" s="153"/>
      <c r="C488" s="82">
        <v>4110</v>
      </c>
      <c r="D488" s="528" t="s">
        <v>462</v>
      </c>
      <c r="E488" s="160"/>
      <c r="F488" s="160"/>
      <c r="G488" s="764">
        <v>27000</v>
      </c>
      <c r="H488" s="160">
        <f t="shared" si="7"/>
        <v>27000</v>
      </c>
      <c r="I488" s="155"/>
      <c r="J488" s="155"/>
      <c r="L488" s="155"/>
    </row>
    <row r="489" spans="1:12" s="156" customFormat="1" ht="18.75" customHeight="1">
      <c r="A489" s="153"/>
      <c r="B489" s="153"/>
      <c r="C489" s="82">
        <v>4120</v>
      </c>
      <c r="D489" s="528" t="s">
        <v>463</v>
      </c>
      <c r="E489" s="160"/>
      <c r="F489" s="160"/>
      <c r="G489" s="764">
        <v>4100</v>
      </c>
      <c r="H489" s="160">
        <f t="shared" si="7"/>
        <v>4100</v>
      </c>
      <c r="I489" s="155"/>
      <c r="J489" s="155"/>
      <c r="L489" s="155"/>
    </row>
    <row r="490" spans="1:12" s="156" customFormat="1" ht="17.25" customHeight="1">
      <c r="A490" s="153"/>
      <c r="B490" s="153"/>
      <c r="C490" s="82">
        <v>4170</v>
      </c>
      <c r="D490" s="528" t="s">
        <v>395</v>
      </c>
      <c r="E490" s="160"/>
      <c r="F490" s="160"/>
      <c r="G490" s="764">
        <f>126000+50120</f>
        <v>176120</v>
      </c>
      <c r="H490" s="160">
        <f t="shared" si="7"/>
        <v>176120</v>
      </c>
      <c r="I490" s="155"/>
      <c r="J490" s="155"/>
      <c r="L490" s="155"/>
    </row>
    <row r="491" spans="1:12" s="451" customFormat="1" ht="18" customHeight="1">
      <c r="A491" s="430"/>
      <c r="B491" s="430"/>
      <c r="C491" s="82">
        <v>4210</v>
      </c>
      <c r="D491" s="528" t="s">
        <v>383</v>
      </c>
      <c r="E491" s="160"/>
      <c r="F491" s="160"/>
      <c r="G491" s="764">
        <v>39000</v>
      </c>
      <c r="H491" s="160">
        <f t="shared" si="7"/>
        <v>39000</v>
      </c>
      <c r="I491" s="450"/>
      <c r="J491" s="450"/>
      <c r="L491" s="450"/>
    </row>
    <row r="492" spans="1:12" s="451" customFormat="1" ht="20.25" customHeight="1">
      <c r="A492" s="430"/>
      <c r="B492" s="430"/>
      <c r="C492" s="82">
        <v>4300</v>
      </c>
      <c r="D492" s="1125" t="s">
        <v>384</v>
      </c>
      <c r="E492" s="160"/>
      <c r="F492" s="160"/>
      <c r="G492" s="764">
        <f>116800+28852</f>
        <v>145652</v>
      </c>
      <c r="H492" s="160">
        <f t="shared" si="7"/>
        <v>145652</v>
      </c>
      <c r="I492" s="450"/>
      <c r="J492" s="450"/>
      <c r="L492" s="450"/>
    </row>
    <row r="493" spans="1:12" s="451" customFormat="1" ht="20.25" customHeight="1">
      <c r="A493" s="430"/>
      <c r="B493" s="430"/>
      <c r="C493" s="82">
        <v>4410</v>
      </c>
      <c r="D493" s="528" t="s">
        <v>468</v>
      </c>
      <c r="E493" s="414"/>
      <c r="F493" s="414"/>
      <c r="G493" s="764">
        <f>4296+1670</f>
        <v>5966</v>
      </c>
      <c r="H493" s="414">
        <f t="shared" si="7"/>
        <v>5966</v>
      </c>
      <c r="I493" s="450"/>
      <c r="J493" s="450"/>
      <c r="L493" s="450"/>
    </row>
    <row r="494" spans="1:12" s="194" customFormat="1" ht="29.25" customHeight="1" thickBot="1">
      <c r="A494" s="320"/>
      <c r="B494" s="320"/>
      <c r="C494" s="320"/>
      <c r="D494" s="163" t="s">
        <v>399</v>
      </c>
      <c r="E494" s="463">
        <v>22317771</v>
      </c>
      <c r="F494" s="463">
        <f>F495+F512</f>
        <v>4000</v>
      </c>
      <c r="G494" s="463">
        <f>G495+G512</f>
        <v>241000</v>
      </c>
      <c r="H494" s="463">
        <f t="shared" si="7"/>
        <v>22554771</v>
      </c>
      <c r="I494" s="195"/>
      <c r="J494" s="195"/>
      <c r="L494" s="195"/>
    </row>
    <row r="495" spans="1:12" s="194" customFormat="1" ht="18" customHeight="1" thickTop="1">
      <c r="A495" s="72">
        <v>852</v>
      </c>
      <c r="B495" s="89"/>
      <c r="C495" s="89"/>
      <c r="D495" s="92" t="s">
        <v>368</v>
      </c>
      <c r="E495" s="314">
        <v>3191590</v>
      </c>
      <c r="F495" s="314">
        <f>F496+F509</f>
        <v>4000</v>
      </c>
      <c r="G495" s="314">
        <f>G496+G509</f>
        <v>224000</v>
      </c>
      <c r="H495" s="314">
        <f t="shared" si="7"/>
        <v>3411590</v>
      </c>
      <c r="I495" s="195"/>
      <c r="J495" s="195"/>
      <c r="L495" s="195"/>
    </row>
    <row r="496" spans="1:12" s="194" customFormat="1" ht="17.25" customHeight="1">
      <c r="A496" s="141"/>
      <c r="B496" s="136">
        <v>85203</v>
      </c>
      <c r="C496" s="161"/>
      <c r="D496" s="801" t="s">
        <v>789</v>
      </c>
      <c r="E496" s="800">
        <v>2957590</v>
      </c>
      <c r="F496" s="800">
        <f>F497+F507</f>
        <v>4000</v>
      </c>
      <c r="G496" s="800">
        <f>G497+G507</f>
        <v>194000</v>
      </c>
      <c r="H496" s="800">
        <f t="shared" si="7"/>
        <v>3147590</v>
      </c>
      <c r="I496" s="195"/>
      <c r="J496" s="195"/>
      <c r="L496" s="195"/>
    </row>
    <row r="497" spans="1:12" s="194" customFormat="1" ht="17.25" customHeight="1">
      <c r="A497" s="1297"/>
      <c r="B497" s="408"/>
      <c r="C497" s="169"/>
      <c r="D497" s="1298" t="s">
        <v>768</v>
      </c>
      <c r="E497" s="1288">
        <v>180000</v>
      </c>
      <c r="F497" s="1288">
        <f>F498+F501+F505</f>
        <v>4000</v>
      </c>
      <c r="G497" s="1288">
        <f>G498+G501+G505</f>
        <v>4000</v>
      </c>
      <c r="H497" s="1288">
        <f t="shared" si="7"/>
        <v>180000</v>
      </c>
      <c r="I497" s="195"/>
      <c r="J497" s="195"/>
      <c r="L497" s="195"/>
    </row>
    <row r="498" spans="1:12" s="273" customFormat="1" ht="17.25" customHeight="1">
      <c r="A498" s="214"/>
      <c r="B498" s="214"/>
      <c r="C498" s="214"/>
      <c r="D498" s="891" t="s">
        <v>57</v>
      </c>
      <c r="E498" s="1299">
        <v>89000</v>
      </c>
      <c r="F498" s="1299">
        <f>SUM(F499:F500)</f>
        <v>4000</v>
      </c>
      <c r="G498" s="1299"/>
      <c r="H498" s="1299">
        <f t="shared" si="7"/>
        <v>85000</v>
      </c>
      <c r="I498" s="406"/>
      <c r="J498" s="406"/>
      <c r="L498" s="406"/>
    </row>
    <row r="499" spans="1:12" s="194" customFormat="1" ht="21" customHeight="1">
      <c r="A499" s="169"/>
      <c r="B499" s="169"/>
      <c r="C499" s="320">
        <v>4010</v>
      </c>
      <c r="D499" s="900" t="s">
        <v>335</v>
      </c>
      <c r="E499" s="863">
        <v>54700</v>
      </c>
      <c r="F499" s="863">
        <v>2000</v>
      </c>
      <c r="G499" s="863"/>
      <c r="H499" s="863">
        <f t="shared" si="7"/>
        <v>52700</v>
      </c>
      <c r="I499" s="195"/>
      <c r="J499" s="195"/>
      <c r="L499" s="195"/>
    </row>
    <row r="500" spans="1:12" s="194" customFormat="1" ht="21" customHeight="1">
      <c r="A500" s="169"/>
      <c r="B500" s="169"/>
      <c r="C500" s="169">
        <v>4170</v>
      </c>
      <c r="D500" s="1425" t="s">
        <v>395</v>
      </c>
      <c r="E500" s="940">
        <v>32294</v>
      </c>
      <c r="F500" s="940">
        <v>2000</v>
      </c>
      <c r="G500" s="940"/>
      <c r="H500" s="940">
        <f t="shared" si="7"/>
        <v>30294</v>
      </c>
      <c r="I500" s="195"/>
      <c r="J500" s="195"/>
      <c r="L500" s="195"/>
    </row>
    <row r="501" spans="1:12" s="273" customFormat="1" ht="20.25" customHeight="1">
      <c r="A501" s="214"/>
      <c r="B501" s="214"/>
      <c r="C501" s="207"/>
      <c r="D501" s="882" t="s">
        <v>387</v>
      </c>
      <c r="E501" s="1204">
        <v>81200</v>
      </c>
      <c r="F501" s="1204"/>
      <c r="G501" s="1204">
        <f>SUM(G502:G504)</f>
        <v>2300</v>
      </c>
      <c r="H501" s="1204">
        <f t="shared" si="7"/>
        <v>83500</v>
      </c>
      <c r="I501" s="406"/>
      <c r="J501" s="406"/>
      <c r="L501" s="406"/>
    </row>
    <row r="502" spans="1:12" s="194" customFormat="1" ht="21" customHeight="1">
      <c r="A502" s="169"/>
      <c r="B502" s="169"/>
      <c r="C502" s="1198">
        <v>4280</v>
      </c>
      <c r="D502" s="1199" t="s">
        <v>465</v>
      </c>
      <c r="E502" s="863">
        <v>275</v>
      </c>
      <c r="F502" s="863"/>
      <c r="G502" s="154">
        <v>81</v>
      </c>
      <c r="H502" s="863">
        <f t="shared" si="7"/>
        <v>356</v>
      </c>
      <c r="I502" s="195"/>
      <c r="J502" s="195"/>
      <c r="L502" s="195"/>
    </row>
    <row r="503" spans="1:12" s="194" customFormat="1" ht="21" customHeight="1">
      <c r="A503" s="169"/>
      <c r="B503" s="169"/>
      <c r="C503" s="161">
        <v>4300</v>
      </c>
      <c r="D503" s="161" t="s">
        <v>384</v>
      </c>
      <c r="E503" s="908">
        <v>12186</v>
      </c>
      <c r="F503" s="908"/>
      <c r="G503" s="764">
        <v>1600</v>
      </c>
      <c r="H503" s="908">
        <f t="shared" si="7"/>
        <v>13786</v>
      </c>
      <c r="I503" s="195"/>
      <c r="J503" s="195"/>
      <c r="L503" s="195"/>
    </row>
    <row r="504" spans="1:12" s="194" customFormat="1" ht="21" customHeight="1">
      <c r="A504" s="320"/>
      <c r="B504" s="320"/>
      <c r="C504" s="161">
        <v>4420</v>
      </c>
      <c r="D504" s="161" t="s">
        <v>426</v>
      </c>
      <c r="E504" s="908"/>
      <c r="F504" s="908"/>
      <c r="G504" s="764">
        <v>619</v>
      </c>
      <c r="H504" s="908">
        <f t="shared" si="7"/>
        <v>619</v>
      </c>
      <c r="I504" s="195"/>
      <c r="J504" s="195"/>
      <c r="L504" s="195"/>
    </row>
    <row r="505" spans="1:12" s="273" customFormat="1" ht="21" customHeight="1">
      <c r="A505" s="214"/>
      <c r="B505" s="214"/>
      <c r="C505" s="214"/>
      <c r="D505" s="214" t="s">
        <v>413</v>
      </c>
      <c r="E505" s="1204">
        <v>9800</v>
      </c>
      <c r="F505" s="1204"/>
      <c r="G505" s="1204">
        <f>SUM(G506)</f>
        <v>1700</v>
      </c>
      <c r="H505" s="1204">
        <f t="shared" si="7"/>
        <v>11500</v>
      </c>
      <c r="I505" s="406"/>
      <c r="J505" s="406"/>
      <c r="L505" s="406"/>
    </row>
    <row r="506" spans="1:12" s="194" customFormat="1" ht="20.25" customHeight="1">
      <c r="A506" s="169"/>
      <c r="B506" s="169"/>
      <c r="C506" s="320">
        <v>4110</v>
      </c>
      <c r="D506" s="896" t="s">
        <v>462</v>
      </c>
      <c r="E506" s="863">
        <v>8800</v>
      </c>
      <c r="F506" s="897"/>
      <c r="G506" s="637">
        <v>1700</v>
      </c>
      <c r="H506" s="417">
        <f t="shared" si="7"/>
        <v>10500</v>
      </c>
      <c r="I506" s="195"/>
      <c r="J506" s="195"/>
      <c r="L506" s="195"/>
    </row>
    <row r="507" spans="1:12" s="273" customFormat="1" ht="27" customHeight="1">
      <c r="A507" s="214"/>
      <c r="B507" s="214"/>
      <c r="C507" s="522"/>
      <c r="D507" s="762" t="s">
        <v>503</v>
      </c>
      <c r="E507" s="909"/>
      <c r="F507" s="909"/>
      <c r="G507" s="909">
        <f>G508</f>
        <v>190000</v>
      </c>
      <c r="H507" s="909">
        <f t="shared" si="7"/>
        <v>190000</v>
      </c>
      <c r="I507" s="406"/>
      <c r="J507" s="406"/>
      <c r="L507" s="406"/>
    </row>
    <row r="508" spans="1:12" s="194" customFormat="1" ht="25.5">
      <c r="A508" s="169"/>
      <c r="B508" s="169"/>
      <c r="C508" s="320">
        <v>2810</v>
      </c>
      <c r="D508" s="776" t="s">
        <v>764</v>
      </c>
      <c r="E508" s="863"/>
      <c r="F508" s="863"/>
      <c r="G508" s="863">
        <v>190000</v>
      </c>
      <c r="H508" s="863">
        <f t="shared" si="7"/>
        <v>190000</v>
      </c>
      <c r="I508" s="195"/>
      <c r="J508" s="195"/>
      <c r="L508" s="195"/>
    </row>
    <row r="509" spans="1:12" s="194" customFormat="1" ht="18" customHeight="1">
      <c r="A509" s="141"/>
      <c r="B509" s="136">
        <v>85295</v>
      </c>
      <c r="C509" s="161"/>
      <c r="D509" s="313" t="s">
        <v>366</v>
      </c>
      <c r="E509" s="315"/>
      <c r="F509" s="315"/>
      <c r="G509" s="315">
        <f>G510</f>
        <v>30000</v>
      </c>
      <c r="H509" s="315">
        <f t="shared" si="7"/>
        <v>30000</v>
      </c>
      <c r="I509" s="195"/>
      <c r="J509" s="195"/>
      <c r="L509" s="195"/>
    </row>
    <row r="510" spans="1:12" s="273" customFormat="1" ht="25.5">
      <c r="A510" s="214"/>
      <c r="B510" s="214"/>
      <c r="C510" s="207"/>
      <c r="D510" s="521" t="s">
        <v>761</v>
      </c>
      <c r="E510" s="909"/>
      <c r="F510" s="909"/>
      <c r="G510" s="909">
        <f>G511</f>
        <v>30000</v>
      </c>
      <c r="H510" s="909">
        <f t="shared" si="7"/>
        <v>30000</v>
      </c>
      <c r="I510" s="406"/>
      <c r="J510" s="406"/>
      <c r="L510" s="406"/>
    </row>
    <row r="511" spans="1:12" s="194" customFormat="1" ht="21" customHeight="1">
      <c r="A511" s="320"/>
      <c r="B511" s="320"/>
      <c r="C511" s="320">
        <v>4300</v>
      </c>
      <c r="D511" s="760" t="s">
        <v>384</v>
      </c>
      <c r="E511" s="863"/>
      <c r="F511" s="863"/>
      <c r="G511" s="863">
        <v>30000</v>
      </c>
      <c r="H511" s="863">
        <f t="shared" si="7"/>
        <v>30000</v>
      </c>
      <c r="I511" s="195"/>
      <c r="J511" s="195"/>
      <c r="L511" s="195"/>
    </row>
    <row r="512" spans="1:12" s="194" customFormat="1" ht="18.75" customHeight="1">
      <c r="A512" s="72">
        <v>853</v>
      </c>
      <c r="B512" s="89"/>
      <c r="C512" s="89"/>
      <c r="D512" s="89" t="s">
        <v>412</v>
      </c>
      <c r="E512" s="597">
        <v>616654</v>
      </c>
      <c r="F512" s="597"/>
      <c r="G512" s="597">
        <f>G513</f>
        <v>17000</v>
      </c>
      <c r="H512" s="597">
        <f>E512+G512-F512</f>
        <v>633654</v>
      </c>
      <c r="I512" s="195"/>
      <c r="J512" s="195"/>
      <c r="L512" s="195"/>
    </row>
    <row r="513" spans="1:12" s="194" customFormat="1" ht="18.75" customHeight="1">
      <c r="A513" s="141"/>
      <c r="B513" s="136">
        <v>85321</v>
      </c>
      <c r="C513" s="78"/>
      <c r="D513" s="90" t="s">
        <v>205</v>
      </c>
      <c r="E513" s="315">
        <v>552000</v>
      </c>
      <c r="F513" s="315"/>
      <c r="G513" s="315">
        <f>G514</f>
        <v>17000</v>
      </c>
      <c r="H513" s="315">
        <f>E513+G513-F513</f>
        <v>569000</v>
      </c>
      <c r="I513" s="195"/>
      <c r="J513" s="195"/>
      <c r="L513" s="195"/>
    </row>
    <row r="514" spans="1:12" s="273" customFormat="1" ht="18.75" customHeight="1">
      <c r="A514" s="214"/>
      <c r="B514" s="214"/>
      <c r="C514" s="207"/>
      <c r="D514" s="723" t="s">
        <v>601</v>
      </c>
      <c r="E514" s="909">
        <v>380003</v>
      </c>
      <c r="F514" s="909"/>
      <c r="G514" s="909">
        <f>G515</f>
        <v>17000</v>
      </c>
      <c r="H514" s="909">
        <f>E514+G514-F514</f>
        <v>397003</v>
      </c>
      <c r="I514" s="406"/>
      <c r="J514" s="406"/>
      <c r="L514" s="406"/>
    </row>
    <row r="515" spans="1:12" s="156" customFormat="1" ht="18.75" customHeight="1">
      <c r="A515" s="317"/>
      <c r="B515" s="317"/>
      <c r="C515" s="320">
        <v>4170</v>
      </c>
      <c r="D515" s="1195" t="s">
        <v>395</v>
      </c>
      <c r="E515" s="417">
        <v>105998</v>
      </c>
      <c r="F515" s="417"/>
      <c r="G515" s="417">
        <v>17000</v>
      </c>
      <c r="H515" s="417">
        <f>E515+G515-F515</f>
        <v>122998</v>
      </c>
      <c r="I515" s="155"/>
      <c r="J515" s="155"/>
      <c r="L515" s="155"/>
    </row>
    <row r="516" ht="30" customHeight="1"/>
    <row r="517" ht="18.75" customHeight="1"/>
    <row r="518" spans="3:8" ht="15.75" customHeight="1">
      <c r="C518" s="1" t="s">
        <v>172</v>
      </c>
      <c r="D518" s="1133"/>
      <c r="G518" s="1" t="s">
        <v>174</v>
      </c>
      <c r="H518" s="1135"/>
    </row>
    <row r="519" spans="3:8" ht="12.75" customHeight="1">
      <c r="C519" s="48" t="s">
        <v>173</v>
      </c>
      <c r="D519" s="1133"/>
      <c r="G519" s="48" t="s">
        <v>175</v>
      </c>
      <c r="H519" s="1135"/>
    </row>
    <row r="520" spans="1:12" s="95" customFormat="1" ht="18.75" customHeight="1">
      <c r="A520" s="22"/>
      <c r="B520" s="22"/>
      <c r="C520" s="22"/>
      <c r="D520" s="22"/>
      <c r="E520" s="22"/>
      <c r="F520" s="22"/>
      <c r="G520" s="22"/>
      <c r="H520" s="22"/>
      <c r="I520" s="94"/>
      <c r="J520" s="94"/>
      <c r="L520" s="94"/>
    </row>
    <row r="521" spans="1:12" s="45" customFormat="1" ht="18.75" customHeight="1">
      <c r="A521" s="22"/>
      <c r="B521" s="22"/>
      <c r="C521" s="22"/>
      <c r="D521" s="22"/>
      <c r="E521" s="22"/>
      <c r="F521" s="22"/>
      <c r="G521" s="22"/>
      <c r="H521" s="22"/>
      <c r="I521" s="126"/>
      <c r="J521" s="126"/>
      <c r="L521" s="126"/>
    </row>
    <row r="522" spans="1:12" s="45" customFormat="1" ht="18.75" customHeight="1">
      <c r="A522" s="22"/>
      <c r="B522" s="22"/>
      <c r="C522" s="22"/>
      <c r="D522" s="22"/>
      <c r="E522" s="22"/>
      <c r="F522" s="22"/>
      <c r="G522" s="22"/>
      <c r="H522" s="22"/>
      <c r="I522" s="126"/>
      <c r="J522" s="126"/>
      <c r="L522" s="126"/>
    </row>
    <row r="523" spans="9:12" ht="21" customHeight="1">
      <c r="I523" s="47"/>
      <c r="J523" s="47"/>
      <c r="L523" s="47"/>
    </row>
    <row r="524" spans="9:12" ht="21" customHeight="1">
      <c r="I524" s="47"/>
      <c r="J524" s="47"/>
      <c r="L524" s="47"/>
    </row>
    <row r="525" ht="18.75" customHeight="1"/>
    <row r="526" ht="18.75" customHeight="1"/>
    <row r="527" spans="9:12" ht="21" customHeight="1">
      <c r="I527" s="47"/>
      <c r="J527" s="47"/>
      <c r="L527" s="47"/>
    </row>
    <row r="528" ht="18.75" customHeight="1"/>
    <row r="529" ht="19.5" customHeight="1"/>
    <row r="530" ht="19.5" customHeight="1"/>
    <row r="531" ht="19.5" customHeight="1"/>
    <row r="532" ht="18.75" customHeight="1"/>
    <row r="533" ht="18.75" customHeight="1"/>
    <row r="534" ht="28.5" customHeight="1"/>
    <row r="535" spans="1:9" s="33" customFormat="1" ht="18.75" customHeight="1">
      <c r="A535" s="22"/>
      <c r="B535" s="22"/>
      <c r="C535" s="22"/>
      <c r="D535" s="22"/>
      <c r="E535" s="22"/>
      <c r="F535" s="22"/>
      <c r="G535" s="22"/>
      <c r="H535" s="22"/>
      <c r="I535" s="127"/>
    </row>
    <row r="536" spans="1:9" s="33" customFormat="1" ht="18.75" customHeight="1">
      <c r="A536" s="22"/>
      <c r="B536" s="22"/>
      <c r="C536" s="22"/>
      <c r="D536" s="22"/>
      <c r="E536" s="22"/>
      <c r="F536" s="22"/>
      <c r="G536" s="22"/>
      <c r="H536" s="22"/>
      <c r="I536" s="127"/>
    </row>
    <row r="537" spans="1:9" s="33" customFormat="1" ht="18.75" customHeight="1">
      <c r="A537" s="22"/>
      <c r="B537" s="22"/>
      <c r="C537" s="22"/>
      <c r="D537" s="22"/>
      <c r="E537" s="22"/>
      <c r="F537" s="22"/>
      <c r="G537" s="22"/>
      <c r="H537" s="22"/>
      <c r="I537" s="127"/>
    </row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spans="1:9" s="33" customFormat="1" ht="19.5" customHeight="1">
      <c r="A546" s="22"/>
      <c r="B546" s="22"/>
      <c r="C546" s="22"/>
      <c r="D546" s="22"/>
      <c r="E546" s="22"/>
      <c r="F546" s="22"/>
      <c r="G546" s="22"/>
      <c r="H546" s="22"/>
      <c r="I546" s="128"/>
    </row>
    <row r="547" spans="1:9" s="33" customFormat="1" ht="18.75" customHeight="1">
      <c r="A547" s="22"/>
      <c r="B547" s="22"/>
      <c r="C547" s="22"/>
      <c r="D547" s="22"/>
      <c r="E547" s="22"/>
      <c r="F547" s="22"/>
      <c r="G547" s="22"/>
      <c r="H547" s="22"/>
      <c r="I547" s="127"/>
    </row>
    <row r="548" spans="1:9" s="33" customFormat="1" ht="18.75" customHeight="1">
      <c r="A548" s="22"/>
      <c r="B548" s="22"/>
      <c r="C548" s="22"/>
      <c r="D548" s="22"/>
      <c r="E548" s="22"/>
      <c r="F548" s="22"/>
      <c r="G548" s="22"/>
      <c r="H548" s="22"/>
      <c r="I548" s="127"/>
    </row>
    <row r="549" spans="1:9" s="33" customFormat="1" ht="18.75" customHeight="1">
      <c r="A549" s="22"/>
      <c r="B549" s="22"/>
      <c r="C549" s="22"/>
      <c r="D549" s="22"/>
      <c r="E549" s="22"/>
      <c r="F549" s="22"/>
      <c r="G549" s="22"/>
      <c r="H549" s="22"/>
      <c r="I549" s="127"/>
    </row>
    <row r="550" ht="19.5" customHeight="1"/>
    <row r="551" ht="18.75" customHeight="1"/>
    <row r="552" spans="1:9" s="33" customFormat="1" ht="18.75" customHeight="1">
      <c r="A552" s="22"/>
      <c r="B552" s="22"/>
      <c r="C552" s="22"/>
      <c r="D552" s="22"/>
      <c r="E552" s="22"/>
      <c r="F552" s="22"/>
      <c r="G552" s="22"/>
      <c r="H552" s="22"/>
      <c r="I552" s="127"/>
    </row>
    <row r="553" ht="18.75" customHeight="1"/>
    <row r="554" spans="1:9" s="33" customFormat="1" ht="18.75" customHeight="1">
      <c r="A554" s="22"/>
      <c r="B554" s="22"/>
      <c r="C554" s="22"/>
      <c r="D554" s="22"/>
      <c r="E554" s="22"/>
      <c r="F554" s="22"/>
      <c r="G554" s="22"/>
      <c r="H554" s="22"/>
      <c r="I554" s="127"/>
    </row>
    <row r="555" spans="1:9" s="33" customFormat="1" ht="27" customHeight="1">
      <c r="A555" s="22"/>
      <c r="B555" s="22"/>
      <c r="C555" s="22"/>
      <c r="D555" s="22"/>
      <c r="E555" s="22"/>
      <c r="F555" s="22"/>
      <c r="G555" s="22"/>
      <c r="H555" s="22"/>
      <c r="I555" s="127"/>
    </row>
    <row r="556" spans="1:9" s="33" customFormat="1" ht="18.75" customHeight="1">
      <c r="A556" s="22"/>
      <c r="B556" s="22"/>
      <c r="C556" s="22"/>
      <c r="D556" s="22"/>
      <c r="E556" s="22"/>
      <c r="F556" s="22"/>
      <c r="G556" s="22"/>
      <c r="H556" s="22"/>
      <c r="I556" s="127"/>
    </row>
    <row r="557" spans="1:9" s="33" customFormat="1" ht="19.5" customHeight="1">
      <c r="A557" s="22"/>
      <c r="B557" s="22"/>
      <c r="C557" s="22"/>
      <c r="D557" s="22"/>
      <c r="E557" s="22"/>
      <c r="F557" s="22"/>
      <c r="G557" s="22"/>
      <c r="H557" s="22"/>
      <c r="I557" s="127"/>
    </row>
    <row r="558" ht="19.5" customHeight="1"/>
    <row r="559" ht="19.5" customHeight="1"/>
    <row r="560" ht="19.5" customHeight="1"/>
    <row r="561" ht="19.5" customHeight="1"/>
    <row r="562" ht="19.5" customHeight="1"/>
    <row r="563" spans="1:9" s="33" customFormat="1" ht="18.75" customHeight="1">
      <c r="A563" s="22"/>
      <c r="B563" s="22"/>
      <c r="C563" s="22"/>
      <c r="D563" s="22"/>
      <c r="E563" s="22"/>
      <c r="F563" s="22"/>
      <c r="G563" s="22"/>
      <c r="H563" s="22"/>
      <c r="I563" s="127"/>
    </row>
    <row r="564" spans="1:9" s="33" customFormat="1" ht="19.5" customHeight="1">
      <c r="A564" s="22"/>
      <c r="B564" s="22"/>
      <c r="C564" s="22"/>
      <c r="D564" s="22"/>
      <c r="E564" s="22"/>
      <c r="F564" s="22"/>
      <c r="G564" s="22"/>
      <c r="H564" s="22"/>
      <c r="I564" s="127"/>
    </row>
    <row r="565" ht="19.5" customHeight="1"/>
    <row r="566" ht="18.75" customHeight="1"/>
    <row r="567" ht="18" customHeight="1"/>
    <row r="568" ht="28.5" customHeight="1"/>
    <row r="569" ht="20.25" customHeight="1"/>
    <row r="570" ht="18" customHeight="1"/>
    <row r="571" ht="19.5" customHeight="1"/>
    <row r="572" ht="20.25" customHeight="1"/>
    <row r="573" ht="20.25" customHeight="1"/>
    <row r="574" ht="20.25" customHeight="1"/>
    <row r="575" spans="1:8" s="33" customFormat="1" ht="27" customHeight="1">
      <c r="A575" s="22"/>
      <c r="B575" s="22"/>
      <c r="C575" s="22"/>
      <c r="D575" s="22"/>
      <c r="E575" s="22"/>
      <c r="F575" s="22"/>
      <c r="G575" s="22"/>
      <c r="H575" s="22"/>
    </row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27.75" customHeight="1"/>
    <row r="596" ht="20.25" customHeight="1"/>
    <row r="597" ht="20.25" customHeight="1"/>
    <row r="598" ht="19.5" customHeight="1"/>
    <row r="599" ht="25.5" customHeight="1"/>
    <row r="600" ht="26.25" customHeight="1"/>
    <row r="601" ht="19.5" customHeight="1"/>
    <row r="602" ht="18.75" customHeight="1"/>
    <row r="603" ht="18" customHeight="1"/>
    <row r="604" ht="19.5" customHeight="1"/>
    <row r="605" ht="19.5" customHeight="1"/>
    <row r="606" ht="20.25" customHeight="1"/>
    <row r="607" ht="19.5" customHeight="1"/>
    <row r="608" ht="19.5" customHeight="1"/>
    <row r="609" ht="20.25" customHeight="1"/>
    <row r="610" ht="18" customHeight="1"/>
    <row r="611" ht="19.5" customHeight="1"/>
    <row r="612" ht="19.5" customHeight="1"/>
  </sheetData>
  <printOptions horizontalCentered="1"/>
  <pageMargins left="0.3937007874015748" right="0.3937007874015748" top="0.61" bottom="0.47" header="0.5118110236220472" footer="0.31496062992125984"/>
  <pageSetup firstPageNumber="28" useFirstPageNumber="1" horizontalDpi="300" verticalDpi="300" orientation="landscape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L759"/>
  <sheetViews>
    <sheetView zoomScaleSheetLayoutView="75" workbookViewId="0" topLeftCell="A10">
      <pane ySplit="735" topLeftCell="BM641" activePane="bottomLeft" state="split"/>
      <selection pane="topLeft" activeCell="F11" sqref="F11:H11"/>
      <selection pane="bottomLeft" activeCell="G665" sqref="G665:H666"/>
    </sheetView>
  </sheetViews>
  <sheetFormatPr defaultColWidth="9.00390625" defaultRowHeight="12.75"/>
  <cols>
    <col min="1" max="1" width="7.875" style="107" customWidth="1"/>
    <col min="2" max="2" width="8.00390625" style="0" customWidth="1"/>
    <col min="3" max="3" width="8.125" style="0" customWidth="1"/>
    <col min="4" max="4" width="68.625" style="0" customWidth="1"/>
    <col min="5" max="5" width="14.75390625" style="0" hidden="1" customWidth="1"/>
    <col min="6" max="8" width="17.75390625" style="0" customWidth="1"/>
    <col min="9" max="9" width="11.125" style="0" customWidth="1"/>
    <col min="10" max="10" width="12.125" style="0" customWidth="1"/>
    <col min="11" max="11" width="13.00390625" style="0" customWidth="1"/>
  </cols>
  <sheetData>
    <row r="1" spans="1:10" ht="18.75" customHeight="1">
      <c r="A1" s="49"/>
      <c r="G1" s="50" t="s">
        <v>855</v>
      </c>
      <c r="J1" s="52"/>
    </row>
    <row r="2" spans="1:10" ht="18.75" customHeight="1">
      <c r="A2" s="51"/>
      <c r="G2" s="22" t="s">
        <v>15</v>
      </c>
      <c r="I2" s="1042"/>
      <c r="J2" s="1042"/>
    </row>
    <row r="3" spans="1:10" ht="19.5" customHeight="1">
      <c r="A3" s="51"/>
      <c r="C3" s="1"/>
      <c r="D3" s="4" t="s">
        <v>372</v>
      </c>
      <c r="E3" s="4"/>
      <c r="G3" s="22" t="s">
        <v>337</v>
      </c>
      <c r="J3" s="52"/>
    </row>
    <row r="4" spans="1:7" ht="19.5" customHeight="1">
      <c r="A4" s="49"/>
      <c r="C4" s="1"/>
      <c r="D4" s="4" t="s">
        <v>373</v>
      </c>
      <c r="E4" s="4"/>
      <c r="F4" s="52"/>
      <c r="G4" s="22" t="s">
        <v>787</v>
      </c>
    </row>
    <row r="5" ht="19.5" customHeight="1">
      <c r="A5" s="49"/>
    </row>
    <row r="6" spans="1:10" ht="15" customHeight="1" thickBot="1">
      <c r="A6" s="53"/>
      <c r="H6" s="54" t="s">
        <v>338</v>
      </c>
      <c r="J6" s="52"/>
    </row>
    <row r="7" spans="1:10" ht="21" customHeight="1" thickTop="1">
      <c r="A7" s="1651" t="s">
        <v>342</v>
      </c>
      <c r="B7" s="1653" t="s">
        <v>374</v>
      </c>
      <c r="C7" s="1653" t="s">
        <v>375</v>
      </c>
      <c r="D7" s="1649" t="s">
        <v>376</v>
      </c>
      <c r="E7" s="1655" t="s">
        <v>377</v>
      </c>
      <c r="F7" s="1656"/>
      <c r="G7" s="1647" t="s">
        <v>378</v>
      </c>
      <c r="H7" s="1648"/>
      <c r="I7" s="1200"/>
      <c r="J7" s="1223"/>
    </row>
    <row r="8" spans="1:10" ht="21" customHeight="1" thickBot="1">
      <c r="A8" s="1652"/>
      <c r="B8" s="1654"/>
      <c r="C8" s="1654"/>
      <c r="D8" s="1650"/>
      <c r="E8" s="55" t="s">
        <v>379</v>
      </c>
      <c r="F8" s="56" t="s">
        <v>380</v>
      </c>
      <c r="G8" s="55" t="s">
        <v>379</v>
      </c>
      <c r="H8" s="56" t="s">
        <v>380</v>
      </c>
      <c r="I8" s="1201"/>
      <c r="J8" s="1201"/>
    </row>
    <row r="9" spans="1:10" ht="15.75" customHeight="1" thickBot="1" thickTop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9">
        <v>5</v>
      </c>
      <c r="G9" s="59">
        <v>6</v>
      </c>
      <c r="H9" s="59">
        <v>7</v>
      </c>
      <c r="J9" s="52"/>
    </row>
    <row r="10" spans="1:12" ht="19.5" customHeight="1" thickBot="1" thickTop="1">
      <c r="A10" s="60"/>
      <c r="B10" s="60"/>
      <c r="C10" s="60"/>
      <c r="D10" s="61" t="s">
        <v>381</v>
      </c>
      <c r="E10" s="62" t="e">
        <f>E11+E476+E496+E537+E554+E569+E580+E589+E598+#REF!+E627+#REF!+E650+E466+E637+E531</f>
        <v>#REF!</v>
      </c>
      <c r="F10" s="62">
        <f>F11+F476+F496+F537+F554+F569+F580+F589+F598+F627+F650+F466+F637+F531</f>
        <v>4292895</v>
      </c>
      <c r="G10" s="62">
        <f>G11+G476+G496+G537+G554+G569+G580+G589+G598+G627+G650+G466+G637+G531</f>
        <v>9267460</v>
      </c>
      <c r="H10" s="62">
        <f>H11+H476+H496+H537+H554+H569+H580+H589+H598+H627+H650+H466+H637+H531</f>
        <v>13560355</v>
      </c>
      <c r="I10" s="52"/>
      <c r="J10" s="52"/>
      <c r="K10" s="52"/>
      <c r="L10" s="52"/>
    </row>
    <row r="11" spans="1:11" ht="22.5" customHeight="1">
      <c r="A11" s="63"/>
      <c r="B11" s="63"/>
      <c r="C11" s="63"/>
      <c r="D11" s="64" t="s">
        <v>359</v>
      </c>
      <c r="E11" s="65" t="e">
        <f>E12+#REF!+E31+E85+E147+E188+E365+E402+E446+#REF!+E131+E141+E439</f>
        <v>#REF!</v>
      </c>
      <c r="F11" s="65">
        <f>F12+F31+F85+F147+F188+F365+F402+F446+F131+F141+F439+F21</f>
        <v>4292895</v>
      </c>
      <c r="G11" s="65">
        <f>G12+G31+G85+G147+G188+G365+G402+G446+G131+G141+G439+G21</f>
        <v>8953930</v>
      </c>
      <c r="H11" s="65">
        <f>H12+H31+H85+H147+H188+H365+H402+H446+H131+H141+H439+H21</f>
        <v>6843776</v>
      </c>
      <c r="I11" s="52"/>
      <c r="K11" s="52"/>
    </row>
    <row r="12" spans="1:10" ht="18.75" customHeight="1">
      <c r="A12" s="108"/>
      <c r="B12" s="108"/>
      <c r="C12" s="109"/>
      <c r="D12" s="110" t="s">
        <v>568</v>
      </c>
      <c r="E12" s="110"/>
      <c r="F12" s="111"/>
      <c r="G12" s="112">
        <f aca="true" t="shared" si="0" ref="G12:H15">G13</f>
        <v>49245</v>
      </c>
      <c r="H12" s="112">
        <f t="shared" si="0"/>
        <v>9245</v>
      </c>
      <c r="I12" s="52"/>
      <c r="J12" s="52"/>
    </row>
    <row r="13" spans="1:9" ht="16.5" customHeight="1" thickBot="1">
      <c r="A13" s="113"/>
      <c r="B13" s="113"/>
      <c r="C13" s="113"/>
      <c r="D13" s="114" t="s">
        <v>382</v>
      </c>
      <c r="E13" s="114"/>
      <c r="F13" s="115"/>
      <c r="G13" s="115">
        <f t="shared" si="0"/>
        <v>49245</v>
      </c>
      <c r="H13" s="115">
        <f t="shared" si="0"/>
        <v>9245</v>
      </c>
      <c r="I13" s="52"/>
    </row>
    <row r="14" spans="1:11" ht="17.25" customHeight="1" thickTop="1">
      <c r="A14" s="89">
        <v>754</v>
      </c>
      <c r="B14" s="89"/>
      <c r="C14" s="89"/>
      <c r="D14" s="89" t="s">
        <v>361</v>
      </c>
      <c r="E14" s="89"/>
      <c r="F14" s="525"/>
      <c r="G14" s="75">
        <f t="shared" si="0"/>
        <v>49245</v>
      </c>
      <c r="H14" s="75">
        <f t="shared" si="0"/>
        <v>9245</v>
      </c>
      <c r="I14" s="52"/>
      <c r="J14" s="52"/>
      <c r="K14" s="52"/>
    </row>
    <row r="15" spans="1:11" s="148" customFormat="1" ht="18.75" customHeight="1">
      <c r="A15" s="81"/>
      <c r="B15" s="78">
        <v>75495</v>
      </c>
      <c r="C15" s="78"/>
      <c r="D15" s="78" t="s">
        <v>366</v>
      </c>
      <c r="E15" s="78"/>
      <c r="F15" s="523"/>
      <c r="G15" s="137">
        <f t="shared" si="0"/>
        <v>49245</v>
      </c>
      <c r="H15" s="137">
        <f t="shared" si="0"/>
        <v>9245</v>
      </c>
      <c r="I15" s="147"/>
      <c r="J15" s="147"/>
      <c r="K15" s="147"/>
    </row>
    <row r="16" spans="1:11" s="148" customFormat="1" ht="18.75" customHeight="1">
      <c r="A16" s="206"/>
      <c r="B16" s="207"/>
      <c r="C16" s="66"/>
      <c r="D16" s="210" t="s">
        <v>791</v>
      </c>
      <c r="E16" s="524"/>
      <c r="F16" s="524"/>
      <c r="G16" s="524">
        <f>G17+G18+G20</f>
        <v>49245</v>
      </c>
      <c r="H16" s="524">
        <f>H17+H18+H20</f>
        <v>9245</v>
      </c>
      <c r="I16" s="147"/>
      <c r="J16" s="1266"/>
      <c r="K16" s="147"/>
    </row>
    <row r="17" spans="1:11" s="148" customFormat="1" ht="18.75" customHeight="1">
      <c r="A17" s="205"/>
      <c r="B17" s="169"/>
      <c r="C17" s="169">
        <v>4210</v>
      </c>
      <c r="D17" s="169" t="s">
        <v>383</v>
      </c>
      <c r="E17" s="160"/>
      <c r="F17" s="160"/>
      <c r="G17" s="160"/>
      <c r="H17" s="160">
        <v>3245</v>
      </c>
      <c r="I17" s="147"/>
      <c r="K17" s="147"/>
    </row>
    <row r="18" spans="1:11" s="148" customFormat="1" ht="18.75" customHeight="1">
      <c r="A18" s="205"/>
      <c r="B18" s="169"/>
      <c r="C18" s="529">
        <v>4300</v>
      </c>
      <c r="D18" s="529" t="s">
        <v>384</v>
      </c>
      <c r="E18" s="160"/>
      <c r="F18" s="160"/>
      <c r="G18" s="160">
        <f>9245+40000</f>
        <v>49245</v>
      </c>
      <c r="H18" s="160"/>
      <c r="I18" s="147"/>
      <c r="K18" s="147"/>
    </row>
    <row r="19" spans="1:11" s="148" customFormat="1" ht="18.75" customHeight="1">
      <c r="A19" s="205"/>
      <c r="B19" s="85"/>
      <c r="C19" s="529"/>
      <c r="D19" s="864" t="s">
        <v>306</v>
      </c>
      <c r="E19" s="712"/>
      <c r="F19" s="712"/>
      <c r="G19" s="712"/>
      <c r="H19" s="712">
        <v>6000</v>
      </c>
      <c r="I19" s="147"/>
      <c r="K19" s="147"/>
    </row>
    <row r="20" spans="1:11" s="148" customFormat="1" ht="18.75" customHeight="1">
      <c r="A20" s="205"/>
      <c r="B20" s="85"/>
      <c r="C20" s="82">
        <v>6060</v>
      </c>
      <c r="D20" s="82" t="s">
        <v>420</v>
      </c>
      <c r="E20" s="710"/>
      <c r="F20" s="710"/>
      <c r="G20" s="710"/>
      <c r="H20" s="710">
        <f>H19</f>
        <v>6000</v>
      </c>
      <c r="I20" s="147"/>
      <c r="K20" s="147"/>
    </row>
    <row r="21" spans="1:10" ht="18.75" customHeight="1">
      <c r="A21" s="108"/>
      <c r="B21" s="108"/>
      <c r="C21" s="109"/>
      <c r="D21" s="110" t="s">
        <v>517</v>
      </c>
      <c r="E21" s="110"/>
      <c r="F21" s="111"/>
      <c r="G21" s="112">
        <f aca="true" t="shared" si="1" ref="G21:H24">G22</f>
        <v>440</v>
      </c>
      <c r="H21" s="112">
        <f t="shared" si="1"/>
        <v>440</v>
      </c>
      <c r="I21" s="52"/>
      <c r="J21" s="52"/>
    </row>
    <row r="22" spans="1:9" ht="18.75" customHeight="1" thickBot="1">
      <c r="A22" s="113"/>
      <c r="B22" s="113"/>
      <c r="C22" s="113"/>
      <c r="D22" s="114" t="s">
        <v>382</v>
      </c>
      <c r="E22" s="114"/>
      <c r="F22" s="115"/>
      <c r="G22" s="115">
        <f t="shared" si="1"/>
        <v>440</v>
      </c>
      <c r="H22" s="115">
        <f t="shared" si="1"/>
        <v>440</v>
      </c>
      <c r="I22" s="52"/>
    </row>
    <row r="23" spans="1:11" ht="17.25" customHeight="1" thickTop="1">
      <c r="A23" s="89">
        <v>630</v>
      </c>
      <c r="B23" s="89"/>
      <c r="C23" s="89"/>
      <c r="D23" s="89" t="s">
        <v>811</v>
      </c>
      <c r="E23" s="89"/>
      <c r="F23" s="525"/>
      <c r="G23" s="75">
        <f t="shared" si="1"/>
        <v>440</v>
      </c>
      <c r="H23" s="75">
        <f t="shared" si="1"/>
        <v>440</v>
      </c>
      <c r="I23" s="52"/>
      <c r="J23" s="52"/>
      <c r="K23" s="52"/>
    </row>
    <row r="24" spans="1:11" s="148" customFormat="1" ht="18" customHeight="1">
      <c r="A24" s="81"/>
      <c r="B24" s="78">
        <v>63003</v>
      </c>
      <c r="C24" s="78"/>
      <c r="D24" s="78" t="s">
        <v>812</v>
      </c>
      <c r="E24" s="78"/>
      <c r="F24" s="523"/>
      <c r="G24" s="137">
        <f t="shared" si="1"/>
        <v>440</v>
      </c>
      <c r="H24" s="137">
        <f t="shared" si="1"/>
        <v>440</v>
      </c>
      <c r="I24" s="147"/>
      <c r="J24" s="147"/>
      <c r="K24" s="147"/>
    </row>
    <row r="25" spans="1:11" s="148" customFormat="1" ht="18.75" customHeight="1">
      <c r="A25" s="206"/>
      <c r="B25" s="207"/>
      <c r="C25" s="66"/>
      <c r="D25" s="210" t="s">
        <v>518</v>
      </c>
      <c r="E25" s="524"/>
      <c r="F25" s="524"/>
      <c r="G25" s="524">
        <f>SUM(G26:G29)</f>
        <v>440</v>
      </c>
      <c r="H25" s="524">
        <f>SUM(H26:H29)</f>
        <v>440</v>
      </c>
      <c r="I25" s="147"/>
      <c r="J25" s="1266"/>
      <c r="K25" s="147"/>
    </row>
    <row r="26" spans="1:11" s="148" customFormat="1" ht="18.75" customHeight="1">
      <c r="A26" s="205"/>
      <c r="B26" s="169"/>
      <c r="C26" s="320">
        <v>4218</v>
      </c>
      <c r="D26" s="320" t="s">
        <v>383</v>
      </c>
      <c r="E26" s="160"/>
      <c r="F26" s="160"/>
      <c r="G26" s="160"/>
      <c r="H26" s="160">
        <v>330</v>
      </c>
      <c r="I26" s="147"/>
      <c r="K26" s="147"/>
    </row>
    <row r="27" spans="1:11" s="148" customFormat="1" ht="18.75" customHeight="1">
      <c r="A27" s="205"/>
      <c r="B27" s="169"/>
      <c r="C27" s="320">
        <v>4219</v>
      </c>
      <c r="D27" s="320" t="s">
        <v>383</v>
      </c>
      <c r="E27" s="160"/>
      <c r="F27" s="160"/>
      <c r="G27" s="160"/>
      <c r="H27" s="160">
        <v>110</v>
      </c>
      <c r="I27" s="147"/>
      <c r="K27" s="147"/>
    </row>
    <row r="28" spans="1:11" s="148" customFormat="1" ht="18.75" customHeight="1">
      <c r="A28" s="205"/>
      <c r="B28" s="169"/>
      <c r="C28" s="169">
        <v>6068</v>
      </c>
      <c r="D28" s="169" t="s">
        <v>420</v>
      </c>
      <c r="E28" s="160"/>
      <c r="F28" s="160"/>
      <c r="G28" s="160">
        <v>330</v>
      </c>
      <c r="H28" s="160"/>
      <c r="I28" s="147"/>
      <c r="K28" s="147"/>
    </row>
    <row r="29" spans="1:11" s="148" customFormat="1" ht="18.75" customHeight="1">
      <c r="A29" s="227"/>
      <c r="B29" s="320"/>
      <c r="C29" s="480">
        <v>6069</v>
      </c>
      <c r="D29" s="480" t="s">
        <v>420</v>
      </c>
      <c r="E29" s="905"/>
      <c r="F29" s="905"/>
      <c r="G29" s="905">
        <v>110</v>
      </c>
      <c r="H29" s="905"/>
      <c r="I29" s="147"/>
      <c r="K29" s="147"/>
    </row>
    <row r="30" spans="1:11" s="148" customFormat="1" ht="26.25" customHeight="1">
      <c r="A30" s="1528"/>
      <c r="B30" s="1529"/>
      <c r="C30" s="1530"/>
      <c r="D30" s="1530"/>
      <c r="E30" s="1531"/>
      <c r="F30" s="1531"/>
      <c r="G30" s="1531"/>
      <c r="H30" s="1531"/>
      <c r="I30" s="147"/>
      <c r="K30" s="147"/>
    </row>
    <row r="31" spans="1:10" ht="20.25" customHeight="1">
      <c r="A31" s="67"/>
      <c r="B31" s="67"/>
      <c r="C31" s="68"/>
      <c r="D31" s="64" t="s">
        <v>519</v>
      </c>
      <c r="E31" s="65" t="e">
        <f>E32+E56</f>
        <v>#REF!</v>
      </c>
      <c r="F31" s="65">
        <f>F32+F56</f>
        <v>4292895</v>
      </c>
      <c r="G31" s="65">
        <f>G78</f>
        <v>537856</v>
      </c>
      <c r="H31" s="65"/>
      <c r="I31" s="147"/>
      <c r="J31" s="52"/>
    </row>
    <row r="32" spans="1:9" ht="16.5" customHeight="1" thickBot="1">
      <c r="A32" s="67"/>
      <c r="B32" s="67"/>
      <c r="C32" s="68"/>
      <c r="D32" s="270" t="s">
        <v>726</v>
      </c>
      <c r="E32" s="271" t="e">
        <f>E33+E51+E46</f>
        <v>#REF!</v>
      </c>
      <c r="F32" s="271">
        <f>F33+F51+F46</f>
        <v>2311395</v>
      </c>
      <c r="G32" s="272"/>
      <c r="H32" s="272"/>
      <c r="I32" s="52"/>
    </row>
    <row r="33" spans="1:9" ht="18.75" customHeight="1" thickBot="1">
      <c r="A33" s="67"/>
      <c r="B33" s="67"/>
      <c r="C33" s="68"/>
      <c r="D33" s="230" t="s">
        <v>720</v>
      </c>
      <c r="E33" s="230"/>
      <c r="F33" s="236">
        <f>F34+F38+F42</f>
        <v>1373837</v>
      </c>
      <c r="G33" s="236"/>
      <c r="H33" s="236"/>
      <c r="I33" s="52"/>
    </row>
    <row r="34" spans="1:9" ht="18" customHeight="1" thickTop="1">
      <c r="A34" s="184">
        <v>801</v>
      </c>
      <c r="B34" s="72"/>
      <c r="C34" s="255"/>
      <c r="D34" s="232" t="s">
        <v>367</v>
      </c>
      <c r="E34" s="256"/>
      <c r="F34" s="256">
        <f>F35</f>
        <v>185674</v>
      </c>
      <c r="G34" s="256"/>
      <c r="H34" s="777"/>
      <c r="I34" s="52"/>
    </row>
    <row r="35" spans="1:9" ht="17.25" customHeight="1">
      <c r="A35" s="257"/>
      <c r="B35" s="226">
        <v>80101</v>
      </c>
      <c r="C35" s="258"/>
      <c r="D35" s="477" t="s">
        <v>706</v>
      </c>
      <c r="E35" s="259"/>
      <c r="F35" s="259">
        <f>F36</f>
        <v>185674</v>
      </c>
      <c r="G35" s="259"/>
      <c r="H35" s="225"/>
      <c r="I35" s="52"/>
    </row>
    <row r="36" spans="1:10" ht="25.5">
      <c r="A36" s="185"/>
      <c r="B36" s="76"/>
      <c r="C36" s="215"/>
      <c r="D36" s="1212" t="s">
        <v>790</v>
      </c>
      <c r="E36" s="260"/>
      <c r="F36" s="260">
        <f>F37</f>
        <v>185674</v>
      </c>
      <c r="G36" s="260"/>
      <c r="H36" s="261"/>
      <c r="I36" s="52"/>
      <c r="J36" s="52"/>
    </row>
    <row r="37" spans="1:9" ht="26.25" customHeight="1">
      <c r="A37" s="85"/>
      <c r="B37" s="85"/>
      <c r="C37" s="262">
        <v>2030</v>
      </c>
      <c r="D37" s="479" t="s">
        <v>848</v>
      </c>
      <c r="E37" s="263"/>
      <c r="F37" s="263">
        <v>185674</v>
      </c>
      <c r="G37" s="263"/>
      <c r="H37" s="782"/>
      <c r="I37" s="52"/>
    </row>
    <row r="38" spans="1:9" ht="17.25" customHeight="1">
      <c r="A38" s="184">
        <v>852</v>
      </c>
      <c r="B38" s="72"/>
      <c r="C38" s="255"/>
      <c r="D38" s="232" t="s">
        <v>368</v>
      </c>
      <c r="E38" s="256"/>
      <c r="F38" s="256">
        <f>F39</f>
        <v>215000</v>
      </c>
      <c r="G38" s="256"/>
      <c r="H38" s="87"/>
      <c r="I38" s="52"/>
    </row>
    <row r="39" spans="1:9" ht="15.75" customHeight="1">
      <c r="A39" s="257"/>
      <c r="B39" s="226">
        <v>85295</v>
      </c>
      <c r="C39" s="258"/>
      <c r="D39" s="477" t="s">
        <v>366</v>
      </c>
      <c r="E39" s="259"/>
      <c r="F39" s="259">
        <f>F40</f>
        <v>215000</v>
      </c>
      <c r="G39" s="259"/>
      <c r="H39" s="225"/>
      <c r="I39" s="52"/>
    </row>
    <row r="40" spans="1:10" ht="25.5">
      <c r="A40" s="185"/>
      <c r="B40" s="76"/>
      <c r="C40" s="215"/>
      <c r="D40" s="1212" t="s">
        <v>788</v>
      </c>
      <c r="E40" s="260"/>
      <c r="F40" s="260">
        <f>F41</f>
        <v>215000</v>
      </c>
      <c r="G40" s="260"/>
      <c r="H40" s="261"/>
      <c r="I40" s="52"/>
      <c r="J40" s="52"/>
    </row>
    <row r="41" spans="1:9" ht="24.75" customHeight="1">
      <c r="A41" s="85"/>
      <c r="B41" s="85"/>
      <c r="C41" s="262">
        <v>2030</v>
      </c>
      <c r="D41" s="479" t="s">
        <v>848</v>
      </c>
      <c r="E41" s="263"/>
      <c r="F41" s="263">
        <v>215000</v>
      </c>
      <c r="G41" s="263"/>
      <c r="H41" s="782"/>
      <c r="I41" s="52"/>
    </row>
    <row r="42" spans="1:9" ht="16.5" customHeight="1">
      <c r="A42" s="184">
        <v>854</v>
      </c>
      <c r="B42" s="72"/>
      <c r="C42" s="255"/>
      <c r="D42" s="232" t="s">
        <v>369</v>
      </c>
      <c r="E42" s="256"/>
      <c r="F42" s="256">
        <f>F43</f>
        <v>973163</v>
      </c>
      <c r="G42" s="256"/>
      <c r="H42" s="87"/>
      <c r="I42" s="52"/>
    </row>
    <row r="43" spans="1:9" ht="15.75" customHeight="1">
      <c r="A43" s="257"/>
      <c r="B43" s="226">
        <v>85415</v>
      </c>
      <c r="C43" s="258"/>
      <c r="D43" s="477" t="s">
        <v>705</v>
      </c>
      <c r="E43" s="259"/>
      <c r="F43" s="259">
        <f>F44</f>
        <v>973163</v>
      </c>
      <c r="G43" s="259"/>
      <c r="H43" s="225"/>
      <c r="I43" s="52"/>
    </row>
    <row r="44" spans="1:10" s="22" customFormat="1" ht="26.25" customHeight="1">
      <c r="A44" s="185"/>
      <c r="B44" s="76"/>
      <c r="C44" s="215"/>
      <c r="D44" s="1212" t="s">
        <v>697</v>
      </c>
      <c r="E44" s="260"/>
      <c r="F44" s="260">
        <f>F45</f>
        <v>973163</v>
      </c>
      <c r="G44" s="260"/>
      <c r="H44" s="261"/>
      <c r="I44" s="47"/>
      <c r="J44" s="47"/>
    </row>
    <row r="45" spans="1:9" s="22" customFormat="1" ht="26.25" customHeight="1">
      <c r="A45" s="85"/>
      <c r="B45" s="85"/>
      <c r="C45" s="262">
        <v>2030</v>
      </c>
      <c r="D45" s="479" t="s">
        <v>848</v>
      </c>
      <c r="E45" s="263"/>
      <c r="F45" s="263">
        <v>973163</v>
      </c>
      <c r="G45" s="263"/>
      <c r="H45" s="782"/>
      <c r="I45" s="47"/>
    </row>
    <row r="46" spans="1:9" s="22" customFormat="1" ht="25.5" customHeight="1" thickBot="1">
      <c r="A46" s="1179"/>
      <c r="B46" s="1180"/>
      <c r="C46" s="204"/>
      <c r="D46" s="1521" t="s">
        <v>721</v>
      </c>
      <c r="E46" s="106"/>
      <c r="F46" s="106">
        <f>F47</f>
        <v>30000</v>
      </c>
      <c r="G46" s="106"/>
      <c r="H46" s="106"/>
      <c r="I46" s="47"/>
    </row>
    <row r="47" spans="1:9" s="22" customFormat="1" ht="16.5" customHeight="1" thickTop="1">
      <c r="A47" s="1181">
        <v>710</v>
      </c>
      <c r="B47" s="1181"/>
      <c r="C47" s="1182"/>
      <c r="D47" s="1183" t="s">
        <v>756</v>
      </c>
      <c r="E47" s="1522"/>
      <c r="F47" s="1523">
        <f>F48</f>
        <v>30000</v>
      </c>
      <c r="G47" s="1524"/>
      <c r="H47" s="1525"/>
      <c r="I47" s="47"/>
    </row>
    <row r="48" spans="1:9" s="240" customFormat="1" ht="17.25" customHeight="1">
      <c r="A48" s="1184"/>
      <c r="B48" s="1185">
        <v>71035</v>
      </c>
      <c r="C48" s="1186"/>
      <c r="D48" s="1187" t="s">
        <v>332</v>
      </c>
      <c r="E48" s="1526"/>
      <c r="F48" s="1527">
        <f>F49</f>
        <v>30000</v>
      </c>
      <c r="G48" s="1527"/>
      <c r="H48" s="1527"/>
      <c r="I48" s="124"/>
    </row>
    <row r="49" spans="1:9" s="451" customFormat="1" ht="24.75" customHeight="1">
      <c r="A49" s="85"/>
      <c r="B49" s="85"/>
      <c r="C49" s="1188"/>
      <c r="D49" s="1191" t="s">
        <v>638</v>
      </c>
      <c r="E49" s="233"/>
      <c r="F49" s="452">
        <f>F50</f>
        <v>30000</v>
      </c>
      <c r="G49" s="452"/>
      <c r="H49" s="452"/>
      <c r="I49" s="450"/>
    </row>
    <row r="50" spans="1:9" ht="28.5" customHeight="1">
      <c r="A50" s="85"/>
      <c r="B50" s="85"/>
      <c r="C50" s="1189">
        <v>2020</v>
      </c>
      <c r="D50" s="1127" t="s">
        <v>639</v>
      </c>
      <c r="E50" s="234"/>
      <c r="F50" s="235">
        <v>30000</v>
      </c>
      <c r="G50" s="235"/>
      <c r="H50" s="235"/>
      <c r="I50" s="52"/>
    </row>
    <row r="51" spans="1:9" ht="30.75" customHeight="1" thickBot="1">
      <c r="A51" s="1178"/>
      <c r="B51" s="1178"/>
      <c r="C51" s="68"/>
      <c r="D51" s="690" t="s">
        <v>713</v>
      </c>
      <c r="E51" s="236" t="e">
        <f>E52+#REF!</f>
        <v>#REF!</v>
      </c>
      <c r="F51" s="236">
        <f>F52</f>
        <v>907558</v>
      </c>
      <c r="G51" s="236"/>
      <c r="H51" s="236"/>
      <c r="I51" s="52"/>
    </row>
    <row r="52" spans="1:9" ht="26.25" thickTop="1">
      <c r="A52" s="72">
        <v>751</v>
      </c>
      <c r="B52" s="72"/>
      <c r="C52" s="255"/>
      <c r="D52" s="795" t="s">
        <v>624</v>
      </c>
      <c r="E52" s="232"/>
      <c r="F52" s="238">
        <f>F53</f>
        <v>907558</v>
      </c>
      <c r="G52" s="237"/>
      <c r="H52" s="269"/>
      <c r="I52" s="52"/>
    </row>
    <row r="53" spans="1:9" s="316" customFormat="1" ht="39" customHeight="1">
      <c r="A53" s="215"/>
      <c r="B53" s="186">
        <v>75109</v>
      </c>
      <c r="C53" s="1126"/>
      <c r="D53" s="323" t="s">
        <v>825</v>
      </c>
      <c r="E53" s="231"/>
      <c r="F53" s="239">
        <f>F54</f>
        <v>907558</v>
      </c>
      <c r="G53" s="239"/>
      <c r="H53" s="239"/>
      <c r="I53" s="453"/>
    </row>
    <row r="54" spans="1:9" s="451" customFormat="1" ht="25.5" customHeight="1">
      <c r="A54" s="66"/>
      <c r="B54" s="66"/>
      <c r="C54" s="66"/>
      <c r="D54" s="101" t="s">
        <v>627</v>
      </c>
      <c r="E54" s="233"/>
      <c r="F54" s="452">
        <f>F55</f>
        <v>907558</v>
      </c>
      <c r="G54" s="452"/>
      <c r="H54" s="452"/>
      <c r="I54" s="450"/>
    </row>
    <row r="55" spans="1:9" ht="25.5" customHeight="1">
      <c r="A55" s="82"/>
      <c r="B55" s="82"/>
      <c r="C55" s="82">
        <v>2010</v>
      </c>
      <c r="D55" s="1127" t="s">
        <v>826</v>
      </c>
      <c r="E55" s="234"/>
      <c r="F55" s="235">
        <v>907558</v>
      </c>
      <c r="G55" s="235"/>
      <c r="H55" s="235"/>
      <c r="I55" s="52"/>
    </row>
    <row r="56" spans="1:9" ht="19.5" customHeight="1" thickBot="1">
      <c r="A56" s="67"/>
      <c r="B56" s="67"/>
      <c r="C56" s="68"/>
      <c r="D56" s="270" t="s">
        <v>8</v>
      </c>
      <c r="E56" s="271"/>
      <c r="F56" s="271">
        <f>F57+F66</f>
        <v>1981500</v>
      </c>
      <c r="G56" s="272"/>
      <c r="H56" s="272"/>
      <c r="I56" s="52"/>
    </row>
    <row r="57" spans="1:9" ht="28.5" customHeight="1" thickBot="1">
      <c r="A57" s="86"/>
      <c r="B57" s="86"/>
      <c r="C57" s="86"/>
      <c r="D57" s="630" t="s">
        <v>721</v>
      </c>
      <c r="E57" s="692"/>
      <c r="F57" s="692">
        <f>F62+F58</f>
        <v>1744500</v>
      </c>
      <c r="G57" s="236"/>
      <c r="H57" s="236"/>
      <c r="I57" s="52"/>
    </row>
    <row r="58" spans="1:9" ht="18.75" customHeight="1" thickTop="1">
      <c r="A58" s="184">
        <v>600</v>
      </c>
      <c r="B58" s="72"/>
      <c r="C58" s="255"/>
      <c r="D58" s="961" t="s">
        <v>757</v>
      </c>
      <c r="E58" s="238"/>
      <c r="F58" s="238">
        <f>F59</f>
        <v>1544500</v>
      </c>
      <c r="G58" s="237"/>
      <c r="H58" s="269"/>
      <c r="I58" s="52"/>
    </row>
    <row r="59" spans="1:9" s="316" customFormat="1" ht="19.5" customHeight="1">
      <c r="A59" s="257"/>
      <c r="B59" s="226">
        <v>60015</v>
      </c>
      <c r="C59" s="258"/>
      <c r="D59" s="77" t="s">
        <v>712</v>
      </c>
      <c r="E59" s="689"/>
      <c r="F59" s="239">
        <f>F60</f>
        <v>1544500</v>
      </c>
      <c r="G59" s="239"/>
      <c r="H59" s="239"/>
      <c r="I59" s="453"/>
    </row>
    <row r="60" spans="1:9" s="451" customFormat="1" ht="25.5" customHeight="1">
      <c r="A60" s="185"/>
      <c r="B60" s="76"/>
      <c r="C60" s="215"/>
      <c r="D60" s="1095" t="s">
        <v>758</v>
      </c>
      <c r="E60" s="687"/>
      <c r="F60" s="452">
        <f>F61</f>
        <v>1544500</v>
      </c>
      <c r="G60" s="452"/>
      <c r="H60" s="452"/>
      <c r="I60" s="450"/>
    </row>
    <row r="61" spans="1:11" s="148" customFormat="1" ht="39" customHeight="1">
      <c r="A61" s="85"/>
      <c r="B61" s="85"/>
      <c r="C61" s="262">
        <v>6423</v>
      </c>
      <c r="D61" s="964" t="s">
        <v>786</v>
      </c>
      <c r="E61" s="1411"/>
      <c r="F61" s="637">
        <v>1544500</v>
      </c>
      <c r="G61" s="637"/>
      <c r="H61" s="637"/>
      <c r="I61" s="147"/>
      <c r="K61" s="147"/>
    </row>
    <row r="62" spans="1:9" ht="19.5" customHeight="1">
      <c r="A62" s="184">
        <v>852</v>
      </c>
      <c r="B62" s="72"/>
      <c r="C62" s="255"/>
      <c r="D62" s="92" t="s">
        <v>368</v>
      </c>
      <c r="E62" s="1381"/>
      <c r="F62" s="1381">
        <f>F63</f>
        <v>200000</v>
      </c>
      <c r="G62" s="1520"/>
      <c r="H62" s="691"/>
      <c r="I62" s="52"/>
    </row>
    <row r="63" spans="1:9" s="316" customFormat="1" ht="19.5" customHeight="1">
      <c r="A63" s="257"/>
      <c r="B63" s="226">
        <v>85295</v>
      </c>
      <c r="C63" s="258"/>
      <c r="D63" s="77" t="s">
        <v>366</v>
      </c>
      <c r="E63" s="689"/>
      <c r="F63" s="239">
        <f>F64</f>
        <v>200000</v>
      </c>
      <c r="G63" s="239"/>
      <c r="H63" s="239"/>
      <c r="I63" s="453"/>
    </row>
    <row r="64" spans="1:9" s="451" customFormat="1" ht="25.5" customHeight="1">
      <c r="A64" s="185"/>
      <c r="B64" s="76"/>
      <c r="C64" s="1303"/>
      <c r="D64" s="1320" t="s">
        <v>782</v>
      </c>
      <c r="E64" s="687"/>
      <c r="F64" s="452">
        <f>F65</f>
        <v>200000</v>
      </c>
      <c r="G64" s="452"/>
      <c r="H64" s="452"/>
      <c r="I64" s="450"/>
    </row>
    <row r="65" spans="1:11" s="148" customFormat="1" ht="27.75" customHeight="1">
      <c r="A65" s="85"/>
      <c r="B65" s="85"/>
      <c r="C65" s="262">
        <v>2120</v>
      </c>
      <c r="D65" s="1127" t="s">
        <v>783</v>
      </c>
      <c r="E65" s="688"/>
      <c r="F65" s="637">
        <v>200000</v>
      </c>
      <c r="G65" s="637"/>
      <c r="H65" s="637"/>
      <c r="I65" s="147"/>
      <c r="K65" s="147"/>
    </row>
    <row r="66" spans="1:9" ht="31.5" customHeight="1" thickBot="1">
      <c r="A66" s="86"/>
      <c r="B66" s="86"/>
      <c r="C66" s="86"/>
      <c r="D66" s="641" t="s">
        <v>74</v>
      </c>
      <c r="E66" s="692"/>
      <c r="F66" s="692">
        <f>F67+F74</f>
        <v>237000</v>
      </c>
      <c r="G66" s="236"/>
      <c r="H66" s="236"/>
      <c r="I66" s="52"/>
    </row>
    <row r="67" spans="1:9" ht="19.5" customHeight="1" thickTop="1">
      <c r="A67" s="856">
        <v>852</v>
      </c>
      <c r="B67" s="431"/>
      <c r="C67" s="857"/>
      <c r="D67" s="626" t="s">
        <v>368</v>
      </c>
      <c r="E67" s="238"/>
      <c r="F67" s="238">
        <f>F68+F71</f>
        <v>220000</v>
      </c>
      <c r="G67" s="237"/>
      <c r="H67" s="691"/>
      <c r="I67" s="52"/>
    </row>
    <row r="68" spans="1:9" s="316" customFormat="1" ht="19.5" customHeight="1">
      <c r="A68" s="257"/>
      <c r="B68" s="226">
        <v>85203</v>
      </c>
      <c r="C68" s="258"/>
      <c r="D68" s="231" t="s">
        <v>789</v>
      </c>
      <c r="E68" s="689"/>
      <c r="F68" s="239">
        <f>F69</f>
        <v>190000</v>
      </c>
      <c r="G68" s="239"/>
      <c r="H68" s="239"/>
      <c r="I68" s="453"/>
    </row>
    <row r="69" spans="1:9" s="451" customFormat="1" ht="25.5" customHeight="1">
      <c r="A69" s="185"/>
      <c r="B69" s="76"/>
      <c r="C69" s="215"/>
      <c r="D69" s="1191" t="s">
        <v>824</v>
      </c>
      <c r="E69" s="687"/>
      <c r="F69" s="452">
        <f>F70</f>
        <v>190000</v>
      </c>
      <c r="G69" s="452"/>
      <c r="H69" s="452"/>
      <c r="I69" s="450"/>
    </row>
    <row r="70" spans="1:11" s="148" customFormat="1" ht="38.25" customHeight="1">
      <c r="A70" s="85"/>
      <c r="B70" s="86"/>
      <c r="C70" s="262">
        <v>2110</v>
      </c>
      <c r="D70" s="1319" t="s">
        <v>7</v>
      </c>
      <c r="E70" s="688"/>
      <c r="F70" s="637">
        <v>190000</v>
      </c>
      <c r="G70" s="637"/>
      <c r="H70" s="637"/>
      <c r="I70" s="147"/>
      <c r="K70" s="147"/>
    </row>
    <row r="71" spans="1:9" s="316" customFormat="1" ht="18.75" customHeight="1">
      <c r="A71" s="185"/>
      <c r="B71" s="226">
        <v>85295</v>
      </c>
      <c r="C71" s="258"/>
      <c r="D71" s="231" t="s">
        <v>366</v>
      </c>
      <c r="E71" s="689"/>
      <c r="F71" s="239">
        <f>F72</f>
        <v>30000</v>
      </c>
      <c r="G71" s="239"/>
      <c r="H71" s="239"/>
      <c r="I71" s="453"/>
    </row>
    <row r="72" spans="1:9" s="451" customFormat="1" ht="25.5" customHeight="1">
      <c r="A72" s="185"/>
      <c r="B72" s="76"/>
      <c r="C72" s="215"/>
      <c r="D72" s="1191" t="s">
        <v>474</v>
      </c>
      <c r="E72" s="687"/>
      <c r="F72" s="452">
        <f>F73</f>
        <v>30000</v>
      </c>
      <c r="G72" s="452"/>
      <c r="H72" s="452"/>
      <c r="I72" s="450"/>
    </row>
    <row r="73" spans="1:11" s="148" customFormat="1" ht="38.25" customHeight="1">
      <c r="A73" s="86"/>
      <c r="B73" s="86"/>
      <c r="C73" s="262">
        <v>2110</v>
      </c>
      <c r="D73" s="1321" t="s">
        <v>7</v>
      </c>
      <c r="E73" s="688"/>
      <c r="F73" s="637">
        <v>30000</v>
      </c>
      <c r="G73" s="637"/>
      <c r="H73" s="637"/>
      <c r="I73" s="147"/>
      <c r="K73" s="147"/>
    </row>
    <row r="74" spans="1:9" ht="19.5" customHeight="1">
      <c r="A74" s="856">
        <v>853</v>
      </c>
      <c r="B74" s="431"/>
      <c r="C74" s="857"/>
      <c r="D74" s="92" t="s">
        <v>412</v>
      </c>
      <c r="E74" s="238"/>
      <c r="F74" s="238">
        <f>F75</f>
        <v>17000</v>
      </c>
      <c r="G74" s="237"/>
      <c r="H74" s="691"/>
      <c r="I74" s="52"/>
    </row>
    <row r="75" spans="1:9" s="316" customFormat="1" ht="19.5" customHeight="1">
      <c r="A75" s="257"/>
      <c r="B75" s="226">
        <v>85321</v>
      </c>
      <c r="C75" s="258"/>
      <c r="D75" s="77" t="s">
        <v>205</v>
      </c>
      <c r="E75" s="689"/>
      <c r="F75" s="239">
        <f>F76</f>
        <v>17000</v>
      </c>
      <c r="G75" s="239"/>
      <c r="H75" s="239"/>
      <c r="I75" s="453"/>
    </row>
    <row r="76" spans="1:9" s="451" customFormat="1" ht="25.5" customHeight="1">
      <c r="A76" s="185"/>
      <c r="B76" s="76"/>
      <c r="C76" s="215"/>
      <c r="D76" s="536" t="s">
        <v>823</v>
      </c>
      <c r="E76" s="687"/>
      <c r="F76" s="452">
        <f>F77</f>
        <v>17000</v>
      </c>
      <c r="G76" s="452"/>
      <c r="H76" s="452"/>
      <c r="I76" s="450"/>
    </row>
    <row r="77" spans="1:11" s="148" customFormat="1" ht="38.25" customHeight="1">
      <c r="A77" s="86"/>
      <c r="B77" s="86"/>
      <c r="C77" s="262">
        <v>2110</v>
      </c>
      <c r="D77" s="907" t="s">
        <v>7</v>
      </c>
      <c r="E77" s="1411"/>
      <c r="F77" s="637">
        <v>17000</v>
      </c>
      <c r="G77" s="637"/>
      <c r="H77" s="637"/>
      <c r="I77" s="147"/>
      <c r="K77" s="147"/>
    </row>
    <row r="78" spans="1:9" s="130" customFormat="1" ht="18" customHeight="1" thickBot="1">
      <c r="A78" s="149"/>
      <c r="B78" s="149"/>
      <c r="C78" s="149"/>
      <c r="D78" s="150" t="s">
        <v>360</v>
      </c>
      <c r="E78" s="150"/>
      <c r="F78" s="151"/>
      <c r="G78" s="151">
        <f>G79</f>
        <v>537856</v>
      </c>
      <c r="H78" s="151"/>
      <c r="I78" s="138"/>
    </row>
    <row r="79" spans="1:9" ht="17.25" customHeight="1" thickTop="1">
      <c r="A79" s="72">
        <v>758</v>
      </c>
      <c r="B79" s="89"/>
      <c r="C79" s="73"/>
      <c r="D79" s="73" t="s">
        <v>362</v>
      </c>
      <c r="E79" s="73"/>
      <c r="F79" s="87"/>
      <c r="G79" s="87">
        <f>G80</f>
        <v>537856</v>
      </c>
      <c r="H79" s="87"/>
      <c r="I79" s="52"/>
    </row>
    <row r="80" spans="1:9" s="148" customFormat="1" ht="16.5" customHeight="1">
      <c r="A80" s="141"/>
      <c r="B80" s="142">
        <v>75818</v>
      </c>
      <c r="C80" s="142"/>
      <c r="D80" s="142" t="s">
        <v>363</v>
      </c>
      <c r="E80" s="142"/>
      <c r="F80" s="146"/>
      <c r="G80" s="146">
        <f>G81+G83</f>
        <v>537856</v>
      </c>
      <c r="H80" s="146"/>
      <c r="I80" s="147"/>
    </row>
    <row r="81" spans="1:9" s="229" customFormat="1" ht="19.5" customHeight="1">
      <c r="A81" s="407"/>
      <c r="B81" s="408"/>
      <c r="C81" s="408"/>
      <c r="D81" s="632" t="s">
        <v>77</v>
      </c>
      <c r="E81" s="410"/>
      <c r="F81" s="411"/>
      <c r="G81" s="411">
        <f>G82</f>
        <v>269066</v>
      </c>
      <c r="H81" s="411"/>
      <c r="I81" s="209"/>
    </row>
    <row r="82" spans="1:10" s="156" customFormat="1" ht="16.5" customHeight="1">
      <c r="A82" s="409"/>
      <c r="B82" s="153"/>
      <c r="C82" s="317">
        <v>4810</v>
      </c>
      <c r="D82" s="317" t="s">
        <v>385</v>
      </c>
      <c r="E82" s="317"/>
      <c r="F82" s="412"/>
      <c r="G82" s="412">
        <f>59000+205066+5000</f>
        <v>269066</v>
      </c>
      <c r="H82" s="412"/>
      <c r="I82" s="155"/>
      <c r="J82" s="155"/>
    </row>
    <row r="83" spans="1:9" s="229" customFormat="1" ht="25.5">
      <c r="A83" s="407"/>
      <c r="B83" s="408"/>
      <c r="C83" s="408"/>
      <c r="D83" s="632" t="s">
        <v>144</v>
      </c>
      <c r="E83" s="410"/>
      <c r="F83" s="411"/>
      <c r="G83" s="411">
        <f>G84</f>
        <v>268790</v>
      </c>
      <c r="H83" s="411"/>
      <c r="I83" s="209"/>
    </row>
    <row r="84" spans="1:10" s="156" customFormat="1" ht="16.5" customHeight="1">
      <c r="A84" s="409"/>
      <c r="B84" s="153"/>
      <c r="C84" s="317">
        <v>4810</v>
      </c>
      <c r="D84" s="317" t="s">
        <v>385</v>
      </c>
      <c r="E84" s="317"/>
      <c r="F84" s="412"/>
      <c r="G84" s="412">
        <v>268790</v>
      </c>
      <c r="H84" s="412"/>
      <c r="I84" s="155"/>
      <c r="J84" s="155"/>
    </row>
    <row r="85" spans="1:9" s="168" customFormat="1" ht="18.75" customHeight="1">
      <c r="A85" s="164"/>
      <c r="B85" s="139"/>
      <c r="C85" s="165"/>
      <c r="D85" s="166" t="s">
        <v>520</v>
      </c>
      <c r="E85" s="166"/>
      <c r="F85" s="167"/>
      <c r="G85" s="167">
        <f>G86+G125</f>
        <v>2012570</v>
      </c>
      <c r="H85" s="167">
        <f>H86+H125</f>
        <v>3587070</v>
      </c>
      <c r="I85" s="318"/>
    </row>
    <row r="86" spans="1:9" s="156" customFormat="1" ht="18.75" customHeight="1" thickBot="1">
      <c r="A86" s="320"/>
      <c r="B86" s="320"/>
      <c r="C86" s="320"/>
      <c r="D86" s="163" t="s">
        <v>360</v>
      </c>
      <c r="E86" s="163"/>
      <c r="F86" s="162"/>
      <c r="G86" s="193">
        <f>G87+G109</f>
        <v>2012570</v>
      </c>
      <c r="H86" s="193">
        <f>H87+H109</f>
        <v>3557070</v>
      </c>
      <c r="I86" s="155"/>
    </row>
    <row r="87" spans="1:9" s="22" customFormat="1" ht="17.25" customHeight="1" thickTop="1">
      <c r="A87" s="89">
        <v>600</v>
      </c>
      <c r="B87" s="89"/>
      <c r="C87" s="89"/>
      <c r="D87" s="89" t="s">
        <v>364</v>
      </c>
      <c r="E87" s="73"/>
      <c r="F87" s="73"/>
      <c r="G87" s="75">
        <f>G88</f>
        <v>1802800</v>
      </c>
      <c r="H87" s="75">
        <f>H88</f>
        <v>3347300</v>
      </c>
      <c r="I87" s="47"/>
    </row>
    <row r="88" spans="1:9" s="95" customFormat="1" ht="19.5" customHeight="1">
      <c r="A88" s="529"/>
      <c r="B88" s="77">
        <v>60015</v>
      </c>
      <c r="C88" s="77"/>
      <c r="D88" s="77" t="s">
        <v>712</v>
      </c>
      <c r="E88" s="77"/>
      <c r="F88" s="79"/>
      <c r="G88" s="137">
        <f>G89+G92</f>
        <v>1802800</v>
      </c>
      <c r="H88" s="137">
        <f>H89+H92</f>
        <v>3347300</v>
      </c>
      <c r="I88" s="94"/>
    </row>
    <row r="89" spans="1:9" s="130" customFormat="1" ht="18" customHeight="1">
      <c r="A89" s="80"/>
      <c r="B89" s="66"/>
      <c r="C89" s="66"/>
      <c r="D89" s="568" t="s">
        <v>290</v>
      </c>
      <c r="E89" s="66"/>
      <c r="F89" s="683"/>
      <c r="G89" s="143">
        <f>G91</f>
        <v>196000</v>
      </c>
      <c r="H89" s="143"/>
      <c r="I89" s="138"/>
    </row>
    <row r="90" spans="1:9" s="130" customFormat="1" ht="18" customHeight="1">
      <c r="A90" s="204"/>
      <c r="B90" s="81"/>
      <c r="C90" s="169"/>
      <c r="D90" s="549" t="s">
        <v>291</v>
      </c>
      <c r="E90" s="475"/>
      <c r="F90" s="476"/>
      <c r="G90" s="578">
        <v>196000</v>
      </c>
      <c r="H90" s="578"/>
      <c r="I90" s="138"/>
    </row>
    <row r="91" spans="1:9" s="158" customFormat="1" ht="18" customHeight="1">
      <c r="A91" s="204"/>
      <c r="B91" s="81"/>
      <c r="C91" s="82">
        <v>4270</v>
      </c>
      <c r="D91" s="528" t="s">
        <v>288</v>
      </c>
      <c r="E91" s="83"/>
      <c r="F91" s="448"/>
      <c r="G91" s="152">
        <f>G90</f>
        <v>196000</v>
      </c>
      <c r="H91" s="152"/>
      <c r="I91" s="157"/>
    </row>
    <row r="92" spans="1:9" s="130" customFormat="1" ht="18" customHeight="1">
      <c r="A92" s="80"/>
      <c r="B92" s="66"/>
      <c r="C92" s="66"/>
      <c r="D92" s="568" t="s">
        <v>78</v>
      </c>
      <c r="E92" s="66"/>
      <c r="F92" s="683"/>
      <c r="G92" s="144">
        <f>G99+G104+G108+G101</f>
        <v>1606800</v>
      </c>
      <c r="H92" s="144">
        <f>H99+H104+H108+H101</f>
        <v>3347300</v>
      </c>
      <c r="I92" s="138"/>
    </row>
    <row r="93" spans="1:9" s="156" customFormat="1" ht="25.5">
      <c r="A93" s="205"/>
      <c r="B93" s="169"/>
      <c r="C93" s="169"/>
      <c r="D93" s="1228" t="s">
        <v>561</v>
      </c>
      <c r="E93" s="549"/>
      <c r="F93" s="1215"/>
      <c r="G93" s="459">
        <v>125000</v>
      </c>
      <c r="H93" s="459"/>
      <c r="I93" s="155"/>
    </row>
    <row r="94" spans="1:9" s="156" customFormat="1" ht="25.5">
      <c r="A94" s="205"/>
      <c r="B94" s="169"/>
      <c r="C94" s="169"/>
      <c r="D94" s="1228" t="s">
        <v>390</v>
      </c>
      <c r="E94" s="1021"/>
      <c r="F94" s="1229"/>
      <c r="G94" s="1019">
        <v>746000</v>
      </c>
      <c r="H94" s="1019"/>
      <c r="I94" s="155"/>
    </row>
    <row r="95" spans="1:9" s="156" customFormat="1" ht="25.5">
      <c r="A95" s="205"/>
      <c r="B95" s="169"/>
      <c r="C95" s="169"/>
      <c r="D95" s="1228" t="s">
        <v>204</v>
      </c>
      <c r="E95" s="1021"/>
      <c r="F95" s="1229"/>
      <c r="G95" s="1019">
        <v>517200</v>
      </c>
      <c r="H95" s="1019"/>
      <c r="I95" s="155"/>
    </row>
    <row r="96" spans="1:9" s="130" customFormat="1" ht="18" customHeight="1">
      <c r="A96" s="204"/>
      <c r="B96" s="81"/>
      <c r="C96" s="169"/>
      <c r="D96" s="1224" t="s">
        <v>796</v>
      </c>
      <c r="E96" s="1225"/>
      <c r="F96" s="1226"/>
      <c r="G96" s="1227"/>
      <c r="H96" s="1227">
        <v>90000</v>
      </c>
      <c r="I96" s="138"/>
    </row>
    <row r="97" spans="1:9" s="130" customFormat="1" ht="18" customHeight="1">
      <c r="A97" s="204"/>
      <c r="B97" s="81"/>
      <c r="C97" s="169"/>
      <c r="D97" s="1016" t="s">
        <v>797</v>
      </c>
      <c r="E97" s="606"/>
      <c r="F97" s="607"/>
      <c r="G97" s="698"/>
      <c r="H97" s="698">
        <v>106000</v>
      </c>
      <c r="I97" s="138"/>
    </row>
    <row r="98" spans="1:9" s="130" customFormat="1" ht="18" customHeight="1">
      <c r="A98" s="204"/>
      <c r="B98" s="81"/>
      <c r="C98" s="169"/>
      <c r="D98" s="1016" t="s">
        <v>832</v>
      </c>
      <c r="E98" s="606"/>
      <c r="F98" s="607"/>
      <c r="G98" s="698">
        <v>218600</v>
      </c>
      <c r="H98" s="698"/>
      <c r="I98" s="138"/>
    </row>
    <row r="99" spans="1:9" s="158" customFormat="1" ht="18" customHeight="1">
      <c r="A99" s="204"/>
      <c r="B99" s="81"/>
      <c r="C99" s="82">
        <v>6050</v>
      </c>
      <c r="D99" s="528" t="s">
        <v>599</v>
      </c>
      <c r="E99" s="83"/>
      <c r="F99" s="448"/>
      <c r="G99" s="152">
        <f>SUM(G93:G98)</f>
        <v>1606800</v>
      </c>
      <c r="H99" s="152">
        <f>SUM(H93:H98)</f>
        <v>196000</v>
      </c>
      <c r="I99" s="157"/>
    </row>
    <row r="100" spans="1:9" s="130" customFormat="1" ht="18.75" customHeight="1">
      <c r="A100" s="204"/>
      <c r="B100" s="81"/>
      <c r="C100" s="169"/>
      <c r="D100" s="1224" t="s">
        <v>785</v>
      </c>
      <c r="E100" s="1225"/>
      <c r="F100" s="1226"/>
      <c r="G100" s="1227"/>
      <c r="H100" s="1227">
        <v>1544500</v>
      </c>
      <c r="I100" s="138"/>
    </row>
    <row r="101" spans="1:9" s="158" customFormat="1" ht="18" customHeight="1">
      <c r="A101" s="204"/>
      <c r="B101" s="81"/>
      <c r="C101" s="82">
        <v>6053</v>
      </c>
      <c r="D101" s="528" t="s">
        <v>599</v>
      </c>
      <c r="E101" s="83"/>
      <c r="F101" s="448"/>
      <c r="G101" s="152"/>
      <c r="H101" s="152">
        <f>H100</f>
        <v>1544500</v>
      </c>
      <c r="I101" s="157"/>
    </row>
    <row r="102" spans="1:9" s="156" customFormat="1" ht="25.5">
      <c r="A102" s="205"/>
      <c r="B102" s="169"/>
      <c r="C102" s="169"/>
      <c r="D102" s="1228" t="s">
        <v>561</v>
      </c>
      <c r="E102" s="549"/>
      <c r="F102" s="1215"/>
      <c r="G102" s="459"/>
      <c r="H102" s="459">
        <v>481650</v>
      </c>
      <c r="I102" s="155"/>
    </row>
    <row r="103" spans="1:9" s="130" customFormat="1" ht="25.5">
      <c r="A103" s="204"/>
      <c r="B103" s="81"/>
      <c r="C103" s="169"/>
      <c r="D103" s="1224" t="s">
        <v>390</v>
      </c>
      <c r="E103" s="1225"/>
      <c r="F103" s="1226"/>
      <c r="G103" s="1227"/>
      <c r="H103" s="1227">
        <v>723400</v>
      </c>
      <c r="I103" s="138"/>
    </row>
    <row r="104" spans="1:9" s="158" customFormat="1" ht="18" customHeight="1">
      <c r="A104" s="540"/>
      <c r="B104" s="82"/>
      <c r="C104" s="82">
        <v>6058</v>
      </c>
      <c r="D104" s="528" t="s">
        <v>599</v>
      </c>
      <c r="E104" s="83"/>
      <c r="F104" s="448"/>
      <c r="G104" s="152"/>
      <c r="H104" s="152">
        <f>H102+H103</f>
        <v>1205050</v>
      </c>
      <c r="I104" s="157"/>
    </row>
    <row r="105" spans="1:9" s="158" customFormat="1" ht="18" customHeight="1">
      <c r="A105" s="1532"/>
      <c r="B105" s="1530"/>
      <c r="C105" s="1530"/>
      <c r="D105" s="1533"/>
      <c r="E105" s="1534"/>
      <c r="F105" s="1535"/>
      <c r="G105" s="1098"/>
      <c r="H105" s="1098"/>
      <c r="I105" s="157"/>
    </row>
    <row r="106" spans="1:9" s="156" customFormat="1" ht="25.5">
      <c r="A106" s="205"/>
      <c r="B106" s="169"/>
      <c r="C106" s="169"/>
      <c r="D106" s="1228" t="s">
        <v>561</v>
      </c>
      <c r="E106" s="1021"/>
      <c r="F106" s="1229"/>
      <c r="G106" s="1019"/>
      <c r="H106" s="1019">
        <v>160550</v>
      </c>
      <c r="I106" s="155"/>
    </row>
    <row r="107" spans="1:9" s="130" customFormat="1" ht="25.5">
      <c r="A107" s="204"/>
      <c r="B107" s="81"/>
      <c r="C107" s="169"/>
      <c r="D107" s="1224" t="s">
        <v>390</v>
      </c>
      <c r="E107" s="1225"/>
      <c r="F107" s="1226"/>
      <c r="G107" s="1227"/>
      <c r="H107" s="1227">
        <v>241200</v>
      </c>
      <c r="I107" s="138"/>
    </row>
    <row r="108" spans="1:9" s="158" customFormat="1" ht="18" customHeight="1">
      <c r="A108" s="204"/>
      <c r="B108" s="82"/>
      <c r="C108" s="82">
        <v>6059</v>
      </c>
      <c r="D108" s="528" t="s">
        <v>599</v>
      </c>
      <c r="E108" s="83"/>
      <c r="F108" s="448"/>
      <c r="G108" s="152"/>
      <c r="H108" s="152">
        <f>H107+H106</f>
        <v>401750</v>
      </c>
      <c r="I108" s="157"/>
    </row>
    <row r="109" spans="1:9" s="22" customFormat="1" ht="19.5" customHeight="1">
      <c r="A109" s="89">
        <v>900</v>
      </c>
      <c r="B109" s="89"/>
      <c r="C109" s="89"/>
      <c r="D109" s="89" t="s">
        <v>600</v>
      </c>
      <c r="E109" s="73"/>
      <c r="F109" s="73"/>
      <c r="G109" s="75">
        <f>G110+G117+G122</f>
        <v>209770</v>
      </c>
      <c r="H109" s="75">
        <f>H110+H117+H122</f>
        <v>209770</v>
      </c>
      <c r="I109" s="47"/>
    </row>
    <row r="110" spans="1:9" s="95" customFormat="1" ht="19.5" customHeight="1">
      <c r="A110" s="81"/>
      <c r="B110" s="78">
        <v>90003</v>
      </c>
      <c r="C110" s="78"/>
      <c r="D110" s="78" t="s">
        <v>802</v>
      </c>
      <c r="E110" s="77"/>
      <c r="F110" s="79"/>
      <c r="G110" s="137">
        <f>G111+G115</f>
        <v>109770</v>
      </c>
      <c r="H110" s="137">
        <f>H111+H115</f>
        <v>89770</v>
      </c>
      <c r="I110" s="94"/>
    </row>
    <row r="111" spans="1:9" s="22" customFormat="1" ht="19.5" customHeight="1">
      <c r="A111" s="206"/>
      <c r="B111" s="214"/>
      <c r="C111" s="66"/>
      <c r="D111" s="536" t="s">
        <v>202</v>
      </c>
      <c r="E111" s="101"/>
      <c r="F111" s="524"/>
      <c r="G111" s="267">
        <f>SUM(G112:G114)</f>
        <v>109770</v>
      </c>
      <c r="H111" s="267">
        <f>SUM(H112:H114)</f>
        <v>84770</v>
      </c>
      <c r="I111" s="47"/>
    </row>
    <row r="112" spans="1:9" s="22" customFormat="1" ht="19.5" customHeight="1">
      <c r="A112" s="205"/>
      <c r="B112" s="169"/>
      <c r="C112" s="82">
        <v>4300</v>
      </c>
      <c r="D112" s="528" t="s">
        <v>384</v>
      </c>
      <c r="E112" s="319"/>
      <c r="F112" s="160"/>
      <c r="G112" s="154">
        <f>84770+25000</f>
        <v>109770</v>
      </c>
      <c r="H112" s="154"/>
      <c r="I112" s="47"/>
    </row>
    <row r="113" spans="1:9" s="22" customFormat="1" ht="19.5" customHeight="1">
      <c r="A113" s="205"/>
      <c r="B113" s="169"/>
      <c r="C113" s="82">
        <v>4430</v>
      </c>
      <c r="D113" s="1125" t="s">
        <v>466</v>
      </c>
      <c r="E113" s="904"/>
      <c r="F113" s="905"/>
      <c r="G113" s="764"/>
      <c r="H113" s="764">
        <v>4410</v>
      </c>
      <c r="I113" s="47"/>
    </row>
    <row r="114" spans="1:9" s="22" customFormat="1" ht="28.5" customHeight="1">
      <c r="A114" s="205"/>
      <c r="B114" s="169"/>
      <c r="C114" s="82">
        <v>4600</v>
      </c>
      <c r="D114" s="528" t="s">
        <v>203</v>
      </c>
      <c r="E114" s="319"/>
      <c r="F114" s="160"/>
      <c r="G114" s="418"/>
      <c r="H114" s="418">
        <v>80360</v>
      </c>
      <c r="I114" s="47"/>
    </row>
    <row r="115" spans="1:9" s="22" customFormat="1" ht="19.5" customHeight="1">
      <c r="A115" s="206"/>
      <c r="B115" s="214"/>
      <c r="C115" s="66"/>
      <c r="D115" s="210" t="s">
        <v>778</v>
      </c>
      <c r="E115" s="101"/>
      <c r="F115" s="524"/>
      <c r="G115" s="267"/>
      <c r="H115" s="267">
        <f>H116</f>
        <v>5000</v>
      </c>
      <c r="I115" s="47"/>
    </row>
    <row r="116" spans="1:9" s="22" customFormat="1" ht="19.5" customHeight="1">
      <c r="A116" s="205"/>
      <c r="B116" s="320"/>
      <c r="C116" s="82">
        <v>4300</v>
      </c>
      <c r="D116" s="528" t="s">
        <v>384</v>
      </c>
      <c r="E116" s="319"/>
      <c r="F116" s="160"/>
      <c r="G116" s="154"/>
      <c r="H116" s="154">
        <v>5000</v>
      </c>
      <c r="I116" s="47"/>
    </row>
    <row r="117" spans="1:9" s="95" customFormat="1" ht="19.5" customHeight="1">
      <c r="A117" s="81"/>
      <c r="B117" s="78">
        <v>90015</v>
      </c>
      <c r="C117" s="78"/>
      <c r="D117" s="78" t="s">
        <v>774</v>
      </c>
      <c r="E117" s="77"/>
      <c r="F117" s="79"/>
      <c r="G117" s="137">
        <f>G118+G120</f>
        <v>100000</v>
      </c>
      <c r="H117" s="137">
        <f>H118+H120</f>
        <v>100000</v>
      </c>
      <c r="I117" s="94"/>
    </row>
    <row r="118" spans="1:9" s="22" customFormat="1" ht="19.5" customHeight="1">
      <c r="A118" s="206"/>
      <c r="B118" s="214"/>
      <c r="C118" s="66"/>
      <c r="D118" s="535" t="s">
        <v>775</v>
      </c>
      <c r="E118" s="101"/>
      <c r="F118" s="524"/>
      <c r="G118" s="267">
        <f>G119</f>
        <v>100000</v>
      </c>
      <c r="H118" s="267"/>
      <c r="I118" s="47"/>
    </row>
    <row r="119" spans="1:9" s="22" customFormat="1" ht="19.5" customHeight="1">
      <c r="A119" s="205"/>
      <c r="B119" s="169"/>
      <c r="C119" s="82">
        <v>4260</v>
      </c>
      <c r="D119" s="528" t="s">
        <v>464</v>
      </c>
      <c r="E119" s="319"/>
      <c r="F119" s="160"/>
      <c r="G119" s="154">
        <v>100000</v>
      </c>
      <c r="H119" s="154"/>
      <c r="I119" s="47"/>
    </row>
    <row r="120" spans="1:9" s="22" customFormat="1" ht="19.5" customHeight="1">
      <c r="A120" s="206"/>
      <c r="B120" s="214"/>
      <c r="C120" s="66"/>
      <c r="D120" s="535" t="s">
        <v>776</v>
      </c>
      <c r="E120" s="101"/>
      <c r="F120" s="524"/>
      <c r="G120" s="267"/>
      <c r="H120" s="267">
        <f>H121</f>
        <v>100000</v>
      </c>
      <c r="I120" s="47"/>
    </row>
    <row r="121" spans="1:9" s="22" customFormat="1" ht="19.5" customHeight="1">
      <c r="A121" s="205"/>
      <c r="B121" s="320"/>
      <c r="C121" s="82">
        <v>6050</v>
      </c>
      <c r="D121" s="528" t="s">
        <v>599</v>
      </c>
      <c r="E121" s="319"/>
      <c r="F121" s="160"/>
      <c r="G121" s="154"/>
      <c r="H121" s="154">
        <v>100000</v>
      </c>
      <c r="I121" s="47"/>
    </row>
    <row r="122" spans="1:9" s="95" customFormat="1" ht="19.5" customHeight="1">
      <c r="A122" s="81"/>
      <c r="B122" s="78">
        <v>90095</v>
      </c>
      <c r="C122" s="78"/>
      <c r="D122" s="78" t="s">
        <v>366</v>
      </c>
      <c r="E122" s="77"/>
      <c r="F122" s="79"/>
      <c r="G122" s="137"/>
      <c r="H122" s="137">
        <f>H123</f>
        <v>20000</v>
      </c>
      <c r="I122" s="94"/>
    </row>
    <row r="123" spans="1:9" s="22" customFormat="1" ht="19.5" customHeight="1">
      <c r="A123" s="206"/>
      <c r="B123" s="214"/>
      <c r="C123" s="66"/>
      <c r="D123" s="535" t="s">
        <v>779</v>
      </c>
      <c r="E123" s="101"/>
      <c r="F123" s="524"/>
      <c r="G123" s="267"/>
      <c r="H123" s="267">
        <f>H124</f>
        <v>20000</v>
      </c>
      <c r="I123" s="47"/>
    </row>
    <row r="124" spans="1:9" s="22" customFormat="1" ht="19.5" customHeight="1">
      <c r="A124" s="205"/>
      <c r="B124" s="169"/>
      <c r="C124" s="82">
        <v>4300</v>
      </c>
      <c r="D124" s="528" t="s">
        <v>384</v>
      </c>
      <c r="E124" s="319"/>
      <c r="F124" s="160"/>
      <c r="G124" s="154"/>
      <c r="H124" s="154">
        <v>20000</v>
      </c>
      <c r="I124" s="47"/>
    </row>
    <row r="125" spans="1:9" s="156" customFormat="1" ht="19.5" customHeight="1" thickBot="1">
      <c r="A125" s="320"/>
      <c r="B125" s="320"/>
      <c r="C125" s="320"/>
      <c r="D125" s="163" t="s">
        <v>396</v>
      </c>
      <c r="E125" s="163"/>
      <c r="F125" s="162"/>
      <c r="G125" s="193"/>
      <c r="H125" s="193">
        <f>H126</f>
        <v>30000</v>
      </c>
      <c r="I125" s="155"/>
    </row>
    <row r="126" spans="1:9" s="22" customFormat="1" ht="19.5" customHeight="1" thickTop="1">
      <c r="A126" s="89">
        <v>710</v>
      </c>
      <c r="B126" s="89"/>
      <c r="C126" s="89"/>
      <c r="D126" s="89" t="s">
        <v>756</v>
      </c>
      <c r="E126" s="73"/>
      <c r="F126" s="73"/>
      <c r="G126" s="75"/>
      <c r="H126" s="75">
        <f>H127</f>
        <v>30000</v>
      </c>
      <c r="I126" s="47"/>
    </row>
    <row r="127" spans="1:9" s="95" customFormat="1" ht="19.5" customHeight="1">
      <c r="A127" s="449"/>
      <c r="B127" s="78">
        <v>71035</v>
      </c>
      <c r="C127" s="78"/>
      <c r="D127" s="429" t="s">
        <v>332</v>
      </c>
      <c r="E127" s="77"/>
      <c r="F127" s="79"/>
      <c r="G127" s="137"/>
      <c r="H127" s="137">
        <f>H128</f>
        <v>30000</v>
      </c>
      <c r="I127" s="94"/>
    </row>
    <row r="128" spans="1:9" s="130" customFormat="1" ht="19.5" customHeight="1">
      <c r="A128" s="66"/>
      <c r="B128" s="449"/>
      <c r="C128" s="449"/>
      <c r="D128" s="536" t="s">
        <v>640</v>
      </c>
      <c r="E128" s="66"/>
      <c r="F128" s="683"/>
      <c r="G128" s="143"/>
      <c r="H128" s="143">
        <f>H129</f>
        <v>30000</v>
      </c>
      <c r="I128" s="138"/>
    </row>
    <row r="129" spans="1:9" s="130" customFormat="1" ht="19.5" customHeight="1">
      <c r="A129" s="1539"/>
      <c r="B129" s="1539"/>
      <c r="C129" s="1190">
        <v>4300</v>
      </c>
      <c r="D129" s="528" t="s">
        <v>384</v>
      </c>
      <c r="E129" s="971"/>
      <c r="F129" s="1177"/>
      <c r="G129" s="145"/>
      <c r="H129" s="145">
        <v>30000</v>
      </c>
      <c r="I129" s="138"/>
    </row>
    <row r="130" spans="1:9" s="130" customFormat="1" ht="73.5" customHeight="1">
      <c r="A130" s="1536"/>
      <c r="B130" s="1536"/>
      <c r="C130" s="1537"/>
      <c r="D130" s="1533"/>
      <c r="E130" s="1530"/>
      <c r="F130" s="1538"/>
      <c r="G130" s="1098"/>
      <c r="H130" s="1098"/>
      <c r="I130" s="138"/>
    </row>
    <row r="131" spans="1:9" s="168" customFormat="1" ht="20.25" customHeight="1">
      <c r="A131" s="164"/>
      <c r="B131" s="139"/>
      <c r="C131" s="165"/>
      <c r="D131" s="464" t="s">
        <v>521</v>
      </c>
      <c r="E131" s="465"/>
      <c r="F131" s="465"/>
      <c r="G131" s="465"/>
      <c r="H131" s="465">
        <f>H132</f>
        <v>59000</v>
      </c>
      <c r="I131" s="318"/>
    </row>
    <row r="132" spans="1:8" s="156" customFormat="1" ht="19.5" customHeight="1" thickBot="1">
      <c r="A132" s="320"/>
      <c r="B132" s="320"/>
      <c r="C132" s="169"/>
      <c r="D132" s="163" t="s">
        <v>360</v>
      </c>
      <c r="E132" s="163"/>
      <c r="F132" s="193"/>
      <c r="G132" s="193"/>
      <c r="H132" s="193">
        <f>H133</f>
        <v>59000</v>
      </c>
    </row>
    <row r="133" spans="1:8" s="156" customFormat="1" ht="21" customHeight="1" thickTop="1">
      <c r="A133" s="89">
        <v>750</v>
      </c>
      <c r="B133" s="73"/>
      <c r="C133" s="89"/>
      <c r="D133" s="73" t="s">
        <v>371</v>
      </c>
      <c r="E133" s="73"/>
      <c r="F133" s="1119"/>
      <c r="G133" s="1119"/>
      <c r="H133" s="1119">
        <f>H134</f>
        <v>59000</v>
      </c>
    </row>
    <row r="134" spans="1:8" s="156" customFormat="1" ht="18.75" customHeight="1">
      <c r="A134" s="761"/>
      <c r="B134" s="77">
        <v>75023</v>
      </c>
      <c r="C134" s="77"/>
      <c r="D134" s="77" t="s">
        <v>386</v>
      </c>
      <c r="E134" s="77"/>
      <c r="F134" s="1120"/>
      <c r="G134" s="1120"/>
      <c r="H134" s="1120">
        <f>H138+H135</f>
        <v>59000</v>
      </c>
    </row>
    <row r="135" spans="1:9" s="22" customFormat="1" ht="16.5" customHeight="1">
      <c r="A135" s="206"/>
      <c r="B135" s="214"/>
      <c r="C135" s="108"/>
      <c r="D135" s="101" t="s">
        <v>387</v>
      </c>
      <c r="E135" s="267"/>
      <c r="F135" s="267"/>
      <c r="G135" s="267"/>
      <c r="H135" s="267">
        <f>SUM(H136:H137)</f>
        <v>40200</v>
      </c>
      <c r="I135" s="47"/>
    </row>
    <row r="136" spans="1:9" s="22" customFormat="1" ht="19.5" customHeight="1">
      <c r="A136" s="205"/>
      <c r="B136" s="169"/>
      <c r="C136" s="317">
        <v>4210</v>
      </c>
      <c r="D136" s="319" t="s">
        <v>383</v>
      </c>
      <c r="E136" s="154"/>
      <c r="F136" s="154"/>
      <c r="G136" s="154"/>
      <c r="H136" s="154">
        <v>17300</v>
      </c>
      <c r="I136" s="47"/>
    </row>
    <row r="137" spans="1:9" s="22" customFormat="1" ht="19.5" customHeight="1">
      <c r="A137" s="205"/>
      <c r="B137" s="169"/>
      <c r="C137" s="317">
        <v>4300</v>
      </c>
      <c r="D137" s="319" t="s">
        <v>384</v>
      </c>
      <c r="E137" s="418"/>
      <c r="F137" s="418"/>
      <c r="G137" s="418"/>
      <c r="H137" s="418">
        <v>22900</v>
      </c>
      <c r="I137" s="47"/>
    </row>
    <row r="138" spans="1:8" s="156" customFormat="1" ht="16.5" customHeight="1">
      <c r="A138" s="449"/>
      <c r="B138" s="1094"/>
      <c r="C138" s="601"/>
      <c r="D138" s="1039" t="s">
        <v>78</v>
      </c>
      <c r="E138" s="1039"/>
      <c r="F138" s="1032"/>
      <c r="G138" s="1121"/>
      <c r="H138" s="1121">
        <f>H140</f>
        <v>18800</v>
      </c>
    </row>
    <row r="139" spans="1:8" s="156" customFormat="1" ht="17.25" customHeight="1">
      <c r="A139" s="169"/>
      <c r="B139" s="966"/>
      <c r="C139" s="966"/>
      <c r="D139" s="799" t="s">
        <v>747</v>
      </c>
      <c r="E139" s="799"/>
      <c r="F139" s="722"/>
      <c r="G139" s="1123"/>
      <c r="H139" s="1123">
        <v>18800</v>
      </c>
    </row>
    <row r="140" spans="1:8" s="156" customFormat="1" ht="18.75" customHeight="1">
      <c r="A140" s="462"/>
      <c r="B140" s="169"/>
      <c r="C140" s="320">
        <v>6060</v>
      </c>
      <c r="D140" s="320" t="s">
        <v>420</v>
      </c>
      <c r="E140" s="320"/>
      <c r="F140" s="940"/>
      <c r="G140" s="1122"/>
      <c r="H140" s="1122">
        <f>H139</f>
        <v>18800</v>
      </c>
    </row>
    <row r="141" spans="1:9" s="168" customFormat="1" ht="18.75" customHeight="1">
      <c r="A141" s="164"/>
      <c r="B141" s="139"/>
      <c r="C141" s="165"/>
      <c r="D141" s="464" t="s">
        <v>522</v>
      </c>
      <c r="E141" s="465"/>
      <c r="F141" s="465"/>
      <c r="G141" s="465"/>
      <c r="H141" s="465">
        <f>H142</f>
        <v>205066</v>
      </c>
      <c r="I141" s="318"/>
    </row>
    <row r="142" spans="1:8" s="156" customFormat="1" ht="22.5" customHeight="1" thickBot="1">
      <c r="A142" s="320"/>
      <c r="B142" s="320"/>
      <c r="C142" s="169"/>
      <c r="D142" s="163" t="s">
        <v>360</v>
      </c>
      <c r="E142" s="163"/>
      <c r="F142" s="193"/>
      <c r="G142" s="193"/>
      <c r="H142" s="193">
        <f>H143</f>
        <v>205066</v>
      </c>
    </row>
    <row r="143" spans="1:8" s="156" customFormat="1" ht="21" customHeight="1" thickTop="1">
      <c r="A143" s="89">
        <v>900</v>
      </c>
      <c r="B143" s="73"/>
      <c r="C143" s="89"/>
      <c r="D143" s="73" t="s">
        <v>25</v>
      </c>
      <c r="E143" s="73"/>
      <c r="F143" s="1119"/>
      <c r="G143" s="1119"/>
      <c r="H143" s="1119">
        <f>H144</f>
        <v>205066</v>
      </c>
    </row>
    <row r="144" spans="1:8" s="156" customFormat="1" ht="21" customHeight="1">
      <c r="A144" s="761"/>
      <c r="B144" s="77">
        <v>90002</v>
      </c>
      <c r="C144" s="77"/>
      <c r="D144" s="77" t="s">
        <v>801</v>
      </c>
      <c r="E144" s="77"/>
      <c r="F144" s="1120"/>
      <c r="G144" s="1120"/>
      <c r="H144" s="1120">
        <f>H145</f>
        <v>205066</v>
      </c>
    </row>
    <row r="145" spans="1:8" s="156" customFormat="1" ht="25.5">
      <c r="A145" s="449"/>
      <c r="B145" s="1094"/>
      <c r="C145" s="601"/>
      <c r="D145" s="536" t="s">
        <v>516</v>
      </c>
      <c r="E145" s="536"/>
      <c r="F145" s="613"/>
      <c r="G145" s="1124"/>
      <c r="H145" s="1124">
        <f>H146</f>
        <v>205066</v>
      </c>
    </row>
    <row r="146" spans="1:8" s="156" customFormat="1" ht="18.75" customHeight="1">
      <c r="A146" s="462"/>
      <c r="B146" s="169"/>
      <c r="C146" s="320">
        <v>4270</v>
      </c>
      <c r="D146" s="320" t="s">
        <v>288</v>
      </c>
      <c r="E146" s="320"/>
      <c r="F146" s="940"/>
      <c r="G146" s="1122"/>
      <c r="H146" s="1122">
        <v>205066</v>
      </c>
    </row>
    <row r="147" spans="1:9" s="168" customFormat="1" ht="17.25" customHeight="1">
      <c r="A147" s="164"/>
      <c r="B147" s="139"/>
      <c r="C147" s="165"/>
      <c r="D147" s="166" t="s">
        <v>523</v>
      </c>
      <c r="E147" s="166"/>
      <c r="F147" s="167"/>
      <c r="G147" s="167">
        <f>G148+G176</f>
        <v>266284</v>
      </c>
      <c r="H147" s="167">
        <f>H148+H176</f>
        <v>949158</v>
      </c>
      <c r="I147" s="318"/>
    </row>
    <row r="148" spans="1:10" s="156" customFormat="1" ht="19.5" customHeight="1" thickBot="1">
      <c r="A148" s="320"/>
      <c r="B148" s="320"/>
      <c r="C148" s="320"/>
      <c r="D148" s="163" t="s">
        <v>360</v>
      </c>
      <c r="E148" s="163"/>
      <c r="F148" s="162"/>
      <c r="G148" s="193">
        <f>G149+G163+G169</f>
        <v>266284</v>
      </c>
      <c r="H148" s="193">
        <f>H149+H163+H169</f>
        <v>41600</v>
      </c>
      <c r="I148" s="155"/>
      <c r="J148" s="155"/>
    </row>
    <row r="149" spans="1:9" s="22" customFormat="1" ht="19.5" customHeight="1" thickTop="1">
      <c r="A149" s="89">
        <v>750</v>
      </c>
      <c r="B149" s="89"/>
      <c r="C149" s="89"/>
      <c r="D149" s="89" t="s">
        <v>371</v>
      </c>
      <c r="E149" s="73"/>
      <c r="F149" s="73"/>
      <c r="G149" s="75">
        <f>G150+G155</f>
        <v>41600</v>
      </c>
      <c r="H149" s="75">
        <f>H150+H155</f>
        <v>41600</v>
      </c>
      <c r="I149" s="47"/>
    </row>
    <row r="150" spans="1:9" s="95" customFormat="1" ht="19.5" customHeight="1">
      <c r="A150" s="529"/>
      <c r="B150" s="77">
        <v>75022</v>
      </c>
      <c r="C150" s="77"/>
      <c r="D150" s="77" t="s">
        <v>622</v>
      </c>
      <c r="E150" s="137"/>
      <c r="F150" s="137"/>
      <c r="G150" s="137">
        <f>G151</f>
        <v>7600</v>
      </c>
      <c r="H150" s="137">
        <f>H151</f>
        <v>7600</v>
      </c>
      <c r="I150" s="94"/>
    </row>
    <row r="151" spans="1:9" s="95" customFormat="1" ht="17.25" customHeight="1">
      <c r="A151" s="81"/>
      <c r="B151" s="66"/>
      <c r="C151" s="66"/>
      <c r="D151" s="797" t="s">
        <v>534</v>
      </c>
      <c r="E151" s="524"/>
      <c r="F151" s="524"/>
      <c r="G151" s="524">
        <f>SUM(G152:G154)</f>
        <v>7600</v>
      </c>
      <c r="H151" s="524">
        <f>SUM(H152:H154)</f>
        <v>7600</v>
      </c>
      <c r="I151" s="94"/>
    </row>
    <row r="152" spans="1:9" s="557" customFormat="1" ht="16.5" customHeight="1">
      <c r="A152" s="169"/>
      <c r="B152" s="169"/>
      <c r="C152" s="82">
        <v>3030</v>
      </c>
      <c r="D152" s="528" t="s">
        <v>623</v>
      </c>
      <c r="E152" s="160"/>
      <c r="F152" s="160"/>
      <c r="G152" s="160">
        <v>2200</v>
      </c>
      <c r="H152" s="160"/>
      <c r="I152" s="558"/>
    </row>
    <row r="153" spans="1:9" s="194" customFormat="1" ht="19.5" customHeight="1">
      <c r="A153" s="205"/>
      <c r="B153" s="169"/>
      <c r="C153" s="82">
        <v>4260</v>
      </c>
      <c r="D153" s="528" t="s">
        <v>464</v>
      </c>
      <c r="E153" s="764"/>
      <c r="F153" s="764"/>
      <c r="G153" s="764"/>
      <c r="H153" s="764">
        <f>3500+3100+1000</f>
        <v>7600</v>
      </c>
      <c r="I153" s="195"/>
    </row>
    <row r="154" spans="1:9" s="194" customFormat="1" ht="19.5" customHeight="1">
      <c r="A154" s="205"/>
      <c r="B154" s="169"/>
      <c r="C154" s="82">
        <v>4300</v>
      </c>
      <c r="D154" s="1125" t="s">
        <v>384</v>
      </c>
      <c r="E154" s="764"/>
      <c r="F154" s="764"/>
      <c r="G154" s="764">
        <f>5800-400</f>
        <v>5400</v>
      </c>
      <c r="H154" s="764"/>
      <c r="I154" s="195"/>
    </row>
    <row r="155" spans="1:9" s="95" customFormat="1" ht="19.5" customHeight="1">
      <c r="A155" s="81"/>
      <c r="B155" s="77">
        <v>75023</v>
      </c>
      <c r="C155" s="77"/>
      <c r="D155" s="77" t="s">
        <v>386</v>
      </c>
      <c r="E155" s="137"/>
      <c r="F155" s="137"/>
      <c r="G155" s="137">
        <f>G156+G161</f>
        <v>34000</v>
      </c>
      <c r="H155" s="137">
        <f>H156+H161</f>
        <v>34000</v>
      </c>
      <c r="I155" s="94"/>
    </row>
    <row r="156" spans="1:9" s="22" customFormat="1" ht="17.25" customHeight="1">
      <c r="A156" s="206"/>
      <c r="B156" s="214"/>
      <c r="C156" s="108"/>
      <c r="D156" s="101" t="s">
        <v>387</v>
      </c>
      <c r="E156" s="267"/>
      <c r="F156" s="267"/>
      <c r="G156" s="267"/>
      <c r="H156" s="267">
        <f>SUM(H157:H160)</f>
        <v>34000</v>
      </c>
      <c r="I156" s="47"/>
    </row>
    <row r="157" spans="1:9" s="22" customFormat="1" ht="19.5" customHeight="1">
      <c r="A157" s="227"/>
      <c r="B157" s="320"/>
      <c r="C157" s="317">
        <v>3020</v>
      </c>
      <c r="D157" s="319" t="s">
        <v>736</v>
      </c>
      <c r="E157" s="154"/>
      <c r="F157" s="154"/>
      <c r="G157" s="154"/>
      <c r="H157" s="154">
        <v>4000</v>
      </c>
      <c r="I157" s="47"/>
    </row>
    <row r="158" spans="1:9" s="22" customFormat="1" ht="31.5" customHeight="1">
      <c r="A158" s="1541"/>
      <c r="B158" s="1542"/>
      <c r="C158" s="1588"/>
      <c r="D158" s="1589"/>
      <c r="E158" s="1545"/>
      <c r="F158" s="1545"/>
      <c r="G158" s="1545"/>
      <c r="H158" s="1545"/>
      <c r="I158" s="47"/>
    </row>
    <row r="159" spans="1:9" s="22" customFormat="1" ht="19.5" customHeight="1">
      <c r="A159" s="205"/>
      <c r="B159" s="169"/>
      <c r="C159" s="317">
        <v>4410</v>
      </c>
      <c r="D159" s="319" t="s">
        <v>468</v>
      </c>
      <c r="E159" s="418"/>
      <c r="F159" s="418"/>
      <c r="G159" s="418"/>
      <c r="H159" s="418">
        <v>20000</v>
      </c>
      <c r="I159" s="47"/>
    </row>
    <row r="160" spans="1:9" s="22" customFormat="1" ht="18" customHeight="1">
      <c r="A160" s="205"/>
      <c r="B160" s="169"/>
      <c r="C160" s="937">
        <v>4430</v>
      </c>
      <c r="D160" s="904" t="s">
        <v>466</v>
      </c>
      <c r="E160" s="764"/>
      <c r="F160" s="764"/>
      <c r="G160" s="764"/>
      <c r="H160" s="764">
        <v>10000</v>
      </c>
      <c r="I160" s="47"/>
    </row>
    <row r="161" spans="1:9" s="22" customFormat="1" ht="19.5" customHeight="1">
      <c r="A161" s="206"/>
      <c r="B161" s="214"/>
      <c r="C161" s="108"/>
      <c r="D161" s="101" t="s">
        <v>413</v>
      </c>
      <c r="E161" s="267"/>
      <c r="F161" s="267"/>
      <c r="G161" s="267">
        <f>G162</f>
        <v>34000</v>
      </c>
      <c r="H161" s="267"/>
      <c r="I161" s="47"/>
    </row>
    <row r="162" spans="1:9" s="156" customFormat="1" ht="19.5" customHeight="1">
      <c r="A162" s="205"/>
      <c r="B162" s="169"/>
      <c r="C162" s="317">
        <v>4110</v>
      </c>
      <c r="D162" s="319" t="s">
        <v>462</v>
      </c>
      <c r="E162" s="154"/>
      <c r="F162" s="154"/>
      <c r="G162" s="154">
        <v>34000</v>
      </c>
      <c r="H162" s="154"/>
      <c r="I162" s="155"/>
    </row>
    <row r="163" spans="1:12" s="22" customFormat="1" ht="16.5" customHeight="1">
      <c r="A163" s="72">
        <v>801</v>
      </c>
      <c r="B163" s="89"/>
      <c r="C163" s="73"/>
      <c r="D163" s="92" t="s">
        <v>367</v>
      </c>
      <c r="E163" s="92"/>
      <c r="F163" s="75"/>
      <c r="G163" s="75">
        <f>G164</f>
        <v>216800</v>
      </c>
      <c r="H163" s="75"/>
      <c r="I163" s="47"/>
      <c r="J163" s="47"/>
      <c r="L163" s="47"/>
    </row>
    <row r="164" spans="1:12" s="95" customFormat="1" ht="18" customHeight="1">
      <c r="A164" s="215"/>
      <c r="B164" s="77">
        <v>80101</v>
      </c>
      <c r="C164" s="77"/>
      <c r="D164" s="77" t="s">
        <v>706</v>
      </c>
      <c r="E164" s="77"/>
      <c r="F164" s="79"/>
      <c r="G164" s="79">
        <f>G165</f>
        <v>216800</v>
      </c>
      <c r="H164" s="79"/>
      <c r="I164" s="138"/>
      <c r="J164" s="138"/>
      <c r="L164" s="94"/>
    </row>
    <row r="165" spans="1:12" s="95" customFormat="1" ht="18" customHeight="1">
      <c r="A165" s="80"/>
      <c r="B165" s="66"/>
      <c r="C165" s="66"/>
      <c r="D165" s="618" t="s">
        <v>78</v>
      </c>
      <c r="E165" s="618"/>
      <c r="F165" s="619"/>
      <c r="G165" s="619">
        <f>G168</f>
        <v>216800</v>
      </c>
      <c r="H165" s="619"/>
      <c r="I165" s="138"/>
      <c r="J165" s="138"/>
      <c r="L165" s="94"/>
    </row>
    <row r="166" spans="1:12" s="557" customFormat="1" ht="18" customHeight="1">
      <c r="A166" s="205"/>
      <c r="B166" s="169"/>
      <c r="C166" s="169"/>
      <c r="D166" s="1099" t="s">
        <v>315</v>
      </c>
      <c r="E166" s="1099"/>
      <c r="F166" s="783"/>
      <c r="G166" s="783">
        <f>95000+64850</f>
        <v>159850</v>
      </c>
      <c r="H166" s="912"/>
      <c r="I166" s="155"/>
      <c r="J166" s="155"/>
      <c r="L166" s="558"/>
    </row>
    <row r="167" spans="1:12" s="557" customFormat="1" ht="18" customHeight="1">
      <c r="A167" s="205"/>
      <c r="B167" s="169"/>
      <c r="C167" s="169"/>
      <c r="D167" s="1211" t="s">
        <v>862</v>
      </c>
      <c r="E167" s="1211"/>
      <c r="F167" s="461"/>
      <c r="G167" s="461">
        <v>56950</v>
      </c>
      <c r="H167" s="711"/>
      <c r="I167" s="155"/>
      <c r="J167" s="155"/>
      <c r="L167" s="558"/>
    </row>
    <row r="168" spans="1:12" s="561" customFormat="1" ht="18" customHeight="1">
      <c r="A168" s="204"/>
      <c r="B168" s="82"/>
      <c r="C168" s="82">
        <v>6050</v>
      </c>
      <c r="D168" s="917" t="s">
        <v>599</v>
      </c>
      <c r="E168" s="917"/>
      <c r="F168" s="918"/>
      <c r="G168" s="918">
        <f>G166+G167</f>
        <v>216800</v>
      </c>
      <c r="H168" s="918"/>
      <c r="I168" s="157"/>
      <c r="J168" s="157"/>
      <c r="L168" s="562"/>
    </row>
    <row r="169" spans="1:12" s="22" customFormat="1" ht="18" customHeight="1">
      <c r="A169" s="72">
        <v>854</v>
      </c>
      <c r="B169" s="89"/>
      <c r="C169" s="73"/>
      <c r="D169" s="92" t="s">
        <v>369</v>
      </c>
      <c r="E169" s="92"/>
      <c r="F169" s="75"/>
      <c r="G169" s="75">
        <f>G170+G173</f>
        <v>7884</v>
      </c>
      <c r="H169" s="75"/>
      <c r="I169" s="47"/>
      <c r="J169" s="47"/>
      <c r="L169" s="47"/>
    </row>
    <row r="170" spans="1:12" s="95" customFormat="1" ht="18" customHeight="1">
      <c r="A170" s="76"/>
      <c r="B170" s="77">
        <v>85407</v>
      </c>
      <c r="C170" s="77"/>
      <c r="D170" s="77" t="s">
        <v>709</v>
      </c>
      <c r="E170" s="77"/>
      <c r="F170" s="79"/>
      <c r="G170" s="79">
        <f>G171</f>
        <v>4500</v>
      </c>
      <c r="H170" s="79"/>
      <c r="I170" s="138"/>
      <c r="J170" s="138"/>
      <c r="L170" s="94"/>
    </row>
    <row r="171" spans="1:12" s="95" customFormat="1" ht="18" customHeight="1">
      <c r="A171" s="80"/>
      <c r="B171" s="66"/>
      <c r="C171" s="66"/>
      <c r="D171" s="618" t="s">
        <v>387</v>
      </c>
      <c r="E171" s="618"/>
      <c r="F171" s="619"/>
      <c r="G171" s="619">
        <f>G172</f>
        <v>4500</v>
      </c>
      <c r="H171" s="619"/>
      <c r="I171" s="138"/>
      <c r="J171" s="138"/>
      <c r="L171" s="94"/>
    </row>
    <row r="172" spans="1:12" s="561" customFormat="1" ht="18" customHeight="1">
      <c r="A172" s="204"/>
      <c r="B172" s="81"/>
      <c r="C172" s="82">
        <v>4270</v>
      </c>
      <c r="D172" s="534" t="s">
        <v>814</v>
      </c>
      <c r="E172" s="566"/>
      <c r="F172" s="567"/>
      <c r="G172" s="567">
        <v>4500</v>
      </c>
      <c r="H172" s="567"/>
      <c r="I172" s="157"/>
      <c r="J172" s="157"/>
      <c r="L172" s="562"/>
    </row>
    <row r="173" spans="1:12" s="95" customFormat="1" ht="18" customHeight="1">
      <c r="A173" s="76"/>
      <c r="B173" s="77">
        <v>85410</v>
      </c>
      <c r="C173" s="77"/>
      <c r="D173" s="77" t="s">
        <v>732</v>
      </c>
      <c r="E173" s="77"/>
      <c r="F173" s="79"/>
      <c r="G173" s="79">
        <f>G174</f>
        <v>3384</v>
      </c>
      <c r="H173" s="79"/>
      <c r="I173" s="138"/>
      <c r="J173" s="138"/>
      <c r="L173" s="94"/>
    </row>
    <row r="174" spans="1:12" s="95" customFormat="1" ht="18" customHeight="1">
      <c r="A174" s="80"/>
      <c r="B174" s="66"/>
      <c r="C174" s="66"/>
      <c r="D174" s="618" t="s">
        <v>387</v>
      </c>
      <c r="E174" s="618"/>
      <c r="F174" s="619"/>
      <c r="G174" s="619">
        <f>G175</f>
        <v>3384</v>
      </c>
      <c r="H174" s="619"/>
      <c r="I174" s="138"/>
      <c r="J174" s="138"/>
      <c r="L174" s="94"/>
    </row>
    <row r="175" spans="1:12" s="561" customFormat="1" ht="18" customHeight="1">
      <c r="A175" s="204"/>
      <c r="B175" s="81"/>
      <c r="C175" s="82">
        <v>4270</v>
      </c>
      <c r="D175" s="534" t="s">
        <v>814</v>
      </c>
      <c r="E175" s="566"/>
      <c r="F175" s="567"/>
      <c r="G175" s="567">
        <v>3384</v>
      </c>
      <c r="H175" s="567"/>
      <c r="I175" s="157"/>
      <c r="J175" s="157"/>
      <c r="L175" s="562"/>
    </row>
    <row r="176" spans="1:10" s="156" customFormat="1" ht="19.5" customHeight="1" thickBot="1">
      <c r="A176" s="320"/>
      <c r="B176" s="320"/>
      <c r="C176" s="320"/>
      <c r="D176" s="163" t="s">
        <v>398</v>
      </c>
      <c r="E176" s="163"/>
      <c r="F176" s="162"/>
      <c r="G176" s="193"/>
      <c r="H176" s="193">
        <f>H177</f>
        <v>907558</v>
      </c>
      <c r="I176" s="155"/>
      <c r="J176" s="155"/>
    </row>
    <row r="177" spans="1:9" s="22" customFormat="1" ht="26.25" thickTop="1">
      <c r="A177" s="89">
        <v>751</v>
      </c>
      <c r="B177" s="89"/>
      <c r="C177" s="89"/>
      <c r="D177" s="795" t="s">
        <v>624</v>
      </c>
      <c r="E177" s="73"/>
      <c r="F177" s="73"/>
      <c r="G177" s="75"/>
      <c r="H177" s="75">
        <f>H178</f>
        <v>907558</v>
      </c>
      <c r="I177" s="47"/>
    </row>
    <row r="178" spans="1:9" s="95" customFormat="1" ht="38.25">
      <c r="A178" s="529"/>
      <c r="B178" s="77">
        <v>75109</v>
      </c>
      <c r="C178" s="77"/>
      <c r="D178" s="323" t="s">
        <v>625</v>
      </c>
      <c r="E178" s="137"/>
      <c r="F178" s="137"/>
      <c r="G178" s="137"/>
      <c r="H178" s="137">
        <f>H179</f>
        <v>907558</v>
      </c>
      <c r="I178" s="94"/>
    </row>
    <row r="179" spans="1:9" s="95" customFormat="1" ht="17.25" customHeight="1">
      <c r="A179" s="81"/>
      <c r="B179" s="66"/>
      <c r="C179" s="66"/>
      <c r="D179" s="797" t="s">
        <v>626</v>
      </c>
      <c r="E179" s="524"/>
      <c r="F179" s="524"/>
      <c r="G179" s="524"/>
      <c r="H179" s="524">
        <f>SUM(H180:H186)</f>
        <v>907558</v>
      </c>
      <c r="I179" s="94"/>
    </row>
    <row r="180" spans="1:9" s="557" customFormat="1" ht="16.5" customHeight="1">
      <c r="A180" s="169"/>
      <c r="B180" s="169"/>
      <c r="C180" s="82">
        <v>3030</v>
      </c>
      <c r="D180" s="528" t="s">
        <v>623</v>
      </c>
      <c r="E180" s="160"/>
      <c r="F180" s="160"/>
      <c r="G180" s="160"/>
      <c r="H180" s="160">
        <f>254860+254860</f>
        <v>509720</v>
      </c>
      <c r="I180" s="558"/>
    </row>
    <row r="181" spans="1:9" s="194" customFormat="1" ht="17.25" customHeight="1">
      <c r="A181" s="205"/>
      <c r="B181" s="169"/>
      <c r="C181" s="82">
        <v>4110</v>
      </c>
      <c r="D181" s="528" t="s">
        <v>462</v>
      </c>
      <c r="E181" s="764"/>
      <c r="F181" s="764"/>
      <c r="G181" s="764"/>
      <c r="H181" s="764">
        <v>27000</v>
      </c>
      <c r="I181" s="195"/>
    </row>
    <row r="182" spans="1:9" s="194" customFormat="1" ht="17.25" customHeight="1">
      <c r="A182" s="205"/>
      <c r="B182" s="169"/>
      <c r="C182" s="82">
        <v>4120</v>
      </c>
      <c r="D182" s="528" t="s">
        <v>463</v>
      </c>
      <c r="E182" s="764"/>
      <c r="F182" s="764"/>
      <c r="G182" s="764"/>
      <c r="H182" s="764">
        <v>4100</v>
      </c>
      <c r="I182" s="195"/>
    </row>
    <row r="183" spans="1:9" s="194" customFormat="1" ht="17.25" customHeight="1">
      <c r="A183" s="205"/>
      <c r="B183" s="169"/>
      <c r="C183" s="82">
        <v>4170</v>
      </c>
      <c r="D183" s="528" t="s">
        <v>395</v>
      </c>
      <c r="E183" s="764"/>
      <c r="F183" s="764"/>
      <c r="G183" s="764"/>
      <c r="H183" s="764">
        <f>126000+50120</f>
        <v>176120</v>
      </c>
      <c r="I183" s="195"/>
    </row>
    <row r="184" spans="1:9" s="194" customFormat="1" ht="19.5" customHeight="1">
      <c r="A184" s="205"/>
      <c r="B184" s="169"/>
      <c r="C184" s="82">
        <v>4210</v>
      </c>
      <c r="D184" s="528" t="s">
        <v>383</v>
      </c>
      <c r="E184" s="764"/>
      <c r="F184" s="764"/>
      <c r="G184" s="764"/>
      <c r="H184" s="764">
        <v>39000</v>
      </c>
      <c r="I184" s="195"/>
    </row>
    <row r="185" spans="1:9" s="194" customFormat="1" ht="19.5" customHeight="1">
      <c r="A185" s="205"/>
      <c r="B185" s="169"/>
      <c r="C185" s="82">
        <v>4300</v>
      </c>
      <c r="D185" s="1125" t="s">
        <v>384</v>
      </c>
      <c r="E185" s="764"/>
      <c r="F185" s="764"/>
      <c r="G185" s="764"/>
      <c r="H185" s="764">
        <f>116800+28852</f>
        <v>145652</v>
      </c>
      <c r="I185" s="195"/>
    </row>
    <row r="186" spans="1:9" s="194" customFormat="1" ht="18" customHeight="1">
      <c r="A186" s="205"/>
      <c r="B186" s="169"/>
      <c r="C186" s="81">
        <v>4410</v>
      </c>
      <c r="D186" s="938" t="s">
        <v>468</v>
      </c>
      <c r="E186" s="1540"/>
      <c r="F186" s="1540"/>
      <c r="G186" s="1540"/>
      <c r="H186" s="1540">
        <f>4296+1670</f>
        <v>5966</v>
      </c>
      <c r="I186" s="195"/>
    </row>
    <row r="187" spans="1:9" s="194" customFormat="1" ht="17.25" customHeight="1">
      <c r="A187" s="1541"/>
      <c r="B187" s="1542"/>
      <c r="C187" s="1543"/>
      <c r="D187" s="1544"/>
      <c r="E187" s="1545"/>
      <c r="F187" s="1545"/>
      <c r="G187" s="1545"/>
      <c r="H187" s="1545"/>
      <c r="I187" s="195"/>
    </row>
    <row r="188" spans="1:9" ht="18" customHeight="1">
      <c r="A188" s="66"/>
      <c r="B188" s="67"/>
      <c r="C188" s="68"/>
      <c r="D188" s="64" t="s">
        <v>524</v>
      </c>
      <c r="E188" s="64"/>
      <c r="F188" s="217"/>
      <c r="G188" s="65">
        <f>G189+G342</f>
        <v>5111496</v>
      </c>
      <c r="H188" s="65">
        <f>H189+H342</f>
        <v>1045758</v>
      </c>
      <c r="I188" s="47"/>
    </row>
    <row r="189" spans="1:9" ht="18.75" customHeight="1" thickBot="1">
      <c r="A189" s="69"/>
      <c r="B189" s="69"/>
      <c r="C189" s="69"/>
      <c r="D189" s="70" t="s">
        <v>382</v>
      </c>
      <c r="E189" s="70"/>
      <c r="F189" s="71"/>
      <c r="G189" s="71">
        <f>G298+G190</f>
        <v>5095950</v>
      </c>
      <c r="H189" s="71">
        <f>H298+H190</f>
        <v>1030212</v>
      </c>
      <c r="I189" s="47"/>
    </row>
    <row r="190" spans="1:9" s="22" customFormat="1" ht="18.75" customHeight="1" thickTop="1">
      <c r="A190" s="72">
        <v>801</v>
      </c>
      <c r="B190" s="89"/>
      <c r="C190" s="73"/>
      <c r="D190" s="92" t="s">
        <v>367</v>
      </c>
      <c r="E190" s="92"/>
      <c r="F190" s="87"/>
      <c r="G190" s="87">
        <f>G191+G203+G208+G215+G237+G245+G252+G255+G262+G267+G274+G281+G288+G291</f>
        <v>4443396</v>
      </c>
      <c r="H190" s="87">
        <f>H191+H203+H208+H215+H237+H245+H252+H255+H262+H267+H274+H281+H288+H291</f>
        <v>59937</v>
      </c>
      <c r="I190" s="47"/>
    </row>
    <row r="191" spans="1:9" s="22" customFormat="1" ht="18.75" customHeight="1">
      <c r="A191" s="76"/>
      <c r="B191" s="77">
        <v>80101</v>
      </c>
      <c r="C191" s="605"/>
      <c r="D191" s="77" t="s">
        <v>706</v>
      </c>
      <c r="E191" s="77"/>
      <c r="F191" s="79"/>
      <c r="G191" s="79">
        <f>G192+G194+G198+G196+G200</f>
        <v>772863</v>
      </c>
      <c r="H191" s="79">
        <f>H192+H194+H198+H196+H200</f>
        <v>1462</v>
      </c>
      <c r="I191" s="47"/>
    </row>
    <row r="192" spans="1:9" s="22" customFormat="1" ht="18.75" customHeight="1">
      <c r="A192" s="80"/>
      <c r="B192" s="66"/>
      <c r="C192" s="66"/>
      <c r="D192" s="535" t="s">
        <v>57</v>
      </c>
      <c r="E192" s="535"/>
      <c r="F192" s="550"/>
      <c r="G192" s="550">
        <f>G193</f>
        <v>555440</v>
      </c>
      <c r="H192" s="550"/>
      <c r="I192" s="47"/>
    </row>
    <row r="193" spans="1:9" s="22" customFormat="1" ht="18.75" customHeight="1">
      <c r="A193" s="204"/>
      <c r="B193" s="81"/>
      <c r="C193" s="140">
        <v>4010</v>
      </c>
      <c r="D193" s="83" t="s">
        <v>335</v>
      </c>
      <c r="E193" s="83"/>
      <c r="F193" s="84"/>
      <c r="G193" s="84">
        <v>555440</v>
      </c>
      <c r="H193" s="84"/>
      <c r="I193" s="47"/>
    </row>
    <row r="194" spans="1:9" s="22" customFormat="1" ht="18.75" customHeight="1">
      <c r="A194" s="80"/>
      <c r="B194" s="66"/>
      <c r="C194" s="66"/>
      <c r="D194" s="535" t="s">
        <v>387</v>
      </c>
      <c r="E194" s="535"/>
      <c r="F194" s="550"/>
      <c r="G194" s="550">
        <f>G195</f>
        <v>116393</v>
      </c>
      <c r="H194" s="550"/>
      <c r="I194" s="47"/>
    </row>
    <row r="195" spans="1:9" s="22" customFormat="1" ht="18.75" customHeight="1">
      <c r="A195" s="204"/>
      <c r="B195" s="81"/>
      <c r="C195" s="140">
        <v>4260</v>
      </c>
      <c r="D195" s="83" t="s">
        <v>464</v>
      </c>
      <c r="E195" s="83"/>
      <c r="F195" s="84"/>
      <c r="G195" s="84">
        <v>116393</v>
      </c>
      <c r="H195" s="84"/>
      <c r="I195" s="47"/>
    </row>
    <row r="196" spans="1:9" s="22" customFormat="1" ht="18.75" customHeight="1">
      <c r="A196" s="80"/>
      <c r="B196" s="66"/>
      <c r="C196" s="66"/>
      <c r="D196" s="537" t="s">
        <v>413</v>
      </c>
      <c r="E196" s="535"/>
      <c r="F196" s="550"/>
      <c r="G196" s="550">
        <f>G197</f>
        <v>99400</v>
      </c>
      <c r="H196" s="550"/>
      <c r="I196" s="47"/>
    </row>
    <row r="197" spans="1:9" s="22" customFormat="1" ht="18.75" customHeight="1">
      <c r="A197" s="204"/>
      <c r="B197" s="81"/>
      <c r="C197" s="317">
        <v>4110</v>
      </c>
      <c r="D197" s="319" t="s">
        <v>462</v>
      </c>
      <c r="E197" s="83"/>
      <c r="F197" s="84"/>
      <c r="G197" s="84">
        <v>99400</v>
      </c>
      <c r="H197" s="84"/>
      <c r="I197" s="47"/>
    </row>
    <row r="198" spans="1:9" s="22" customFormat="1" ht="18.75" customHeight="1">
      <c r="A198" s="80"/>
      <c r="B198" s="66"/>
      <c r="C198" s="66"/>
      <c r="D198" s="537" t="s">
        <v>55</v>
      </c>
      <c r="E198" s="535"/>
      <c r="F198" s="550"/>
      <c r="G198" s="550">
        <f>G199</f>
        <v>1630</v>
      </c>
      <c r="H198" s="550"/>
      <c r="I198" s="47"/>
    </row>
    <row r="199" spans="1:9" s="22" customFormat="1" ht="18.75" customHeight="1">
      <c r="A199" s="204"/>
      <c r="B199" s="81"/>
      <c r="C199" s="317">
        <v>4110</v>
      </c>
      <c r="D199" s="319" t="s">
        <v>462</v>
      </c>
      <c r="E199" s="83"/>
      <c r="F199" s="84"/>
      <c r="G199" s="84">
        <v>1630</v>
      </c>
      <c r="H199" s="84"/>
      <c r="I199" s="47"/>
    </row>
    <row r="200" spans="1:12" s="561" customFormat="1" ht="18" customHeight="1">
      <c r="A200" s="204"/>
      <c r="B200" s="81"/>
      <c r="C200" s="529"/>
      <c r="D200" s="568" t="s">
        <v>122</v>
      </c>
      <c r="E200" s="563"/>
      <c r="F200" s="564"/>
      <c r="G200" s="774"/>
      <c r="H200" s="774">
        <f>H202</f>
        <v>1462</v>
      </c>
      <c r="I200" s="157"/>
      <c r="J200" s="157"/>
      <c r="L200" s="562"/>
    </row>
    <row r="201" spans="1:12" s="561" customFormat="1" ht="25.5">
      <c r="A201" s="204"/>
      <c r="B201" s="81"/>
      <c r="C201" s="81"/>
      <c r="D201" s="919" t="s">
        <v>123</v>
      </c>
      <c r="E201" s="771"/>
      <c r="F201" s="620"/>
      <c r="G201" s="620"/>
      <c r="H201" s="620">
        <v>1462</v>
      </c>
      <c r="I201" s="157"/>
      <c r="J201" s="157"/>
      <c r="L201" s="562"/>
    </row>
    <row r="202" spans="1:12" s="561" customFormat="1" ht="18" customHeight="1">
      <c r="A202" s="204"/>
      <c r="B202" s="82"/>
      <c r="C202" s="82">
        <v>2540</v>
      </c>
      <c r="D202" s="528" t="s">
        <v>424</v>
      </c>
      <c r="E202" s="917"/>
      <c r="F202" s="918"/>
      <c r="G202" s="918"/>
      <c r="H202" s="918">
        <f>H201</f>
        <v>1462</v>
      </c>
      <c r="I202" s="157"/>
      <c r="J202" s="157"/>
      <c r="L202" s="562"/>
    </row>
    <row r="203" spans="1:9" s="22" customFormat="1" ht="18" customHeight="1">
      <c r="A203" s="76"/>
      <c r="B203" s="78">
        <v>80102</v>
      </c>
      <c r="C203" s="78"/>
      <c r="D203" s="78" t="s">
        <v>809</v>
      </c>
      <c r="E203" s="78"/>
      <c r="F203" s="523"/>
      <c r="G203" s="523">
        <f>G204+G206</f>
        <v>239837</v>
      </c>
      <c r="H203" s="523"/>
      <c r="I203" s="47"/>
    </row>
    <row r="204" spans="1:9" s="22" customFormat="1" ht="18" customHeight="1">
      <c r="A204" s="80"/>
      <c r="B204" s="66"/>
      <c r="C204" s="66"/>
      <c r="D204" s="535" t="s">
        <v>57</v>
      </c>
      <c r="E204" s="535"/>
      <c r="F204" s="550"/>
      <c r="G204" s="550">
        <f>G205</f>
        <v>200000</v>
      </c>
      <c r="H204" s="550"/>
      <c r="I204" s="47"/>
    </row>
    <row r="205" spans="1:9" s="22" customFormat="1" ht="18" customHeight="1">
      <c r="A205" s="204"/>
      <c r="B205" s="81"/>
      <c r="C205" s="140">
        <v>4010</v>
      </c>
      <c r="D205" s="83" t="s">
        <v>335</v>
      </c>
      <c r="E205" s="83"/>
      <c r="F205" s="84"/>
      <c r="G205" s="84">
        <v>200000</v>
      </c>
      <c r="H205" s="84"/>
      <c r="I205" s="47"/>
    </row>
    <row r="206" spans="1:9" s="22" customFormat="1" ht="18" customHeight="1">
      <c r="A206" s="80"/>
      <c r="B206" s="66"/>
      <c r="C206" s="66"/>
      <c r="D206" s="535" t="s">
        <v>413</v>
      </c>
      <c r="E206" s="535"/>
      <c r="F206" s="550"/>
      <c r="G206" s="550">
        <f>G207</f>
        <v>39837</v>
      </c>
      <c r="H206" s="550"/>
      <c r="I206" s="47"/>
    </row>
    <row r="207" spans="1:9" s="22" customFormat="1" ht="18" customHeight="1">
      <c r="A207" s="204"/>
      <c r="B207" s="82"/>
      <c r="C207" s="140">
        <v>4110</v>
      </c>
      <c r="D207" s="83" t="s">
        <v>462</v>
      </c>
      <c r="E207" s="83"/>
      <c r="F207" s="84"/>
      <c r="G207" s="84">
        <v>39837</v>
      </c>
      <c r="H207" s="84"/>
      <c r="I207" s="47"/>
    </row>
    <row r="208" spans="1:9" s="22" customFormat="1" ht="18" customHeight="1">
      <c r="A208" s="76"/>
      <c r="B208" s="78">
        <v>80103</v>
      </c>
      <c r="C208" s="78"/>
      <c r="D208" s="78" t="s">
        <v>808</v>
      </c>
      <c r="E208" s="78"/>
      <c r="F208" s="523"/>
      <c r="G208" s="523">
        <f>G209+G213+G211</f>
        <v>25590</v>
      </c>
      <c r="H208" s="523"/>
      <c r="I208" s="47"/>
    </row>
    <row r="209" spans="1:9" s="22" customFormat="1" ht="18" customHeight="1">
      <c r="A209" s="80"/>
      <c r="B209" s="66"/>
      <c r="C209" s="66"/>
      <c r="D209" s="535" t="s">
        <v>57</v>
      </c>
      <c r="E209" s="535"/>
      <c r="F209" s="550"/>
      <c r="G209" s="550">
        <f>G210</f>
        <v>17040</v>
      </c>
      <c r="H209" s="550"/>
      <c r="I209" s="47"/>
    </row>
    <row r="210" spans="1:9" s="22" customFormat="1" ht="18" customHeight="1">
      <c r="A210" s="204"/>
      <c r="B210" s="81"/>
      <c r="C210" s="140">
        <v>4010</v>
      </c>
      <c r="D210" s="83" t="s">
        <v>335</v>
      </c>
      <c r="E210" s="83"/>
      <c r="F210" s="84"/>
      <c r="G210" s="84">
        <v>17040</v>
      </c>
      <c r="H210" s="84"/>
      <c r="I210" s="47"/>
    </row>
    <row r="211" spans="1:9" s="22" customFormat="1" ht="18" customHeight="1">
      <c r="A211" s="80"/>
      <c r="B211" s="66"/>
      <c r="C211" s="66"/>
      <c r="D211" s="568" t="s">
        <v>387</v>
      </c>
      <c r="E211" s="568"/>
      <c r="F211" s="619"/>
      <c r="G211" s="619">
        <f>G212</f>
        <v>2340</v>
      </c>
      <c r="H211" s="619"/>
      <c r="I211" s="47"/>
    </row>
    <row r="212" spans="1:9" s="22" customFormat="1" ht="18" customHeight="1">
      <c r="A212" s="204"/>
      <c r="B212" s="81"/>
      <c r="C212" s="140">
        <v>4260</v>
      </c>
      <c r="D212" s="83" t="s">
        <v>464</v>
      </c>
      <c r="E212" s="83"/>
      <c r="F212" s="84"/>
      <c r="G212" s="84">
        <v>2340</v>
      </c>
      <c r="H212" s="84"/>
      <c r="I212" s="47"/>
    </row>
    <row r="213" spans="1:9" s="22" customFormat="1" ht="18" customHeight="1">
      <c r="A213" s="80"/>
      <c r="B213" s="66"/>
      <c r="C213" s="66"/>
      <c r="D213" s="568" t="s">
        <v>413</v>
      </c>
      <c r="E213" s="568"/>
      <c r="F213" s="619"/>
      <c r="G213" s="619">
        <f>G214</f>
        <v>6210</v>
      </c>
      <c r="H213" s="619"/>
      <c r="I213" s="47"/>
    </row>
    <row r="214" spans="1:9" s="22" customFormat="1" ht="18" customHeight="1">
      <c r="A214" s="204"/>
      <c r="B214" s="81"/>
      <c r="C214" s="140">
        <v>4110</v>
      </c>
      <c r="D214" s="83" t="s">
        <v>462</v>
      </c>
      <c r="E214" s="83"/>
      <c r="F214" s="84"/>
      <c r="G214" s="84">
        <v>6210</v>
      </c>
      <c r="H214" s="84"/>
      <c r="I214" s="47"/>
    </row>
    <row r="215" spans="1:9" s="22" customFormat="1" ht="18" customHeight="1">
      <c r="A215" s="76"/>
      <c r="B215" s="77">
        <v>80104</v>
      </c>
      <c r="C215" s="77"/>
      <c r="D215" s="77" t="s">
        <v>415</v>
      </c>
      <c r="E215" s="77"/>
      <c r="F215" s="79"/>
      <c r="G215" s="79">
        <f>G216+G218+G222</f>
        <v>662671</v>
      </c>
      <c r="H215" s="79">
        <f>H216+H218+H222</f>
        <v>54475</v>
      </c>
      <c r="I215" s="47"/>
    </row>
    <row r="216" spans="1:9" s="22" customFormat="1" ht="18" customHeight="1">
      <c r="A216" s="80"/>
      <c r="B216" s="66"/>
      <c r="C216" s="66"/>
      <c r="D216" s="535" t="s">
        <v>601</v>
      </c>
      <c r="E216" s="535"/>
      <c r="F216" s="550"/>
      <c r="G216" s="550">
        <f>SUM(G217)</f>
        <v>545411</v>
      </c>
      <c r="H216" s="550"/>
      <c r="I216" s="47"/>
    </row>
    <row r="217" spans="1:9" s="194" customFormat="1" ht="18" customHeight="1">
      <c r="A217" s="227"/>
      <c r="B217" s="320"/>
      <c r="C217" s="320">
        <v>4010</v>
      </c>
      <c r="D217" s="320" t="s">
        <v>335</v>
      </c>
      <c r="E217" s="320"/>
      <c r="F217" s="322"/>
      <c r="G217" s="322">
        <v>545411</v>
      </c>
      <c r="H217" s="322"/>
      <c r="I217" s="195"/>
    </row>
    <row r="218" spans="1:9" s="22" customFormat="1" ht="18" customHeight="1">
      <c r="A218" s="80"/>
      <c r="B218" s="66"/>
      <c r="C218" s="66"/>
      <c r="D218" s="568" t="s">
        <v>387</v>
      </c>
      <c r="E218" s="568"/>
      <c r="F218" s="619"/>
      <c r="G218" s="619">
        <f>SUM(G219:G221)</f>
        <v>62785</v>
      </c>
      <c r="H218" s="619"/>
      <c r="I218" s="47"/>
    </row>
    <row r="219" spans="1:9" s="194" customFormat="1" ht="18" customHeight="1">
      <c r="A219" s="205"/>
      <c r="B219" s="169"/>
      <c r="C219" s="320">
        <v>4210</v>
      </c>
      <c r="D219" s="320" t="s">
        <v>383</v>
      </c>
      <c r="E219" s="320"/>
      <c r="F219" s="322"/>
      <c r="G219" s="322">
        <v>21661</v>
      </c>
      <c r="H219" s="322"/>
      <c r="I219" s="195"/>
    </row>
    <row r="220" spans="1:9" s="22" customFormat="1" ht="18" customHeight="1">
      <c r="A220" s="204"/>
      <c r="B220" s="81"/>
      <c r="C220" s="140">
        <v>4260</v>
      </c>
      <c r="D220" s="83" t="s">
        <v>464</v>
      </c>
      <c r="E220" s="83"/>
      <c r="F220" s="84"/>
      <c r="G220" s="84">
        <v>500</v>
      </c>
      <c r="H220" s="84"/>
      <c r="I220" s="47"/>
    </row>
    <row r="221" spans="1:9" s="22" customFormat="1" ht="18" customHeight="1">
      <c r="A221" s="204"/>
      <c r="B221" s="81"/>
      <c r="C221" s="140">
        <v>4300</v>
      </c>
      <c r="D221" s="83" t="s">
        <v>384</v>
      </c>
      <c r="E221" s="83"/>
      <c r="F221" s="84"/>
      <c r="G221" s="84">
        <v>40624</v>
      </c>
      <c r="H221" s="84"/>
      <c r="I221" s="47"/>
    </row>
    <row r="222" spans="1:12" s="561" customFormat="1" ht="18" customHeight="1">
      <c r="A222" s="204"/>
      <c r="B222" s="81"/>
      <c r="C222" s="529"/>
      <c r="D222" s="568" t="s">
        <v>151</v>
      </c>
      <c r="E222" s="563"/>
      <c r="F222" s="564"/>
      <c r="G222" s="774">
        <f>G236</f>
        <v>54475</v>
      </c>
      <c r="H222" s="774">
        <f>H236</f>
        <v>54475</v>
      </c>
      <c r="I222" s="157"/>
      <c r="J222" s="157"/>
      <c r="L222" s="562"/>
    </row>
    <row r="223" spans="1:12" s="561" customFormat="1" ht="27.75" customHeight="1">
      <c r="A223" s="204"/>
      <c r="B223" s="81"/>
      <c r="C223" s="81"/>
      <c r="D223" s="920" t="s">
        <v>564</v>
      </c>
      <c r="E223" s="771"/>
      <c r="F223" s="620"/>
      <c r="G223" s="620"/>
      <c r="H223" s="620">
        <v>5834</v>
      </c>
      <c r="I223" s="157"/>
      <c r="J223" s="157"/>
      <c r="L223" s="562"/>
    </row>
    <row r="224" spans="1:12" s="561" customFormat="1" ht="27.75" customHeight="1">
      <c r="A224" s="204"/>
      <c r="B224" s="81"/>
      <c r="C224" s="81"/>
      <c r="D224" s="920" t="s">
        <v>565</v>
      </c>
      <c r="E224" s="915"/>
      <c r="F224" s="916"/>
      <c r="G224" s="916">
        <v>20092</v>
      </c>
      <c r="H224" s="916"/>
      <c r="I224" s="157"/>
      <c r="J224" s="157"/>
      <c r="L224" s="562"/>
    </row>
    <row r="225" spans="1:12" s="561" customFormat="1" ht="27.75" customHeight="1">
      <c r="A225" s="204"/>
      <c r="B225" s="81"/>
      <c r="C225" s="81"/>
      <c r="D225" s="921" t="s">
        <v>566</v>
      </c>
      <c r="E225" s="915"/>
      <c r="F225" s="916"/>
      <c r="G225" s="916">
        <v>13047</v>
      </c>
      <c r="H225" s="916"/>
      <c r="I225" s="157"/>
      <c r="J225" s="157"/>
      <c r="L225" s="562"/>
    </row>
    <row r="226" spans="1:12" s="561" customFormat="1" ht="27.75" customHeight="1">
      <c r="A226" s="204"/>
      <c r="B226" s="81"/>
      <c r="C226" s="81"/>
      <c r="D226" s="922" t="s">
        <v>296</v>
      </c>
      <c r="E226" s="915"/>
      <c r="F226" s="916"/>
      <c r="G226" s="916">
        <v>20000</v>
      </c>
      <c r="H226" s="916"/>
      <c r="I226" s="157"/>
      <c r="J226" s="157"/>
      <c r="L226" s="562"/>
    </row>
    <row r="227" spans="1:12" s="561" customFormat="1" ht="27.75" customHeight="1">
      <c r="A227" s="204"/>
      <c r="B227" s="81"/>
      <c r="C227" s="81"/>
      <c r="D227" s="1316" t="s">
        <v>297</v>
      </c>
      <c r="E227" s="563"/>
      <c r="F227" s="564"/>
      <c r="G227" s="564"/>
      <c r="H227" s="564">
        <v>9664</v>
      </c>
      <c r="I227" s="157"/>
      <c r="J227" s="157"/>
      <c r="L227" s="562"/>
    </row>
    <row r="228" spans="1:12" s="561" customFormat="1" ht="38.25">
      <c r="A228" s="204"/>
      <c r="B228" s="81"/>
      <c r="C228" s="81"/>
      <c r="D228" s="1317" t="s">
        <v>298</v>
      </c>
      <c r="E228" s="772"/>
      <c r="F228" s="773"/>
      <c r="G228" s="773"/>
      <c r="H228" s="773">
        <v>1390</v>
      </c>
      <c r="I228" s="157"/>
      <c r="J228" s="157"/>
      <c r="L228" s="562"/>
    </row>
    <row r="229" spans="1:12" s="561" customFormat="1" ht="19.5" customHeight="1">
      <c r="A229" s="204"/>
      <c r="B229" s="81"/>
      <c r="C229" s="81"/>
      <c r="D229" s="920" t="s">
        <v>299</v>
      </c>
      <c r="E229" s="915"/>
      <c r="F229" s="916"/>
      <c r="G229" s="916">
        <v>1336</v>
      </c>
      <c r="H229" s="916"/>
      <c r="I229" s="157"/>
      <c r="J229" s="157"/>
      <c r="L229" s="562"/>
    </row>
    <row r="230" spans="1:12" s="561" customFormat="1" ht="39.75" customHeight="1">
      <c r="A230" s="204"/>
      <c r="B230" s="81"/>
      <c r="C230" s="81"/>
      <c r="D230" s="920" t="s">
        <v>567</v>
      </c>
      <c r="E230" s="915"/>
      <c r="F230" s="916"/>
      <c r="G230" s="916"/>
      <c r="H230" s="916">
        <v>6415</v>
      </c>
      <c r="I230" s="157"/>
      <c r="J230" s="157"/>
      <c r="L230" s="562"/>
    </row>
    <row r="231" spans="1:12" s="561" customFormat="1" ht="25.5">
      <c r="A231" s="204"/>
      <c r="B231" s="81"/>
      <c r="C231" s="81"/>
      <c r="D231" s="920" t="s">
        <v>301</v>
      </c>
      <c r="E231" s="915"/>
      <c r="F231" s="916"/>
      <c r="G231" s="916"/>
      <c r="H231" s="916">
        <v>6012</v>
      </c>
      <c r="I231" s="157"/>
      <c r="J231" s="157"/>
      <c r="L231" s="562"/>
    </row>
    <row r="232" spans="1:12" s="561" customFormat="1" ht="27.75" customHeight="1">
      <c r="A232" s="204"/>
      <c r="B232" s="81"/>
      <c r="C232" s="81"/>
      <c r="D232" s="920" t="s">
        <v>511</v>
      </c>
      <c r="E232" s="915"/>
      <c r="F232" s="916"/>
      <c r="G232" s="916"/>
      <c r="H232" s="916">
        <v>6789</v>
      </c>
      <c r="I232" s="157"/>
      <c r="J232" s="157"/>
      <c r="L232" s="562"/>
    </row>
    <row r="233" spans="1:12" s="561" customFormat="1" ht="27.75" customHeight="1">
      <c r="A233" s="204"/>
      <c r="B233" s="81"/>
      <c r="C233" s="81"/>
      <c r="D233" s="1317" t="s">
        <v>302</v>
      </c>
      <c r="E233" s="915"/>
      <c r="F233" s="916"/>
      <c r="G233" s="916"/>
      <c r="H233" s="916">
        <v>5031</v>
      </c>
      <c r="I233" s="157"/>
      <c r="J233" s="157"/>
      <c r="L233" s="562"/>
    </row>
    <row r="234" spans="1:12" s="561" customFormat="1" ht="27.75" customHeight="1">
      <c r="A234" s="204"/>
      <c r="B234" s="81"/>
      <c r="C234" s="81"/>
      <c r="D234" s="920" t="s">
        <v>303</v>
      </c>
      <c r="E234" s="915"/>
      <c r="F234" s="916"/>
      <c r="G234" s="916"/>
      <c r="H234" s="916">
        <v>10060</v>
      </c>
      <c r="I234" s="157"/>
      <c r="J234" s="157"/>
      <c r="L234" s="562"/>
    </row>
    <row r="235" spans="1:12" s="561" customFormat="1" ht="38.25">
      <c r="A235" s="204"/>
      <c r="B235" s="81"/>
      <c r="C235" s="81"/>
      <c r="D235" s="1317" t="s">
        <v>510</v>
      </c>
      <c r="E235" s="915"/>
      <c r="F235" s="916"/>
      <c r="G235" s="916"/>
      <c r="H235" s="916">
        <v>3280</v>
      </c>
      <c r="I235" s="157"/>
      <c r="J235" s="157"/>
      <c r="L235" s="562"/>
    </row>
    <row r="236" spans="1:12" s="561" customFormat="1" ht="18" customHeight="1">
      <c r="A236" s="204"/>
      <c r="B236" s="82"/>
      <c r="C236" s="82">
        <v>2540</v>
      </c>
      <c r="D236" s="528" t="s">
        <v>424</v>
      </c>
      <c r="E236" s="917"/>
      <c r="F236" s="918"/>
      <c r="G236" s="918">
        <f>SUM(G223:G235)</f>
        <v>54475</v>
      </c>
      <c r="H236" s="918">
        <f>SUM(H223:H235)</f>
        <v>54475</v>
      </c>
      <c r="I236" s="157"/>
      <c r="J236" s="157"/>
      <c r="L236" s="562"/>
    </row>
    <row r="237" spans="1:12" s="95" customFormat="1" ht="18" customHeight="1">
      <c r="A237" s="76"/>
      <c r="B237" s="78">
        <v>80110</v>
      </c>
      <c r="C237" s="78"/>
      <c r="D237" s="78" t="s">
        <v>707</v>
      </c>
      <c r="E237" s="78"/>
      <c r="F237" s="523"/>
      <c r="G237" s="523">
        <f>G238+G241+G243</f>
        <v>1758048</v>
      </c>
      <c r="H237" s="523"/>
      <c r="I237" s="138"/>
      <c r="J237" s="138"/>
      <c r="L237" s="94"/>
    </row>
    <row r="238" spans="1:9" s="22" customFormat="1" ht="18" customHeight="1">
      <c r="A238" s="80"/>
      <c r="B238" s="66"/>
      <c r="C238" s="66"/>
      <c r="D238" s="535" t="s">
        <v>57</v>
      </c>
      <c r="E238" s="535"/>
      <c r="F238" s="550"/>
      <c r="G238" s="550">
        <f>G239</f>
        <v>1400000</v>
      </c>
      <c r="H238" s="550"/>
      <c r="I238" s="47"/>
    </row>
    <row r="239" spans="1:9" s="22" customFormat="1" ht="18" customHeight="1">
      <c r="A239" s="204"/>
      <c r="B239" s="81"/>
      <c r="C239" s="109">
        <v>4010</v>
      </c>
      <c r="D239" s="972" t="s">
        <v>335</v>
      </c>
      <c r="E239" s="972"/>
      <c r="F239" s="1546"/>
      <c r="G239" s="1546">
        <v>1400000</v>
      </c>
      <c r="H239" s="1546"/>
      <c r="I239" s="47"/>
    </row>
    <row r="240" spans="1:9" s="22" customFormat="1" ht="18" customHeight="1">
      <c r="A240" s="1547"/>
      <c r="B240" s="1543"/>
      <c r="C240" s="1548"/>
      <c r="D240" s="1549"/>
      <c r="E240" s="1549"/>
      <c r="F240" s="1550"/>
      <c r="G240" s="1550"/>
      <c r="H240" s="1550"/>
      <c r="I240" s="47"/>
    </row>
    <row r="241" spans="1:9" s="22" customFormat="1" ht="18" customHeight="1">
      <c r="A241" s="80"/>
      <c r="B241" s="66"/>
      <c r="C241" s="66"/>
      <c r="D241" s="568" t="s">
        <v>387</v>
      </c>
      <c r="E241" s="568"/>
      <c r="F241" s="619"/>
      <c r="G241" s="619">
        <f>G242</f>
        <v>106300</v>
      </c>
      <c r="H241" s="619"/>
      <c r="I241" s="47"/>
    </row>
    <row r="242" spans="1:9" s="22" customFormat="1" ht="18" customHeight="1">
      <c r="A242" s="204"/>
      <c r="B242" s="81"/>
      <c r="C242" s="140">
        <v>4260</v>
      </c>
      <c r="D242" s="83" t="s">
        <v>464</v>
      </c>
      <c r="E242" s="83"/>
      <c r="F242" s="84"/>
      <c r="G242" s="84">
        <v>106300</v>
      </c>
      <c r="H242" s="84"/>
      <c r="I242" s="47"/>
    </row>
    <row r="243" spans="1:9" s="22" customFormat="1" ht="18" customHeight="1">
      <c r="A243" s="80"/>
      <c r="B243" s="66"/>
      <c r="C243" s="66"/>
      <c r="D243" s="568" t="s">
        <v>413</v>
      </c>
      <c r="E243" s="568"/>
      <c r="F243" s="619"/>
      <c r="G243" s="619">
        <f>G244</f>
        <v>251748</v>
      </c>
      <c r="H243" s="619"/>
      <c r="I243" s="47"/>
    </row>
    <row r="244" spans="1:9" s="22" customFormat="1" ht="18" customHeight="1">
      <c r="A244" s="204"/>
      <c r="B244" s="82"/>
      <c r="C244" s="140">
        <v>4110</v>
      </c>
      <c r="D244" s="83" t="s">
        <v>462</v>
      </c>
      <c r="E244" s="83"/>
      <c r="F244" s="84"/>
      <c r="G244" s="84">
        <v>251748</v>
      </c>
      <c r="H244" s="84"/>
      <c r="I244" s="47"/>
    </row>
    <row r="245" spans="1:9" s="22" customFormat="1" ht="18" customHeight="1">
      <c r="A245" s="76"/>
      <c r="B245" s="78">
        <v>80111</v>
      </c>
      <c r="C245" s="78"/>
      <c r="D245" s="78" t="s">
        <v>833</v>
      </c>
      <c r="E245" s="78"/>
      <c r="F245" s="523"/>
      <c r="G245" s="523">
        <f>G246+G250+G248</f>
        <v>44000</v>
      </c>
      <c r="H245" s="523"/>
      <c r="I245" s="47"/>
    </row>
    <row r="246" spans="1:9" s="22" customFormat="1" ht="18" customHeight="1">
      <c r="A246" s="80"/>
      <c r="B246" s="66"/>
      <c r="C246" s="66"/>
      <c r="D246" s="535" t="s">
        <v>57</v>
      </c>
      <c r="E246" s="535"/>
      <c r="F246" s="550"/>
      <c r="G246" s="550">
        <f>G247</f>
        <v>35000</v>
      </c>
      <c r="H246" s="550"/>
      <c r="I246" s="47"/>
    </row>
    <row r="247" spans="1:9" s="22" customFormat="1" ht="18" customHeight="1">
      <c r="A247" s="204"/>
      <c r="B247" s="81"/>
      <c r="C247" s="140">
        <v>4010</v>
      </c>
      <c r="D247" s="83" t="s">
        <v>335</v>
      </c>
      <c r="E247" s="83"/>
      <c r="F247" s="84"/>
      <c r="G247" s="84">
        <v>35000</v>
      </c>
      <c r="H247" s="84"/>
      <c r="I247" s="47"/>
    </row>
    <row r="248" spans="1:9" s="22" customFormat="1" ht="18" customHeight="1">
      <c r="A248" s="80"/>
      <c r="B248" s="66"/>
      <c r="C248" s="66"/>
      <c r="D248" s="568" t="s">
        <v>387</v>
      </c>
      <c r="E248" s="568"/>
      <c r="F248" s="619"/>
      <c r="G248" s="619">
        <f>G249</f>
        <v>2000</v>
      </c>
      <c r="H248" s="619"/>
      <c r="I248" s="47"/>
    </row>
    <row r="249" spans="1:9" s="22" customFormat="1" ht="18" customHeight="1">
      <c r="A249" s="204"/>
      <c r="B249" s="81"/>
      <c r="C249" s="140">
        <v>4260</v>
      </c>
      <c r="D249" s="83" t="s">
        <v>464</v>
      </c>
      <c r="E249" s="83"/>
      <c r="F249" s="84"/>
      <c r="G249" s="84">
        <v>2000</v>
      </c>
      <c r="H249" s="84"/>
      <c r="I249" s="47"/>
    </row>
    <row r="250" spans="1:9" s="22" customFormat="1" ht="18" customHeight="1">
      <c r="A250" s="80"/>
      <c r="B250" s="66"/>
      <c r="C250" s="66"/>
      <c r="D250" s="568" t="s">
        <v>413</v>
      </c>
      <c r="E250" s="568"/>
      <c r="F250" s="619"/>
      <c r="G250" s="619">
        <f>G251</f>
        <v>7000</v>
      </c>
      <c r="H250" s="619"/>
      <c r="I250" s="47"/>
    </row>
    <row r="251" spans="1:9" s="22" customFormat="1" ht="18" customHeight="1">
      <c r="A251" s="204"/>
      <c r="B251" s="81"/>
      <c r="C251" s="140">
        <v>4110</v>
      </c>
      <c r="D251" s="83" t="s">
        <v>462</v>
      </c>
      <c r="E251" s="83"/>
      <c r="F251" s="84"/>
      <c r="G251" s="84">
        <v>7000</v>
      </c>
      <c r="H251" s="84"/>
      <c r="I251" s="47"/>
    </row>
    <row r="252" spans="1:12" s="95" customFormat="1" ht="18" customHeight="1">
      <c r="A252" s="76"/>
      <c r="B252" s="77">
        <v>80113</v>
      </c>
      <c r="C252" s="77"/>
      <c r="D252" s="78" t="s">
        <v>834</v>
      </c>
      <c r="E252" s="77"/>
      <c r="F252" s="79"/>
      <c r="G252" s="79">
        <f>G253</f>
        <v>38000</v>
      </c>
      <c r="H252" s="79"/>
      <c r="I252" s="138"/>
      <c r="J252" s="138"/>
      <c r="L252" s="94"/>
    </row>
    <row r="253" spans="1:12" s="95" customFormat="1" ht="18" customHeight="1">
      <c r="A253" s="80"/>
      <c r="B253" s="466"/>
      <c r="C253" s="466"/>
      <c r="D253" s="535" t="s">
        <v>161</v>
      </c>
      <c r="E253" s="537"/>
      <c r="F253" s="560"/>
      <c r="G253" s="560">
        <f>G254</f>
        <v>38000</v>
      </c>
      <c r="H253" s="560"/>
      <c r="I253" s="138"/>
      <c r="J253" s="138"/>
      <c r="L253" s="94"/>
    </row>
    <row r="254" spans="1:12" s="158" customFormat="1" ht="18" customHeight="1">
      <c r="A254" s="204"/>
      <c r="B254" s="81"/>
      <c r="C254" s="109">
        <v>4300</v>
      </c>
      <c r="D254" s="82" t="s">
        <v>384</v>
      </c>
      <c r="E254" s="775"/>
      <c r="F254" s="145"/>
      <c r="G254" s="145">
        <f>18000+20000</f>
        <v>38000</v>
      </c>
      <c r="H254" s="145"/>
      <c r="I254" s="157"/>
      <c r="J254" s="157"/>
      <c r="L254" s="157"/>
    </row>
    <row r="255" spans="1:12" s="95" customFormat="1" ht="18" customHeight="1">
      <c r="A255" s="76"/>
      <c r="B255" s="77">
        <v>80120</v>
      </c>
      <c r="C255" s="77"/>
      <c r="D255" s="77" t="s">
        <v>708</v>
      </c>
      <c r="E255" s="77"/>
      <c r="F255" s="79"/>
      <c r="G255" s="79">
        <f>G256+G258+G260</f>
        <v>373600</v>
      </c>
      <c r="H255" s="79"/>
      <c r="I255" s="138"/>
      <c r="J255" s="138"/>
      <c r="L255" s="94"/>
    </row>
    <row r="256" spans="1:9" s="22" customFormat="1" ht="18" customHeight="1">
      <c r="A256" s="80"/>
      <c r="B256" s="66"/>
      <c r="C256" s="66"/>
      <c r="D256" s="535" t="s">
        <v>57</v>
      </c>
      <c r="E256" s="535"/>
      <c r="F256" s="550"/>
      <c r="G256" s="550">
        <f>G257</f>
        <v>242900</v>
      </c>
      <c r="H256" s="550"/>
      <c r="I256" s="47"/>
    </row>
    <row r="257" spans="1:9" s="22" customFormat="1" ht="18" customHeight="1">
      <c r="A257" s="204"/>
      <c r="B257" s="81"/>
      <c r="C257" s="140">
        <v>4010</v>
      </c>
      <c r="D257" s="83" t="s">
        <v>335</v>
      </c>
      <c r="E257" s="83"/>
      <c r="F257" s="84"/>
      <c r="G257" s="84">
        <v>242900</v>
      </c>
      <c r="H257" s="84"/>
      <c r="I257" s="47"/>
    </row>
    <row r="258" spans="1:12" s="95" customFormat="1" ht="18" customHeight="1">
      <c r="A258" s="80"/>
      <c r="B258" s="66"/>
      <c r="C258" s="466"/>
      <c r="D258" s="537" t="s">
        <v>387</v>
      </c>
      <c r="E258" s="537"/>
      <c r="F258" s="560"/>
      <c r="G258" s="560">
        <f>G259</f>
        <v>60700</v>
      </c>
      <c r="H258" s="560"/>
      <c r="I258" s="138"/>
      <c r="J258" s="138"/>
      <c r="L258" s="94"/>
    </row>
    <row r="259" spans="1:12" s="158" customFormat="1" ht="18" customHeight="1">
      <c r="A259" s="204"/>
      <c r="B259" s="81"/>
      <c r="C259" s="140">
        <v>4260</v>
      </c>
      <c r="D259" s="775" t="s">
        <v>464</v>
      </c>
      <c r="E259" s="775"/>
      <c r="F259" s="145"/>
      <c r="G259" s="145">
        <v>60700</v>
      </c>
      <c r="H259" s="145"/>
      <c r="I259" s="157"/>
      <c r="J259" s="157"/>
      <c r="L259" s="157"/>
    </row>
    <row r="260" spans="1:9" s="22" customFormat="1" ht="18" customHeight="1">
      <c r="A260" s="80"/>
      <c r="B260" s="66"/>
      <c r="C260" s="66"/>
      <c r="D260" s="568" t="s">
        <v>413</v>
      </c>
      <c r="E260" s="568"/>
      <c r="F260" s="619"/>
      <c r="G260" s="619">
        <f>G261</f>
        <v>70000</v>
      </c>
      <c r="H260" s="619"/>
      <c r="I260" s="47"/>
    </row>
    <row r="261" spans="1:9" s="22" customFormat="1" ht="18" customHeight="1">
      <c r="A261" s="204"/>
      <c r="B261" s="82"/>
      <c r="C261" s="140">
        <v>4110</v>
      </c>
      <c r="D261" s="83" t="s">
        <v>462</v>
      </c>
      <c r="E261" s="83"/>
      <c r="F261" s="84"/>
      <c r="G261" s="84">
        <v>70000</v>
      </c>
      <c r="H261" s="84"/>
      <c r="I261" s="47"/>
    </row>
    <row r="262" spans="1:12" s="95" customFormat="1" ht="17.25" customHeight="1">
      <c r="A262" s="76"/>
      <c r="B262" s="78">
        <v>80123</v>
      </c>
      <c r="C262" s="78"/>
      <c r="D262" s="78" t="s">
        <v>836</v>
      </c>
      <c r="E262" s="78"/>
      <c r="F262" s="523"/>
      <c r="G262" s="523">
        <f>G263+G265</f>
        <v>56800</v>
      </c>
      <c r="H262" s="523"/>
      <c r="I262" s="138"/>
      <c r="J262" s="138"/>
      <c r="L262" s="94"/>
    </row>
    <row r="263" spans="1:9" s="22" customFormat="1" ht="18" customHeight="1">
      <c r="A263" s="80"/>
      <c r="B263" s="66"/>
      <c r="C263" s="66"/>
      <c r="D263" s="535" t="s">
        <v>57</v>
      </c>
      <c r="E263" s="535"/>
      <c r="F263" s="550"/>
      <c r="G263" s="550">
        <f>G264</f>
        <v>30000</v>
      </c>
      <c r="H263" s="550"/>
      <c r="I263" s="47"/>
    </row>
    <row r="264" spans="1:9" s="22" customFormat="1" ht="18" customHeight="1">
      <c r="A264" s="204"/>
      <c r="B264" s="81"/>
      <c r="C264" s="140">
        <v>4010</v>
      </c>
      <c r="D264" s="83" t="s">
        <v>335</v>
      </c>
      <c r="E264" s="83"/>
      <c r="F264" s="84"/>
      <c r="G264" s="84">
        <v>30000</v>
      </c>
      <c r="H264" s="84"/>
      <c r="I264" s="47"/>
    </row>
    <row r="265" spans="1:12" s="95" customFormat="1" ht="18" customHeight="1">
      <c r="A265" s="80"/>
      <c r="B265" s="66"/>
      <c r="C265" s="466"/>
      <c r="D265" s="537" t="s">
        <v>413</v>
      </c>
      <c r="E265" s="537"/>
      <c r="F265" s="560"/>
      <c r="G265" s="560">
        <f>G266</f>
        <v>26800</v>
      </c>
      <c r="H265" s="560"/>
      <c r="I265" s="138"/>
      <c r="J265" s="138"/>
      <c r="L265" s="94"/>
    </row>
    <row r="266" spans="1:12" s="158" customFormat="1" ht="18" customHeight="1">
      <c r="A266" s="204"/>
      <c r="B266" s="81"/>
      <c r="C266" s="140">
        <v>4110</v>
      </c>
      <c r="D266" s="775" t="s">
        <v>462</v>
      </c>
      <c r="E266" s="775"/>
      <c r="F266" s="145"/>
      <c r="G266" s="145">
        <v>26800</v>
      </c>
      <c r="H266" s="145"/>
      <c r="I266" s="157"/>
      <c r="J266" s="157"/>
      <c r="L266" s="157"/>
    </row>
    <row r="267" spans="1:12" s="95" customFormat="1" ht="16.5" customHeight="1">
      <c r="A267" s="76"/>
      <c r="B267" s="77">
        <v>80130</v>
      </c>
      <c r="C267" s="77"/>
      <c r="D267" s="77" t="s">
        <v>414</v>
      </c>
      <c r="E267" s="77"/>
      <c r="F267" s="79"/>
      <c r="G267" s="79">
        <f>G268+G270</f>
        <v>82246</v>
      </c>
      <c r="H267" s="79">
        <f>H268+H270</f>
        <v>4000</v>
      </c>
      <c r="I267" s="138"/>
      <c r="J267" s="138"/>
      <c r="L267" s="94"/>
    </row>
    <row r="268" spans="1:12" s="95" customFormat="1" ht="15.75" customHeight="1">
      <c r="A268" s="80"/>
      <c r="B268" s="466"/>
      <c r="C268" s="466"/>
      <c r="D268" s="537" t="s">
        <v>387</v>
      </c>
      <c r="E268" s="537"/>
      <c r="F268" s="560"/>
      <c r="G268" s="560">
        <f>G269</f>
        <v>78246</v>
      </c>
      <c r="H268" s="560"/>
      <c r="I268" s="138"/>
      <c r="J268" s="138"/>
      <c r="L268" s="94"/>
    </row>
    <row r="269" spans="1:12" s="158" customFormat="1" ht="17.25" customHeight="1">
      <c r="A269" s="204"/>
      <c r="B269" s="81"/>
      <c r="C269" s="109">
        <v>4260</v>
      </c>
      <c r="D269" s="775" t="s">
        <v>464</v>
      </c>
      <c r="E269" s="775"/>
      <c r="F269" s="145"/>
      <c r="G269" s="145">
        <v>78246</v>
      </c>
      <c r="H269" s="145"/>
      <c r="I269" s="157"/>
      <c r="J269" s="157"/>
      <c r="L269" s="157"/>
    </row>
    <row r="270" spans="1:12" s="555" customFormat="1" ht="19.5" customHeight="1">
      <c r="A270" s="206"/>
      <c r="B270" s="214"/>
      <c r="C270" s="207"/>
      <c r="D270" s="208" t="s">
        <v>514</v>
      </c>
      <c r="E270" s="208"/>
      <c r="F270" s="1519"/>
      <c r="G270" s="1519">
        <f>G273</f>
        <v>4000</v>
      </c>
      <c r="H270" s="1519">
        <f>H273</f>
        <v>4000</v>
      </c>
      <c r="I270" s="209"/>
      <c r="J270" s="209"/>
      <c r="L270" s="556"/>
    </row>
    <row r="271" spans="1:12" s="557" customFormat="1" ht="25.5">
      <c r="A271" s="227"/>
      <c r="B271" s="320"/>
      <c r="C271" s="320"/>
      <c r="D271" s="914" t="s">
        <v>515</v>
      </c>
      <c r="E271" s="778"/>
      <c r="F271" s="636"/>
      <c r="G271" s="636"/>
      <c r="H271" s="636">
        <v>4000</v>
      </c>
      <c r="I271" s="155"/>
      <c r="J271" s="155"/>
      <c r="L271" s="558"/>
    </row>
    <row r="272" spans="1:12" s="557" customFormat="1" ht="25.5">
      <c r="A272" s="205"/>
      <c r="B272" s="169"/>
      <c r="C272" s="169"/>
      <c r="D272" s="1228" t="s">
        <v>513</v>
      </c>
      <c r="E272" s="1551"/>
      <c r="F272" s="1020"/>
      <c r="G272" s="1020">
        <v>4000</v>
      </c>
      <c r="H272" s="1020"/>
      <c r="I272" s="155"/>
      <c r="J272" s="155"/>
      <c r="L272" s="558"/>
    </row>
    <row r="273" spans="1:12" s="156" customFormat="1" ht="17.25" customHeight="1">
      <c r="A273" s="205"/>
      <c r="B273" s="169"/>
      <c r="C273" s="153">
        <v>2540</v>
      </c>
      <c r="D273" s="319" t="s">
        <v>424</v>
      </c>
      <c r="E273" s="319"/>
      <c r="F273" s="418"/>
      <c r="G273" s="418">
        <f>SUM(G271:G272)</f>
        <v>4000</v>
      </c>
      <c r="H273" s="418">
        <f>SUM(H271:H272)</f>
        <v>4000</v>
      </c>
      <c r="I273" s="155"/>
      <c r="J273" s="155"/>
      <c r="L273" s="155"/>
    </row>
    <row r="274" spans="1:12" s="95" customFormat="1" ht="18" customHeight="1">
      <c r="A274" s="76"/>
      <c r="B274" s="77">
        <v>80132</v>
      </c>
      <c r="C274" s="77"/>
      <c r="D274" s="77" t="s">
        <v>838</v>
      </c>
      <c r="E274" s="77"/>
      <c r="F274" s="79"/>
      <c r="G274" s="79">
        <f>G275+G277+G279</f>
        <v>192000</v>
      </c>
      <c r="H274" s="79"/>
      <c r="I274" s="138"/>
      <c r="J274" s="138"/>
      <c r="L274" s="94"/>
    </row>
    <row r="275" spans="1:9" s="22" customFormat="1" ht="18" customHeight="1">
      <c r="A275" s="80"/>
      <c r="B275" s="66"/>
      <c r="C275" s="66"/>
      <c r="D275" s="535" t="s">
        <v>57</v>
      </c>
      <c r="E275" s="535"/>
      <c r="F275" s="550"/>
      <c r="G275" s="550">
        <f>G276</f>
        <v>150000</v>
      </c>
      <c r="H275" s="550"/>
      <c r="I275" s="47"/>
    </row>
    <row r="276" spans="1:9" s="22" customFormat="1" ht="18" customHeight="1">
      <c r="A276" s="204"/>
      <c r="B276" s="81"/>
      <c r="C276" s="140">
        <v>4010</v>
      </c>
      <c r="D276" s="83" t="s">
        <v>335</v>
      </c>
      <c r="E276" s="83"/>
      <c r="F276" s="84"/>
      <c r="G276" s="84">
        <v>150000</v>
      </c>
      <c r="H276" s="84"/>
      <c r="I276" s="47"/>
    </row>
    <row r="277" spans="1:12" s="95" customFormat="1" ht="18" customHeight="1">
      <c r="A277" s="80"/>
      <c r="B277" s="66"/>
      <c r="C277" s="466"/>
      <c r="D277" s="537" t="s">
        <v>387</v>
      </c>
      <c r="E277" s="537"/>
      <c r="F277" s="560"/>
      <c r="G277" s="560">
        <f>G278</f>
        <v>20000</v>
      </c>
      <c r="H277" s="560"/>
      <c r="I277" s="138"/>
      <c r="J277" s="138"/>
      <c r="L277" s="94"/>
    </row>
    <row r="278" spans="1:12" s="158" customFormat="1" ht="18" customHeight="1">
      <c r="A278" s="204"/>
      <c r="B278" s="81"/>
      <c r="C278" s="140">
        <v>4260</v>
      </c>
      <c r="D278" s="775" t="s">
        <v>464</v>
      </c>
      <c r="E278" s="775"/>
      <c r="F278" s="145"/>
      <c r="G278" s="145">
        <v>20000</v>
      </c>
      <c r="H278" s="145"/>
      <c r="I278" s="157"/>
      <c r="J278" s="157"/>
      <c r="L278" s="157"/>
    </row>
    <row r="279" spans="1:9" s="22" customFormat="1" ht="18" customHeight="1">
      <c r="A279" s="80"/>
      <c r="B279" s="66"/>
      <c r="C279" s="66"/>
      <c r="D279" s="568" t="s">
        <v>413</v>
      </c>
      <c r="E279" s="568"/>
      <c r="F279" s="619"/>
      <c r="G279" s="619">
        <f>G280</f>
        <v>22000</v>
      </c>
      <c r="H279" s="619"/>
      <c r="I279" s="47"/>
    </row>
    <row r="280" spans="1:9" s="22" customFormat="1" ht="18" customHeight="1">
      <c r="A280" s="204"/>
      <c r="B280" s="82"/>
      <c r="C280" s="140">
        <v>4110</v>
      </c>
      <c r="D280" s="83" t="s">
        <v>462</v>
      </c>
      <c r="E280" s="83"/>
      <c r="F280" s="84"/>
      <c r="G280" s="84">
        <v>22000</v>
      </c>
      <c r="H280" s="84"/>
      <c r="I280" s="47"/>
    </row>
    <row r="281" spans="1:12" s="95" customFormat="1" ht="18" customHeight="1">
      <c r="A281" s="76"/>
      <c r="B281" s="78">
        <v>80134</v>
      </c>
      <c r="C281" s="78"/>
      <c r="D281" s="78" t="s">
        <v>839</v>
      </c>
      <c r="E281" s="78"/>
      <c r="F281" s="523"/>
      <c r="G281" s="523">
        <f>G282+G284+G286</f>
        <v>82038</v>
      </c>
      <c r="H281" s="523"/>
      <c r="I281" s="138"/>
      <c r="J281" s="138"/>
      <c r="L281" s="94"/>
    </row>
    <row r="282" spans="1:12" s="95" customFormat="1" ht="18" customHeight="1">
      <c r="A282" s="80"/>
      <c r="B282" s="466"/>
      <c r="C282" s="466"/>
      <c r="D282" s="537" t="s">
        <v>57</v>
      </c>
      <c r="E282" s="537"/>
      <c r="F282" s="560"/>
      <c r="G282" s="560">
        <f>G283</f>
        <v>30000</v>
      </c>
      <c r="H282" s="560"/>
      <c r="I282" s="138"/>
      <c r="J282" s="138"/>
      <c r="L282" s="94"/>
    </row>
    <row r="283" spans="1:12" s="158" customFormat="1" ht="18" customHeight="1">
      <c r="A283" s="204"/>
      <c r="B283" s="81"/>
      <c r="C283" s="140">
        <v>4010</v>
      </c>
      <c r="D283" s="775" t="s">
        <v>335</v>
      </c>
      <c r="E283" s="775"/>
      <c r="F283" s="145"/>
      <c r="G283" s="145">
        <v>30000</v>
      </c>
      <c r="H283" s="145"/>
      <c r="I283" s="157"/>
      <c r="J283" s="157"/>
      <c r="L283" s="157"/>
    </row>
    <row r="284" spans="1:12" s="95" customFormat="1" ht="18" customHeight="1">
      <c r="A284" s="80"/>
      <c r="B284" s="66"/>
      <c r="C284" s="466"/>
      <c r="D284" s="537" t="s">
        <v>387</v>
      </c>
      <c r="E284" s="537"/>
      <c r="F284" s="560"/>
      <c r="G284" s="560">
        <f>G285</f>
        <v>46038</v>
      </c>
      <c r="H284" s="560"/>
      <c r="I284" s="138"/>
      <c r="J284" s="138"/>
      <c r="L284" s="94"/>
    </row>
    <row r="285" spans="1:12" s="158" customFormat="1" ht="18" customHeight="1">
      <c r="A285" s="204"/>
      <c r="B285" s="81"/>
      <c r="C285" s="140">
        <v>4260</v>
      </c>
      <c r="D285" s="775" t="s">
        <v>464</v>
      </c>
      <c r="E285" s="775"/>
      <c r="F285" s="145"/>
      <c r="G285" s="145">
        <v>46038</v>
      </c>
      <c r="H285" s="145"/>
      <c r="I285" s="157"/>
      <c r="J285" s="157"/>
      <c r="L285" s="157"/>
    </row>
    <row r="286" spans="1:9" s="22" customFormat="1" ht="18" customHeight="1">
      <c r="A286" s="80"/>
      <c r="B286" s="66"/>
      <c r="C286" s="66"/>
      <c r="D286" s="568" t="s">
        <v>413</v>
      </c>
      <c r="E286" s="568"/>
      <c r="F286" s="619"/>
      <c r="G286" s="619">
        <f>G287</f>
        <v>6000</v>
      </c>
      <c r="H286" s="619"/>
      <c r="I286" s="47"/>
    </row>
    <row r="287" spans="1:9" s="22" customFormat="1" ht="18" customHeight="1">
      <c r="A287" s="204"/>
      <c r="B287" s="82"/>
      <c r="C287" s="140">
        <v>4110</v>
      </c>
      <c r="D287" s="83" t="s">
        <v>462</v>
      </c>
      <c r="E287" s="83"/>
      <c r="F287" s="84"/>
      <c r="G287" s="84">
        <v>6000</v>
      </c>
      <c r="H287" s="84"/>
      <c r="I287" s="47"/>
    </row>
    <row r="288" spans="1:12" s="95" customFormat="1" ht="25.5">
      <c r="A288" s="76"/>
      <c r="B288" s="78">
        <v>80140</v>
      </c>
      <c r="C288" s="78"/>
      <c r="D288" s="429" t="s">
        <v>272</v>
      </c>
      <c r="E288" s="78"/>
      <c r="F288" s="523"/>
      <c r="G288" s="523">
        <f>G289</f>
        <v>100000</v>
      </c>
      <c r="H288" s="523"/>
      <c r="I288" s="138"/>
      <c r="J288" s="138"/>
      <c r="L288" s="94"/>
    </row>
    <row r="289" spans="1:12" s="95" customFormat="1" ht="18" customHeight="1">
      <c r="A289" s="80"/>
      <c r="B289" s="466"/>
      <c r="C289" s="466"/>
      <c r="D289" s="466" t="s">
        <v>413</v>
      </c>
      <c r="E289" s="537"/>
      <c r="F289" s="560"/>
      <c r="G289" s="560">
        <f>G290</f>
        <v>100000</v>
      </c>
      <c r="H289" s="560"/>
      <c r="I289" s="138"/>
      <c r="J289" s="138"/>
      <c r="L289" s="94"/>
    </row>
    <row r="290" spans="1:12" s="158" customFormat="1" ht="18" customHeight="1">
      <c r="A290" s="204"/>
      <c r="B290" s="81"/>
      <c r="C290" s="320">
        <v>4110</v>
      </c>
      <c r="D290" s="896" t="s">
        <v>462</v>
      </c>
      <c r="E290" s="775"/>
      <c r="F290" s="145"/>
      <c r="G290" s="145">
        <v>100000</v>
      </c>
      <c r="H290" s="145"/>
      <c r="I290" s="157"/>
      <c r="J290" s="157"/>
      <c r="L290" s="157"/>
    </row>
    <row r="291" spans="1:12" s="95" customFormat="1" ht="18" customHeight="1">
      <c r="A291" s="76"/>
      <c r="B291" s="77">
        <v>80146</v>
      </c>
      <c r="C291" s="78"/>
      <c r="D291" s="78" t="s">
        <v>710</v>
      </c>
      <c r="E291" s="77"/>
      <c r="F291" s="79"/>
      <c r="G291" s="79">
        <f>G292</f>
        <v>15703</v>
      </c>
      <c r="H291" s="79"/>
      <c r="I291" s="138"/>
      <c r="J291" s="138"/>
      <c r="L291" s="94"/>
    </row>
    <row r="292" spans="1:12" s="95" customFormat="1" ht="18" customHeight="1">
      <c r="A292" s="80"/>
      <c r="B292" s="466"/>
      <c r="C292" s="66"/>
      <c r="D292" s="535" t="s">
        <v>807</v>
      </c>
      <c r="E292" s="537"/>
      <c r="F292" s="560"/>
      <c r="G292" s="560">
        <f>SUM(G293:G297)</f>
        <v>15703</v>
      </c>
      <c r="H292" s="560"/>
      <c r="I292" s="138"/>
      <c r="J292" s="138"/>
      <c r="L292" s="94"/>
    </row>
    <row r="293" spans="1:12" s="158" customFormat="1" ht="18" customHeight="1">
      <c r="A293" s="204"/>
      <c r="B293" s="81"/>
      <c r="C293" s="82">
        <v>4010</v>
      </c>
      <c r="D293" s="82" t="s">
        <v>335</v>
      </c>
      <c r="E293" s="775"/>
      <c r="F293" s="145"/>
      <c r="G293" s="145">
        <v>13552</v>
      </c>
      <c r="H293" s="145"/>
      <c r="I293" s="157"/>
      <c r="J293" s="157"/>
      <c r="L293" s="157"/>
    </row>
    <row r="294" spans="1:12" s="158" customFormat="1" ht="18" customHeight="1">
      <c r="A294" s="204"/>
      <c r="B294" s="81"/>
      <c r="C294" s="82">
        <v>4110</v>
      </c>
      <c r="D294" s="528" t="s">
        <v>462</v>
      </c>
      <c r="E294" s="83"/>
      <c r="F294" s="152"/>
      <c r="G294" s="152">
        <v>1101</v>
      </c>
      <c r="H294" s="152"/>
      <c r="I294" s="157"/>
      <c r="J294" s="157"/>
      <c r="L294" s="157"/>
    </row>
    <row r="295" spans="1:12" s="158" customFormat="1" ht="18" customHeight="1">
      <c r="A295" s="204"/>
      <c r="B295" s="81"/>
      <c r="C295" s="82">
        <v>4120</v>
      </c>
      <c r="D295" s="82" t="s">
        <v>463</v>
      </c>
      <c r="E295" s="83"/>
      <c r="F295" s="152"/>
      <c r="G295" s="152">
        <v>150</v>
      </c>
      <c r="H295" s="152"/>
      <c r="I295" s="157"/>
      <c r="J295" s="157"/>
      <c r="L295" s="157"/>
    </row>
    <row r="296" spans="1:12" s="158" customFormat="1" ht="18" customHeight="1">
      <c r="A296" s="204"/>
      <c r="B296" s="81"/>
      <c r="C296" s="82">
        <v>4170</v>
      </c>
      <c r="D296" s="82" t="s">
        <v>395</v>
      </c>
      <c r="E296" s="83"/>
      <c r="F296" s="152"/>
      <c r="G296" s="152">
        <v>450</v>
      </c>
      <c r="H296" s="152"/>
      <c r="I296" s="157"/>
      <c r="J296" s="157"/>
      <c r="L296" s="157"/>
    </row>
    <row r="297" spans="1:12" s="158" customFormat="1" ht="18" customHeight="1">
      <c r="A297" s="204"/>
      <c r="B297" s="82"/>
      <c r="C297" s="82">
        <v>4210</v>
      </c>
      <c r="D297" s="82" t="s">
        <v>383</v>
      </c>
      <c r="E297" s="83"/>
      <c r="F297" s="152"/>
      <c r="G297" s="152">
        <v>450</v>
      </c>
      <c r="H297" s="152"/>
      <c r="I297" s="157"/>
      <c r="J297" s="157"/>
      <c r="L297" s="157"/>
    </row>
    <row r="298" spans="1:9" s="22" customFormat="1" ht="18" customHeight="1">
      <c r="A298" s="89">
        <v>854</v>
      </c>
      <c r="B298" s="73"/>
      <c r="C298" s="73"/>
      <c r="D298" s="89" t="s">
        <v>369</v>
      </c>
      <c r="E298" s="73"/>
      <c r="F298" s="73"/>
      <c r="G298" s="96">
        <f>G299+G302+G309+G314+G317+G324+G334</f>
        <v>652554</v>
      </c>
      <c r="H298" s="96">
        <f>H299+H302+H309+H314+H317+H324+H334</f>
        <v>970275</v>
      </c>
      <c r="I298" s="47"/>
    </row>
    <row r="299" spans="1:12" s="95" customFormat="1" ht="18" customHeight="1">
      <c r="A299" s="76"/>
      <c r="B299" s="78">
        <v>85401</v>
      </c>
      <c r="C299" s="78"/>
      <c r="D299" s="78" t="s">
        <v>841</v>
      </c>
      <c r="E299" s="78"/>
      <c r="F299" s="523"/>
      <c r="G299" s="523">
        <f>G300</f>
        <v>64730</v>
      </c>
      <c r="H299" s="523"/>
      <c r="I299" s="138"/>
      <c r="J299" s="138"/>
      <c r="L299" s="94"/>
    </row>
    <row r="300" spans="1:12" s="95" customFormat="1" ht="18" customHeight="1">
      <c r="A300" s="80"/>
      <c r="B300" s="466"/>
      <c r="C300" s="466"/>
      <c r="D300" s="762" t="s">
        <v>413</v>
      </c>
      <c r="E300" s="537"/>
      <c r="F300" s="560"/>
      <c r="G300" s="560">
        <f>G301</f>
        <v>64730</v>
      </c>
      <c r="H300" s="560"/>
      <c r="I300" s="138"/>
      <c r="J300" s="138"/>
      <c r="L300" s="94"/>
    </row>
    <row r="301" spans="1:12" s="561" customFormat="1" ht="18" customHeight="1">
      <c r="A301" s="540"/>
      <c r="B301" s="82"/>
      <c r="C301" s="82">
        <v>4110</v>
      </c>
      <c r="D301" s="528" t="s">
        <v>462</v>
      </c>
      <c r="E301" s="534"/>
      <c r="F301" s="548"/>
      <c r="G301" s="548">
        <v>64730</v>
      </c>
      <c r="H301" s="548"/>
      <c r="I301" s="157"/>
      <c r="J301" s="157"/>
      <c r="L301" s="562"/>
    </row>
    <row r="302" spans="1:12" s="95" customFormat="1" ht="18" customHeight="1">
      <c r="A302" s="76"/>
      <c r="B302" s="78">
        <v>85403</v>
      </c>
      <c r="C302" s="78"/>
      <c r="D302" s="429" t="s">
        <v>831</v>
      </c>
      <c r="E302" s="78"/>
      <c r="F302" s="523"/>
      <c r="G302" s="523">
        <f>G303+G305+G307</f>
        <v>52000</v>
      </c>
      <c r="H302" s="523"/>
      <c r="I302" s="138"/>
      <c r="J302" s="138"/>
      <c r="L302" s="94"/>
    </row>
    <row r="303" spans="1:12" s="95" customFormat="1" ht="18" customHeight="1">
      <c r="A303" s="80"/>
      <c r="B303" s="466"/>
      <c r="C303" s="466"/>
      <c r="D303" s="536" t="s">
        <v>601</v>
      </c>
      <c r="E303" s="537"/>
      <c r="F303" s="560"/>
      <c r="G303" s="560">
        <f>G304</f>
        <v>30000</v>
      </c>
      <c r="H303" s="560"/>
      <c r="I303" s="138"/>
      <c r="J303" s="138"/>
      <c r="L303" s="94"/>
    </row>
    <row r="304" spans="1:12" s="158" customFormat="1" ht="18" customHeight="1">
      <c r="A304" s="204"/>
      <c r="B304" s="81"/>
      <c r="C304" s="140">
        <v>4010</v>
      </c>
      <c r="D304" s="528" t="s">
        <v>335</v>
      </c>
      <c r="E304" s="775"/>
      <c r="F304" s="145"/>
      <c r="G304" s="145">
        <v>30000</v>
      </c>
      <c r="H304" s="145"/>
      <c r="I304" s="157"/>
      <c r="J304" s="157"/>
      <c r="L304" s="157"/>
    </row>
    <row r="305" spans="1:12" s="95" customFormat="1" ht="18" customHeight="1">
      <c r="A305" s="80"/>
      <c r="B305" s="66"/>
      <c r="C305" s="466"/>
      <c r="D305" s="762" t="s">
        <v>387</v>
      </c>
      <c r="E305" s="537"/>
      <c r="F305" s="560"/>
      <c r="G305" s="560">
        <f>G306</f>
        <v>15000</v>
      </c>
      <c r="H305" s="560"/>
      <c r="I305" s="138"/>
      <c r="J305" s="138"/>
      <c r="L305" s="94"/>
    </row>
    <row r="306" spans="1:12" s="158" customFormat="1" ht="18" customHeight="1">
      <c r="A306" s="204"/>
      <c r="B306" s="81"/>
      <c r="C306" s="140">
        <v>4260</v>
      </c>
      <c r="D306" s="528" t="s">
        <v>464</v>
      </c>
      <c r="E306" s="775"/>
      <c r="F306" s="145"/>
      <c r="G306" s="145">
        <v>15000</v>
      </c>
      <c r="H306" s="145"/>
      <c r="I306" s="157"/>
      <c r="J306" s="157"/>
      <c r="L306" s="157"/>
    </row>
    <row r="307" spans="1:9" s="22" customFormat="1" ht="18" customHeight="1">
      <c r="A307" s="80"/>
      <c r="B307" s="66"/>
      <c r="C307" s="66"/>
      <c r="D307" s="762" t="s">
        <v>413</v>
      </c>
      <c r="E307" s="568"/>
      <c r="F307" s="619"/>
      <c r="G307" s="619">
        <f>G308</f>
        <v>7000</v>
      </c>
      <c r="H307" s="619"/>
      <c r="I307" s="47"/>
    </row>
    <row r="308" spans="1:9" s="22" customFormat="1" ht="18" customHeight="1">
      <c r="A308" s="204"/>
      <c r="B308" s="82"/>
      <c r="C308" s="140">
        <v>4110</v>
      </c>
      <c r="D308" s="528" t="s">
        <v>462</v>
      </c>
      <c r="E308" s="83"/>
      <c r="F308" s="84"/>
      <c r="G308" s="84">
        <v>7000</v>
      </c>
      <c r="H308" s="84"/>
      <c r="I308" s="47"/>
    </row>
    <row r="309" spans="1:12" s="95" customFormat="1" ht="15" customHeight="1">
      <c r="A309" s="76"/>
      <c r="B309" s="78">
        <v>85406</v>
      </c>
      <c r="C309" s="78"/>
      <c r="D309" s="429" t="s">
        <v>425</v>
      </c>
      <c r="E309" s="78"/>
      <c r="F309" s="523"/>
      <c r="G309" s="523">
        <f>G310+G312</f>
        <v>53542</v>
      </c>
      <c r="H309" s="523"/>
      <c r="I309" s="138"/>
      <c r="J309" s="138"/>
      <c r="L309" s="94"/>
    </row>
    <row r="310" spans="1:12" s="95" customFormat="1" ht="18" customHeight="1">
      <c r="A310" s="80"/>
      <c r="B310" s="466"/>
      <c r="C310" s="466"/>
      <c r="D310" s="762" t="s">
        <v>387</v>
      </c>
      <c r="E310" s="537"/>
      <c r="F310" s="560"/>
      <c r="G310" s="560">
        <f>G311</f>
        <v>26000</v>
      </c>
      <c r="H310" s="560"/>
      <c r="I310" s="138"/>
      <c r="J310" s="138"/>
      <c r="L310" s="94"/>
    </row>
    <row r="311" spans="1:12" s="561" customFormat="1" ht="18" customHeight="1">
      <c r="A311" s="204"/>
      <c r="B311" s="81"/>
      <c r="C311" s="82">
        <v>4260</v>
      </c>
      <c r="D311" s="528" t="s">
        <v>464</v>
      </c>
      <c r="E311" s="534"/>
      <c r="F311" s="548"/>
      <c r="G311" s="548">
        <v>26000</v>
      </c>
      <c r="H311" s="548"/>
      <c r="I311" s="157"/>
      <c r="J311" s="157"/>
      <c r="L311" s="562"/>
    </row>
    <row r="312" spans="1:12" s="95" customFormat="1" ht="18" customHeight="1">
      <c r="A312" s="80"/>
      <c r="B312" s="66"/>
      <c r="C312" s="466"/>
      <c r="D312" s="762" t="s">
        <v>413</v>
      </c>
      <c r="E312" s="537"/>
      <c r="F312" s="560"/>
      <c r="G312" s="560">
        <f>G313</f>
        <v>27542</v>
      </c>
      <c r="H312" s="560"/>
      <c r="I312" s="138"/>
      <c r="J312" s="138"/>
      <c r="L312" s="94"/>
    </row>
    <row r="313" spans="1:12" s="561" customFormat="1" ht="18" customHeight="1">
      <c r="A313" s="204"/>
      <c r="B313" s="82"/>
      <c r="C313" s="82">
        <v>4110</v>
      </c>
      <c r="D313" s="528" t="s">
        <v>462</v>
      </c>
      <c r="E313" s="534"/>
      <c r="F313" s="548"/>
      <c r="G313" s="548">
        <v>27542</v>
      </c>
      <c r="H313" s="548"/>
      <c r="I313" s="157"/>
      <c r="J313" s="157"/>
      <c r="L313" s="562"/>
    </row>
    <row r="314" spans="1:12" s="95" customFormat="1" ht="18" customHeight="1">
      <c r="A314" s="76"/>
      <c r="B314" s="78">
        <v>85407</v>
      </c>
      <c r="C314" s="78"/>
      <c r="D314" s="78" t="s">
        <v>709</v>
      </c>
      <c r="E314" s="78"/>
      <c r="F314" s="523"/>
      <c r="G314" s="523">
        <f>G315</f>
        <v>16000</v>
      </c>
      <c r="H314" s="523"/>
      <c r="I314" s="138"/>
      <c r="J314" s="138"/>
      <c r="L314" s="94"/>
    </row>
    <row r="315" spans="1:12" s="95" customFormat="1" ht="18" customHeight="1">
      <c r="A315" s="80"/>
      <c r="B315" s="466"/>
      <c r="C315" s="466"/>
      <c r="D315" s="762" t="s">
        <v>413</v>
      </c>
      <c r="E315" s="537"/>
      <c r="F315" s="560"/>
      <c r="G315" s="560">
        <f>G316</f>
        <v>16000</v>
      </c>
      <c r="H315" s="560"/>
      <c r="I315" s="138"/>
      <c r="J315" s="138"/>
      <c r="L315" s="94"/>
    </row>
    <row r="316" spans="1:12" s="561" customFormat="1" ht="18" customHeight="1">
      <c r="A316" s="204"/>
      <c r="B316" s="82"/>
      <c r="C316" s="82">
        <v>4110</v>
      </c>
      <c r="D316" s="528" t="s">
        <v>462</v>
      </c>
      <c r="E316" s="534"/>
      <c r="F316" s="548"/>
      <c r="G316" s="548">
        <v>16000</v>
      </c>
      <c r="H316" s="548"/>
      <c r="I316" s="157"/>
      <c r="J316" s="157"/>
      <c r="L316" s="562"/>
    </row>
    <row r="317" spans="1:12" s="95" customFormat="1" ht="15.75" customHeight="1">
      <c r="A317" s="76"/>
      <c r="B317" s="78">
        <v>85410</v>
      </c>
      <c r="C317" s="78"/>
      <c r="D317" s="429" t="s">
        <v>732</v>
      </c>
      <c r="E317" s="78"/>
      <c r="F317" s="523"/>
      <c r="G317" s="523">
        <f>G318+G320+G322</f>
        <v>132909</v>
      </c>
      <c r="H317" s="523"/>
      <c r="I317" s="138"/>
      <c r="J317" s="138"/>
      <c r="L317" s="94"/>
    </row>
    <row r="318" spans="1:12" s="95" customFormat="1" ht="17.25" customHeight="1">
      <c r="A318" s="80"/>
      <c r="B318" s="466"/>
      <c r="C318" s="466"/>
      <c r="D318" s="762" t="s">
        <v>57</v>
      </c>
      <c r="E318" s="537"/>
      <c r="F318" s="560"/>
      <c r="G318" s="560">
        <f>G319</f>
        <v>17640</v>
      </c>
      <c r="H318" s="560"/>
      <c r="I318" s="138"/>
      <c r="J318" s="138"/>
      <c r="L318" s="94"/>
    </row>
    <row r="319" spans="1:12" s="561" customFormat="1" ht="16.5" customHeight="1">
      <c r="A319" s="204"/>
      <c r="B319" s="81"/>
      <c r="C319" s="82">
        <v>4010</v>
      </c>
      <c r="D319" s="528" t="s">
        <v>335</v>
      </c>
      <c r="E319" s="534"/>
      <c r="F319" s="548"/>
      <c r="G319" s="548">
        <v>17640</v>
      </c>
      <c r="H319" s="548"/>
      <c r="I319" s="157"/>
      <c r="J319" s="157"/>
      <c r="L319" s="562"/>
    </row>
    <row r="320" spans="1:12" s="95" customFormat="1" ht="18" customHeight="1">
      <c r="A320" s="80"/>
      <c r="B320" s="66"/>
      <c r="C320" s="466"/>
      <c r="D320" s="762" t="s">
        <v>387</v>
      </c>
      <c r="E320" s="537"/>
      <c r="F320" s="560"/>
      <c r="G320" s="560">
        <f>G321</f>
        <v>46469</v>
      </c>
      <c r="H320" s="560"/>
      <c r="I320" s="138"/>
      <c r="J320" s="138"/>
      <c r="L320" s="94"/>
    </row>
    <row r="321" spans="1:12" s="561" customFormat="1" ht="18" customHeight="1">
      <c r="A321" s="204"/>
      <c r="B321" s="81"/>
      <c r="C321" s="82">
        <v>4260</v>
      </c>
      <c r="D321" s="528" t="s">
        <v>464</v>
      </c>
      <c r="E321" s="534"/>
      <c r="F321" s="548"/>
      <c r="G321" s="548">
        <v>46469</v>
      </c>
      <c r="H321" s="548"/>
      <c r="I321" s="157"/>
      <c r="J321" s="157"/>
      <c r="L321" s="562"/>
    </row>
    <row r="322" spans="1:12" s="95" customFormat="1" ht="16.5" customHeight="1">
      <c r="A322" s="80"/>
      <c r="B322" s="66"/>
      <c r="C322" s="466"/>
      <c r="D322" s="762" t="s">
        <v>413</v>
      </c>
      <c r="E322" s="537"/>
      <c r="F322" s="560"/>
      <c r="G322" s="560">
        <f>G323</f>
        <v>68800</v>
      </c>
      <c r="H322" s="560"/>
      <c r="I322" s="138"/>
      <c r="J322" s="138"/>
      <c r="L322" s="94"/>
    </row>
    <row r="323" spans="1:12" s="561" customFormat="1" ht="18" customHeight="1">
      <c r="A323" s="204"/>
      <c r="B323" s="82"/>
      <c r="C323" s="82">
        <v>4110</v>
      </c>
      <c r="D323" s="528" t="s">
        <v>462</v>
      </c>
      <c r="E323" s="534"/>
      <c r="F323" s="548"/>
      <c r="G323" s="548">
        <v>68800</v>
      </c>
      <c r="H323" s="548"/>
      <c r="I323" s="157"/>
      <c r="J323" s="157"/>
      <c r="L323" s="562"/>
    </row>
    <row r="324" spans="1:9" s="95" customFormat="1" ht="15.75" customHeight="1">
      <c r="A324" s="183"/>
      <c r="B324" s="212">
        <v>85415</v>
      </c>
      <c r="C324" s="212"/>
      <c r="D324" s="212" t="s">
        <v>705</v>
      </c>
      <c r="E324" s="212"/>
      <c r="F324" s="212"/>
      <c r="G324" s="523">
        <f>G327+G325+G330</f>
        <v>59743</v>
      </c>
      <c r="H324" s="523">
        <f>H327+H325+H330</f>
        <v>970275</v>
      </c>
      <c r="I324" s="94"/>
    </row>
    <row r="325" spans="1:9" s="95" customFormat="1" ht="18.75" customHeight="1">
      <c r="A325" s="183"/>
      <c r="B325" s="183"/>
      <c r="C325" s="761"/>
      <c r="D325" s="210" t="s">
        <v>60</v>
      </c>
      <c r="E325" s="210"/>
      <c r="F325" s="210"/>
      <c r="G325" s="560">
        <f>G326</f>
        <v>54876</v>
      </c>
      <c r="H325" s="560"/>
      <c r="I325" s="94"/>
    </row>
    <row r="326" spans="1:9" s="95" customFormat="1" ht="18.75" customHeight="1">
      <c r="A326" s="183"/>
      <c r="B326" s="183"/>
      <c r="C326" s="82">
        <v>3240</v>
      </c>
      <c r="D326" s="776" t="s">
        <v>606</v>
      </c>
      <c r="E326" s="82"/>
      <c r="F326" s="82"/>
      <c r="G326" s="548">
        <v>54876</v>
      </c>
      <c r="H326" s="548"/>
      <c r="I326" s="94"/>
    </row>
    <row r="327" spans="1:9" s="22" customFormat="1" ht="18" customHeight="1">
      <c r="A327" s="80"/>
      <c r="B327" s="66"/>
      <c r="C327" s="66"/>
      <c r="D327" s="210" t="s">
        <v>605</v>
      </c>
      <c r="E327" s="210"/>
      <c r="F327" s="210"/>
      <c r="G327" s="560"/>
      <c r="H327" s="560">
        <f>SUM(H328:H329)</f>
        <v>970275</v>
      </c>
      <c r="I327" s="47"/>
    </row>
    <row r="328" spans="1:10" s="22" customFormat="1" ht="18.75" customHeight="1">
      <c r="A328" s="204"/>
      <c r="B328" s="81"/>
      <c r="C328" s="82">
        <v>3240</v>
      </c>
      <c r="D328" s="82" t="s">
        <v>606</v>
      </c>
      <c r="E328" s="82"/>
      <c r="F328" s="82"/>
      <c r="G328" s="548"/>
      <c r="H328" s="458">
        <f>925163-3016</f>
        <v>922147</v>
      </c>
      <c r="I328" s="47"/>
      <c r="J328" s="47"/>
    </row>
    <row r="329" spans="1:9" s="22" customFormat="1" ht="18.75" customHeight="1">
      <c r="A329" s="204"/>
      <c r="B329" s="81"/>
      <c r="C329" s="480">
        <v>3260</v>
      </c>
      <c r="D329" s="81" t="s">
        <v>607</v>
      </c>
      <c r="E329" s="81"/>
      <c r="F329" s="81"/>
      <c r="G329" s="564"/>
      <c r="H329" s="936">
        <f>128+48000</f>
        <v>48128</v>
      </c>
      <c r="I329" s="47"/>
    </row>
    <row r="330" spans="1:9" s="22" customFormat="1" ht="18.75" customHeight="1">
      <c r="A330" s="80"/>
      <c r="B330" s="66"/>
      <c r="C330" s="66"/>
      <c r="D330" s="210" t="s">
        <v>251</v>
      </c>
      <c r="E330" s="210"/>
      <c r="F330" s="210"/>
      <c r="G330" s="560">
        <f>SUM(G331:G333)</f>
        <v>4867</v>
      </c>
      <c r="H330" s="560"/>
      <c r="I330" s="47"/>
    </row>
    <row r="331" spans="1:9" s="22" customFormat="1" ht="18.75" customHeight="1">
      <c r="A331" s="204"/>
      <c r="B331" s="81"/>
      <c r="C331" s="82">
        <v>4110</v>
      </c>
      <c r="D331" s="82" t="s">
        <v>462</v>
      </c>
      <c r="E331" s="82"/>
      <c r="F331" s="82"/>
      <c r="G331" s="548">
        <v>773</v>
      </c>
      <c r="H331" s="458"/>
      <c r="I331" s="47"/>
    </row>
    <row r="332" spans="1:9" s="22" customFormat="1" ht="18.75" customHeight="1">
      <c r="A332" s="204"/>
      <c r="B332" s="81"/>
      <c r="C332" s="82">
        <v>4120</v>
      </c>
      <c r="D332" s="480" t="s">
        <v>463</v>
      </c>
      <c r="E332" s="480"/>
      <c r="F332" s="480"/>
      <c r="G332" s="580">
        <v>96</v>
      </c>
      <c r="H332" s="1259"/>
      <c r="I332" s="47"/>
    </row>
    <row r="333" spans="1:9" s="22" customFormat="1" ht="18.75" customHeight="1">
      <c r="A333" s="540"/>
      <c r="B333" s="82"/>
      <c r="C333" s="480">
        <v>4170</v>
      </c>
      <c r="D333" s="82" t="s">
        <v>395</v>
      </c>
      <c r="E333" s="82"/>
      <c r="F333" s="82"/>
      <c r="G333" s="548">
        <v>3998</v>
      </c>
      <c r="H333" s="458"/>
      <c r="I333" s="47"/>
    </row>
    <row r="334" spans="1:12" s="95" customFormat="1" ht="16.5" customHeight="1">
      <c r="A334" s="76"/>
      <c r="B334" s="78">
        <v>85495</v>
      </c>
      <c r="C334" s="78"/>
      <c r="D334" s="78" t="s">
        <v>366</v>
      </c>
      <c r="E334" s="78"/>
      <c r="F334" s="523"/>
      <c r="G334" s="523">
        <f>G335</f>
        <v>273630</v>
      </c>
      <c r="H334" s="523"/>
      <c r="I334" s="138"/>
      <c r="J334" s="138"/>
      <c r="L334" s="94"/>
    </row>
    <row r="335" spans="1:12" s="95" customFormat="1" ht="18.75" customHeight="1">
      <c r="A335" s="80"/>
      <c r="B335" s="466"/>
      <c r="C335" s="466"/>
      <c r="D335" s="466" t="s">
        <v>23</v>
      </c>
      <c r="E335" s="466"/>
      <c r="F335" s="565"/>
      <c r="G335" s="565">
        <f>G336+G338+G340</f>
        <v>273630</v>
      </c>
      <c r="H335" s="565"/>
      <c r="I335" s="138"/>
      <c r="J335" s="138"/>
      <c r="L335" s="94"/>
    </row>
    <row r="336" spans="1:12" s="95" customFormat="1" ht="18.75" customHeight="1">
      <c r="A336" s="80"/>
      <c r="B336" s="66"/>
      <c r="C336" s="66"/>
      <c r="D336" s="574" t="s">
        <v>601</v>
      </c>
      <c r="E336" s="574"/>
      <c r="F336" s="576"/>
      <c r="G336" s="576">
        <f>G337</f>
        <v>174140</v>
      </c>
      <c r="H336" s="576"/>
      <c r="I336" s="138"/>
      <c r="J336" s="138"/>
      <c r="L336" s="94"/>
    </row>
    <row r="337" spans="1:12" s="95" customFormat="1" ht="18.75" customHeight="1">
      <c r="A337" s="80"/>
      <c r="B337" s="66"/>
      <c r="C337" s="82">
        <v>4010</v>
      </c>
      <c r="D337" s="534" t="s">
        <v>335</v>
      </c>
      <c r="E337" s="534"/>
      <c r="F337" s="152"/>
      <c r="G337" s="152">
        <v>174140</v>
      </c>
      <c r="H337" s="152"/>
      <c r="I337" s="138"/>
      <c r="J337" s="138"/>
      <c r="L337" s="94"/>
    </row>
    <row r="338" spans="1:12" s="95" customFormat="1" ht="18.75" customHeight="1">
      <c r="A338" s="80"/>
      <c r="B338" s="66"/>
      <c r="C338" s="66"/>
      <c r="D338" s="574" t="s">
        <v>387</v>
      </c>
      <c r="E338" s="574"/>
      <c r="F338" s="576"/>
      <c r="G338" s="576">
        <f>G339</f>
        <v>73000</v>
      </c>
      <c r="H338" s="576"/>
      <c r="I338" s="138"/>
      <c r="J338" s="138"/>
      <c r="L338" s="94"/>
    </row>
    <row r="339" spans="1:12" s="95" customFormat="1" ht="18.75" customHeight="1">
      <c r="A339" s="80"/>
      <c r="B339" s="66"/>
      <c r="C339" s="82">
        <v>4220</v>
      </c>
      <c r="D339" s="534" t="s">
        <v>472</v>
      </c>
      <c r="E339" s="534"/>
      <c r="F339" s="152"/>
      <c r="G339" s="152">
        <v>73000</v>
      </c>
      <c r="H339" s="152"/>
      <c r="I339" s="138"/>
      <c r="J339" s="138"/>
      <c r="L339" s="94"/>
    </row>
    <row r="340" spans="1:12" s="95" customFormat="1" ht="18.75" customHeight="1">
      <c r="A340" s="80"/>
      <c r="B340" s="66"/>
      <c r="C340" s="66"/>
      <c r="D340" s="574" t="s">
        <v>413</v>
      </c>
      <c r="E340" s="574"/>
      <c r="F340" s="576"/>
      <c r="G340" s="576">
        <f>G341</f>
        <v>26490</v>
      </c>
      <c r="H340" s="576"/>
      <c r="I340" s="138"/>
      <c r="J340" s="138"/>
      <c r="L340" s="94"/>
    </row>
    <row r="341" spans="1:12" s="95" customFormat="1" ht="18.75" customHeight="1">
      <c r="A341" s="80"/>
      <c r="B341" s="66"/>
      <c r="C341" s="82">
        <v>4110</v>
      </c>
      <c r="D341" s="534" t="s">
        <v>462</v>
      </c>
      <c r="E341" s="534"/>
      <c r="F341" s="152"/>
      <c r="G341" s="152">
        <v>26490</v>
      </c>
      <c r="H341" s="152"/>
      <c r="I341" s="138"/>
      <c r="J341" s="138"/>
      <c r="L341" s="94"/>
    </row>
    <row r="342" spans="1:9" ht="18.75" customHeight="1" thickBot="1">
      <c r="A342" s="69"/>
      <c r="B342" s="69"/>
      <c r="C342" s="69"/>
      <c r="D342" s="70" t="s">
        <v>396</v>
      </c>
      <c r="E342" s="70"/>
      <c r="F342" s="71"/>
      <c r="G342" s="71">
        <f aca="true" t="shared" si="2" ref="G342:H344">G343</f>
        <v>15546</v>
      </c>
      <c r="H342" s="71">
        <f t="shared" si="2"/>
        <v>15546</v>
      </c>
      <c r="I342" s="47"/>
    </row>
    <row r="343" spans="1:9" s="22" customFormat="1" ht="18.75" customHeight="1" thickTop="1">
      <c r="A343" s="72">
        <v>801</v>
      </c>
      <c r="B343" s="89"/>
      <c r="C343" s="73"/>
      <c r="D343" s="92" t="s">
        <v>367</v>
      </c>
      <c r="E343" s="92"/>
      <c r="F343" s="87"/>
      <c r="G343" s="87">
        <f t="shared" si="2"/>
        <v>15546</v>
      </c>
      <c r="H343" s="87">
        <f t="shared" si="2"/>
        <v>15546</v>
      </c>
      <c r="I343" s="47"/>
    </row>
    <row r="344" spans="1:9" s="22" customFormat="1" ht="18" customHeight="1">
      <c r="A344" s="76"/>
      <c r="B344" s="77">
        <v>80104</v>
      </c>
      <c r="C344" s="77"/>
      <c r="D344" s="77" t="s">
        <v>415</v>
      </c>
      <c r="E344" s="77"/>
      <c r="F344" s="79"/>
      <c r="G344" s="79">
        <f t="shared" si="2"/>
        <v>15546</v>
      </c>
      <c r="H344" s="79">
        <f t="shared" si="2"/>
        <v>15546</v>
      </c>
      <c r="I344" s="47"/>
    </row>
    <row r="345" spans="1:12" s="561" customFormat="1" ht="18" customHeight="1">
      <c r="A345" s="204"/>
      <c r="B345" s="81"/>
      <c r="C345" s="529"/>
      <c r="D345" s="66" t="s">
        <v>151</v>
      </c>
      <c r="E345" s="563"/>
      <c r="F345" s="564"/>
      <c r="G345" s="774">
        <f>G361+G364</f>
        <v>15546</v>
      </c>
      <c r="H345" s="774">
        <f>H361+H364</f>
        <v>15546</v>
      </c>
      <c r="I345" s="157"/>
      <c r="J345" s="157"/>
      <c r="L345" s="562"/>
    </row>
    <row r="346" spans="1:12" s="557" customFormat="1" ht="25.5">
      <c r="A346" s="205"/>
      <c r="B346" s="169"/>
      <c r="C346" s="169"/>
      <c r="D346" s="1068" t="s">
        <v>294</v>
      </c>
      <c r="E346" s="1308"/>
      <c r="F346" s="1309"/>
      <c r="G346" s="1309">
        <v>1623</v>
      </c>
      <c r="H346" s="1309"/>
      <c r="I346" s="155"/>
      <c r="J346" s="155"/>
      <c r="L346" s="558"/>
    </row>
    <row r="347" spans="1:12" s="561" customFormat="1" ht="25.5">
      <c r="A347" s="204"/>
      <c r="B347" s="81"/>
      <c r="C347" s="81"/>
      <c r="D347" s="920" t="s">
        <v>295</v>
      </c>
      <c r="E347" s="772"/>
      <c r="F347" s="773"/>
      <c r="G347" s="773"/>
      <c r="H347" s="773">
        <v>3009</v>
      </c>
      <c r="I347" s="157"/>
      <c r="J347" s="157"/>
      <c r="L347" s="562"/>
    </row>
    <row r="348" spans="1:12" s="561" customFormat="1" ht="27.75" customHeight="1">
      <c r="A348" s="204"/>
      <c r="B348" s="81"/>
      <c r="C348" s="81"/>
      <c r="D348" s="920" t="s">
        <v>564</v>
      </c>
      <c r="E348" s="772"/>
      <c r="F348" s="773"/>
      <c r="G348" s="773"/>
      <c r="H348" s="773">
        <v>1676</v>
      </c>
      <c r="I348" s="157"/>
      <c r="J348" s="157"/>
      <c r="L348" s="562"/>
    </row>
    <row r="349" spans="1:12" s="561" customFormat="1" ht="27.75" customHeight="1">
      <c r="A349" s="204"/>
      <c r="B349" s="81"/>
      <c r="C349" s="81"/>
      <c r="D349" s="920" t="s">
        <v>566</v>
      </c>
      <c r="E349" s="772"/>
      <c r="F349" s="773"/>
      <c r="G349" s="773">
        <v>1541</v>
      </c>
      <c r="H349" s="773"/>
      <c r="I349" s="157"/>
      <c r="J349" s="157"/>
      <c r="L349" s="562"/>
    </row>
    <row r="350" spans="1:12" s="561" customFormat="1" ht="27.75" customHeight="1">
      <c r="A350" s="204"/>
      <c r="B350" s="81"/>
      <c r="C350" s="81"/>
      <c r="D350" s="1317" t="s">
        <v>305</v>
      </c>
      <c r="E350" s="772"/>
      <c r="F350" s="773"/>
      <c r="G350" s="773">
        <v>504</v>
      </c>
      <c r="H350" s="773"/>
      <c r="I350" s="157"/>
      <c r="J350" s="157"/>
      <c r="L350" s="562"/>
    </row>
    <row r="351" spans="1:12" s="561" customFormat="1" ht="40.5" customHeight="1">
      <c r="A351" s="204"/>
      <c r="B351" s="81"/>
      <c r="C351" s="81"/>
      <c r="D351" s="920" t="s">
        <v>567</v>
      </c>
      <c r="E351" s="772"/>
      <c r="F351" s="773"/>
      <c r="G351" s="773">
        <v>502</v>
      </c>
      <c r="H351" s="773"/>
      <c r="I351" s="157"/>
      <c r="J351" s="157"/>
      <c r="L351" s="562"/>
    </row>
    <row r="352" spans="1:12" s="561" customFormat="1" ht="25.5">
      <c r="A352" s="204"/>
      <c r="B352" s="81"/>
      <c r="C352" s="81"/>
      <c r="D352" s="920" t="s">
        <v>773</v>
      </c>
      <c r="E352" s="772"/>
      <c r="F352" s="773"/>
      <c r="G352" s="773">
        <v>1791</v>
      </c>
      <c r="H352" s="773"/>
      <c r="I352" s="157"/>
      <c r="J352" s="157"/>
      <c r="L352" s="562"/>
    </row>
    <row r="353" spans="1:12" s="561" customFormat="1" ht="40.5" customHeight="1">
      <c r="A353" s="204"/>
      <c r="B353" s="81"/>
      <c r="C353" s="81"/>
      <c r="D353" s="1317" t="s">
        <v>512</v>
      </c>
      <c r="E353" s="772"/>
      <c r="F353" s="773"/>
      <c r="G353" s="773">
        <v>816</v>
      </c>
      <c r="H353" s="773"/>
      <c r="I353" s="157"/>
      <c r="J353" s="157"/>
      <c r="L353" s="562"/>
    </row>
    <row r="354" spans="1:12" s="561" customFormat="1" ht="17.25" customHeight="1">
      <c r="A354" s="204"/>
      <c r="B354" s="81"/>
      <c r="C354" s="81"/>
      <c r="D354" s="920" t="s">
        <v>299</v>
      </c>
      <c r="E354" s="772"/>
      <c r="F354" s="773"/>
      <c r="G354" s="773">
        <v>700</v>
      </c>
      <c r="H354" s="773"/>
      <c r="I354" s="157"/>
      <c r="J354" s="157"/>
      <c r="L354" s="562"/>
    </row>
    <row r="355" spans="1:12" s="561" customFormat="1" ht="25.5">
      <c r="A355" s="204"/>
      <c r="B355" s="81"/>
      <c r="C355" s="81"/>
      <c r="D355" s="920" t="s">
        <v>772</v>
      </c>
      <c r="E355" s="772"/>
      <c r="F355" s="773"/>
      <c r="G355" s="773">
        <v>2236</v>
      </c>
      <c r="H355" s="773"/>
      <c r="I355" s="157"/>
      <c r="J355" s="157"/>
      <c r="L355" s="562"/>
    </row>
    <row r="356" spans="1:12" s="561" customFormat="1" ht="25.5">
      <c r="A356" s="204"/>
      <c r="B356" s="81"/>
      <c r="C356" s="81"/>
      <c r="D356" s="920" t="s">
        <v>301</v>
      </c>
      <c r="E356" s="772"/>
      <c r="F356" s="773"/>
      <c r="G356" s="773"/>
      <c r="H356" s="773">
        <v>4931</v>
      </c>
      <c r="I356" s="157"/>
      <c r="J356" s="157"/>
      <c r="L356" s="562"/>
    </row>
    <row r="357" spans="1:12" s="561" customFormat="1" ht="25.5">
      <c r="A357" s="540"/>
      <c r="B357" s="82"/>
      <c r="C357" s="82"/>
      <c r="D357" s="1552" t="s">
        <v>511</v>
      </c>
      <c r="E357" s="917"/>
      <c r="F357" s="918"/>
      <c r="G357" s="918">
        <v>334</v>
      </c>
      <c r="H357" s="918"/>
      <c r="I357" s="157"/>
      <c r="J357" s="157"/>
      <c r="L357" s="562"/>
    </row>
    <row r="358" spans="1:12" s="561" customFormat="1" ht="25.5">
      <c r="A358" s="204"/>
      <c r="B358" s="81"/>
      <c r="C358" s="81"/>
      <c r="D358" s="919" t="s">
        <v>771</v>
      </c>
      <c r="E358" s="915"/>
      <c r="F358" s="916"/>
      <c r="G358" s="916">
        <v>1804</v>
      </c>
      <c r="H358" s="916"/>
      <c r="I358" s="157"/>
      <c r="J358" s="157"/>
      <c r="L358" s="562"/>
    </row>
    <row r="359" spans="1:12" s="561" customFormat="1" ht="27.75" customHeight="1">
      <c r="A359" s="204"/>
      <c r="B359" s="81"/>
      <c r="C359" s="81"/>
      <c r="D359" s="920" t="s">
        <v>303</v>
      </c>
      <c r="E359" s="772"/>
      <c r="F359" s="773"/>
      <c r="G359" s="773"/>
      <c r="H359" s="773">
        <v>1141</v>
      </c>
      <c r="I359" s="157"/>
      <c r="J359" s="157"/>
      <c r="L359" s="562"/>
    </row>
    <row r="360" spans="1:12" s="561" customFormat="1" ht="38.25">
      <c r="A360" s="204"/>
      <c r="B360" s="81"/>
      <c r="C360" s="81"/>
      <c r="D360" s="1317" t="s">
        <v>510</v>
      </c>
      <c r="E360" s="772"/>
      <c r="F360" s="773"/>
      <c r="G360" s="773"/>
      <c r="H360" s="773">
        <v>1094</v>
      </c>
      <c r="I360" s="157"/>
      <c r="J360" s="157"/>
      <c r="L360" s="562"/>
    </row>
    <row r="361" spans="1:12" s="561" customFormat="1" ht="18" customHeight="1">
      <c r="A361" s="204"/>
      <c r="B361" s="81"/>
      <c r="C361" s="82">
        <v>2540</v>
      </c>
      <c r="D361" s="83" t="s">
        <v>424</v>
      </c>
      <c r="E361" s="534"/>
      <c r="F361" s="548"/>
      <c r="G361" s="548">
        <f>SUM(G346:G360)</f>
        <v>11851</v>
      </c>
      <c r="H361" s="548">
        <f>SUM(H346:H360)</f>
        <v>11851</v>
      </c>
      <c r="I361" s="157"/>
      <c r="J361" s="157"/>
      <c r="L361" s="562"/>
    </row>
    <row r="362" spans="1:12" s="561" customFormat="1" ht="27.75" customHeight="1">
      <c r="A362" s="204"/>
      <c r="B362" s="81"/>
      <c r="C362" s="81"/>
      <c r="D362" s="1318" t="s">
        <v>770</v>
      </c>
      <c r="E362" s="772"/>
      <c r="F362" s="773"/>
      <c r="G362" s="773"/>
      <c r="H362" s="773">
        <v>3695</v>
      </c>
      <c r="I362" s="157"/>
      <c r="J362" s="157"/>
      <c r="L362" s="562"/>
    </row>
    <row r="363" spans="1:12" s="561" customFormat="1" ht="27.75" customHeight="1">
      <c r="A363" s="204"/>
      <c r="B363" s="81"/>
      <c r="C363" s="81"/>
      <c r="D363" s="920" t="s">
        <v>304</v>
      </c>
      <c r="E363" s="1306"/>
      <c r="F363" s="1307"/>
      <c r="G363" s="1307">
        <v>3695</v>
      </c>
      <c r="H363" s="1307"/>
      <c r="I363" s="157"/>
      <c r="J363" s="157"/>
      <c r="L363" s="562"/>
    </row>
    <row r="364" spans="1:12" s="561" customFormat="1" ht="38.25">
      <c r="A364" s="204"/>
      <c r="B364" s="81"/>
      <c r="C364" s="82">
        <v>2590</v>
      </c>
      <c r="D364" s="914" t="s">
        <v>293</v>
      </c>
      <c r="E364" s="917"/>
      <c r="F364" s="918"/>
      <c r="G364" s="918">
        <f>SUM(G362:G363)</f>
        <v>3695</v>
      </c>
      <c r="H364" s="918">
        <f>SUM(H362:H363)</f>
        <v>3695</v>
      </c>
      <c r="I364" s="157"/>
      <c r="J364" s="157"/>
      <c r="L364" s="562"/>
    </row>
    <row r="365" spans="1:9" s="168" customFormat="1" ht="18.75" customHeight="1">
      <c r="A365" s="164"/>
      <c r="B365" s="139"/>
      <c r="C365" s="165"/>
      <c r="D365" s="166" t="s">
        <v>525</v>
      </c>
      <c r="E365" s="166"/>
      <c r="F365" s="167"/>
      <c r="G365" s="167">
        <f>G366+G397</f>
        <v>102639</v>
      </c>
      <c r="H365" s="167">
        <f>H366+H397</f>
        <v>114639</v>
      </c>
      <c r="I365" s="318"/>
    </row>
    <row r="366" spans="1:9" s="156" customFormat="1" ht="18.75" customHeight="1" thickBot="1">
      <c r="A366" s="320"/>
      <c r="B366" s="320"/>
      <c r="C366" s="320"/>
      <c r="D366" s="163" t="s">
        <v>360</v>
      </c>
      <c r="E366" s="163"/>
      <c r="F366" s="162"/>
      <c r="G366" s="193">
        <f>G367+G376+G385</f>
        <v>102639</v>
      </c>
      <c r="H366" s="193">
        <f>H367+H376+H385</f>
        <v>97639</v>
      </c>
      <c r="I366" s="155"/>
    </row>
    <row r="367" spans="1:9" s="148" customFormat="1" ht="19.5" customHeight="1" thickTop="1">
      <c r="A367" s="431">
        <v>851</v>
      </c>
      <c r="B367" s="73"/>
      <c r="C367" s="73"/>
      <c r="D367" s="92" t="s">
        <v>370</v>
      </c>
      <c r="E367" s="92"/>
      <c r="F367" s="96"/>
      <c r="G367" s="96">
        <f>G368+G371</f>
        <v>6000</v>
      </c>
      <c r="H367" s="96">
        <f>H368+H371</f>
        <v>1000</v>
      </c>
      <c r="I367" s="147"/>
    </row>
    <row r="368" spans="1:9" s="148" customFormat="1" ht="19.5" customHeight="1">
      <c r="A368" s="76"/>
      <c r="B368" s="77">
        <v>85149</v>
      </c>
      <c r="C368" s="77"/>
      <c r="D368" s="78" t="s">
        <v>467</v>
      </c>
      <c r="E368" s="78"/>
      <c r="F368" s="146"/>
      <c r="G368" s="146">
        <f>G369</f>
        <v>5000</v>
      </c>
      <c r="H368" s="146"/>
      <c r="I368" s="147"/>
    </row>
    <row r="369" spans="1:9" s="22" customFormat="1" ht="19.5" customHeight="1">
      <c r="A369" s="80"/>
      <c r="B369" s="466"/>
      <c r="C369" s="466"/>
      <c r="D369" s="210" t="s">
        <v>699</v>
      </c>
      <c r="E369" s="537"/>
      <c r="F369" s="457"/>
      <c r="G369" s="457">
        <f>G370</f>
        <v>5000</v>
      </c>
      <c r="H369" s="457"/>
      <c r="I369" s="47"/>
    </row>
    <row r="370" spans="1:9" s="194" customFormat="1" ht="19.5" customHeight="1">
      <c r="A370" s="205"/>
      <c r="B370" s="320"/>
      <c r="C370" s="320">
        <v>4280</v>
      </c>
      <c r="D370" s="776" t="s">
        <v>465</v>
      </c>
      <c r="E370" s="321"/>
      <c r="F370" s="940"/>
      <c r="G370" s="940">
        <v>5000</v>
      </c>
      <c r="H370" s="863"/>
      <c r="I370" s="195"/>
    </row>
    <row r="371" spans="1:9" s="148" customFormat="1" ht="19.5" customHeight="1">
      <c r="A371" s="76"/>
      <c r="B371" s="78">
        <v>85154</v>
      </c>
      <c r="C371" s="78"/>
      <c r="D371" s="78" t="s">
        <v>394</v>
      </c>
      <c r="E371" s="78"/>
      <c r="F371" s="146"/>
      <c r="G371" s="137">
        <f>G372</f>
        <v>1000</v>
      </c>
      <c r="H371" s="137">
        <f>H372</f>
        <v>1000</v>
      </c>
      <c r="I371" s="147"/>
    </row>
    <row r="372" spans="1:9" s="22" customFormat="1" ht="28.5" customHeight="1">
      <c r="A372" s="80"/>
      <c r="B372" s="466"/>
      <c r="C372" s="466"/>
      <c r="D372" s="538" t="s">
        <v>475</v>
      </c>
      <c r="E372" s="601"/>
      <c r="F372" s="602"/>
      <c r="G372" s="602">
        <f>G373</f>
        <v>1000</v>
      </c>
      <c r="H372" s="602">
        <f>H373</f>
        <v>1000</v>
      </c>
      <c r="I372" s="47"/>
    </row>
    <row r="373" spans="1:9" s="22" customFormat="1" ht="16.5" customHeight="1">
      <c r="A373" s="204"/>
      <c r="B373" s="81"/>
      <c r="C373" s="66"/>
      <c r="D373" s="532" t="s">
        <v>701</v>
      </c>
      <c r="E373" s="532"/>
      <c r="F373" s="533"/>
      <c r="G373" s="533">
        <f>SUM(G374:G375)</f>
        <v>1000</v>
      </c>
      <c r="H373" s="533">
        <f>SUM(H374:H375)</f>
        <v>1000</v>
      </c>
      <c r="I373" s="47"/>
    </row>
    <row r="374" spans="1:9" s="156" customFormat="1" ht="18.75" customHeight="1">
      <c r="A374" s="205"/>
      <c r="B374" s="169"/>
      <c r="C374" s="82">
        <v>4110</v>
      </c>
      <c r="D374" s="83" t="s">
        <v>462</v>
      </c>
      <c r="E374" s="83"/>
      <c r="F374" s="414"/>
      <c r="G374" s="414"/>
      <c r="H374" s="414">
        <v>1000</v>
      </c>
      <c r="I374" s="155"/>
    </row>
    <row r="375" spans="1:9" s="156" customFormat="1" ht="18.75" customHeight="1">
      <c r="A375" s="227"/>
      <c r="B375" s="320"/>
      <c r="C375" s="82">
        <v>4210</v>
      </c>
      <c r="D375" s="83" t="s">
        <v>383</v>
      </c>
      <c r="E375" s="83"/>
      <c r="F375" s="414"/>
      <c r="G375" s="414">
        <v>1000</v>
      </c>
      <c r="H375" s="414"/>
      <c r="I375" s="155"/>
    </row>
    <row r="376" spans="1:9" s="148" customFormat="1" ht="19.5" customHeight="1">
      <c r="A376" s="431">
        <v>853</v>
      </c>
      <c r="B376" s="73"/>
      <c r="C376" s="73"/>
      <c r="D376" s="73" t="s">
        <v>412</v>
      </c>
      <c r="E376" s="92"/>
      <c r="F376" s="96"/>
      <c r="G376" s="96">
        <f>G377</f>
        <v>37915</v>
      </c>
      <c r="H376" s="96">
        <f>H377</f>
        <v>37915</v>
      </c>
      <c r="I376" s="147"/>
    </row>
    <row r="377" spans="1:9" s="148" customFormat="1" ht="19.5" customHeight="1">
      <c r="A377" s="76"/>
      <c r="B377" s="77">
        <v>85321</v>
      </c>
      <c r="C377" s="77"/>
      <c r="D377" s="78" t="s">
        <v>205</v>
      </c>
      <c r="E377" s="78"/>
      <c r="F377" s="146"/>
      <c r="G377" s="146">
        <f>G378+G380</f>
        <v>37915</v>
      </c>
      <c r="H377" s="146">
        <f>H378+H380</f>
        <v>37915</v>
      </c>
      <c r="I377" s="147"/>
    </row>
    <row r="378" spans="1:9" s="273" customFormat="1" ht="19.5" customHeight="1">
      <c r="A378" s="206"/>
      <c r="B378" s="207"/>
      <c r="C378" s="214"/>
      <c r="D378" s="1237" t="s">
        <v>57</v>
      </c>
      <c r="E378" s="208"/>
      <c r="F378" s="1238"/>
      <c r="G378" s="1238"/>
      <c r="H378" s="1238">
        <f>H379</f>
        <v>37915</v>
      </c>
      <c r="I378" s="406"/>
    </row>
    <row r="379" spans="1:9" s="194" customFormat="1" ht="19.5" customHeight="1">
      <c r="A379" s="205"/>
      <c r="B379" s="169"/>
      <c r="C379" s="320">
        <v>4010</v>
      </c>
      <c r="D379" s="320" t="s">
        <v>335</v>
      </c>
      <c r="E379" s="321"/>
      <c r="F379" s="940"/>
      <c r="G379" s="940"/>
      <c r="H379" s="863">
        <f>4000+32015+500+1400</f>
        <v>37915</v>
      </c>
      <c r="I379" s="195"/>
    </row>
    <row r="380" spans="1:9" s="273" customFormat="1" ht="19.5" customHeight="1">
      <c r="A380" s="206"/>
      <c r="B380" s="214"/>
      <c r="C380" s="214"/>
      <c r="D380" s="1237" t="s">
        <v>387</v>
      </c>
      <c r="E380" s="208"/>
      <c r="F380" s="1238"/>
      <c r="G380" s="1238">
        <f>SUM(G381:G384)</f>
        <v>37915</v>
      </c>
      <c r="H380" s="1238"/>
      <c r="I380" s="406"/>
    </row>
    <row r="381" spans="1:9" s="194" customFormat="1" ht="19.5" customHeight="1">
      <c r="A381" s="205"/>
      <c r="B381" s="169"/>
      <c r="C381" s="320">
        <v>4210</v>
      </c>
      <c r="D381" s="320" t="s">
        <v>383</v>
      </c>
      <c r="E381" s="321"/>
      <c r="F381" s="940"/>
      <c r="G381" s="940">
        <v>4000</v>
      </c>
      <c r="H381" s="863"/>
      <c r="I381" s="195"/>
    </row>
    <row r="382" spans="1:9" s="194" customFormat="1" ht="19.5" customHeight="1">
      <c r="A382" s="227"/>
      <c r="B382" s="320"/>
      <c r="C382" s="161">
        <v>4300</v>
      </c>
      <c r="D382" s="161" t="s">
        <v>384</v>
      </c>
      <c r="E382" s="903"/>
      <c r="F382" s="908"/>
      <c r="G382" s="908">
        <v>32015</v>
      </c>
      <c r="H382" s="908"/>
      <c r="I382" s="195"/>
    </row>
    <row r="383" spans="1:9" s="194" customFormat="1" ht="19.5" customHeight="1">
      <c r="A383" s="205"/>
      <c r="B383" s="169"/>
      <c r="C383" s="320">
        <v>4410</v>
      </c>
      <c r="D383" s="320" t="s">
        <v>468</v>
      </c>
      <c r="E383" s="321"/>
      <c r="F383" s="940"/>
      <c r="G383" s="940">
        <v>500</v>
      </c>
      <c r="H383" s="940"/>
      <c r="I383" s="195"/>
    </row>
    <row r="384" spans="1:9" s="194" customFormat="1" ht="19.5" customHeight="1">
      <c r="A384" s="205"/>
      <c r="B384" s="169"/>
      <c r="C384" s="161">
        <v>4420</v>
      </c>
      <c r="D384" s="161" t="s">
        <v>426</v>
      </c>
      <c r="E384" s="903"/>
      <c r="F384" s="908"/>
      <c r="G384" s="908">
        <v>1400</v>
      </c>
      <c r="H384" s="908"/>
      <c r="I384" s="195"/>
    </row>
    <row r="385" spans="1:9" s="156" customFormat="1" ht="18.75" customHeight="1">
      <c r="A385" s="89">
        <v>926</v>
      </c>
      <c r="B385" s="89"/>
      <c r="C385" s="89"/>
      <c r="D385" s="89" t="s">
        <v>804</v>
      </c>
      <c r="E385" s="75"/>
      <c r="F385" s="75"/>
      <c r="G385" s="75">
        <f>G386</f>
        <v>58724</v>
      </c>
      <c r="H385" s="75">
        <f>H386</f>
        <v>58724</v>
      </c>
      <c r="I385" s="155"/>
    </row>
    <row r="386" spans="1:9" s="156" customFormat="1" ht="18.75" customHeight="1">
      <c r="A386" s="81"/>
      <c r="B386" s="78">
        <v>92605</v>
      </c>
      <c r="C386" s="78"/>
      <c r="D386" s="78" t="s">
        <v>840</v>
      </c>
      <c r="E386" s="137"/>
      <c r="F386" s="137"/>
      <c r="G386" s="137">
        <f>G387</f>
        <v>58724</v>
      </c>
      <c r="H386" s="137">
        <f>H387</f>
        <v>58724</v>
      </c>
      <c r="I386" s="155"/>
    </row>
    <row r="387" spans="1:9" s="156" customFormat="1" ht="18.75" customHeight="1">
      <c r="A387" s="206"/>
      <c r="B387" s="207"/>
      <c r="C387" s="108"/>
      <c r="D387" s="98" t="s">
        <v>61</v>
      </c>
      <c r="E387" s="143"/>
      <c r="F387" s="143"/>
      <c r="G387" s="143">
        <f>SUM(G393:G396)</f>
        <v>58724</v>
      </c>
      <c r="H387" s="143">
        <f>SUM(H393:H396)</f>
        <v>58724</v>
      </c>
      <c r="I387" s="155"/>
    </row>
    <row r="388" spans="1:9" s="156" customFormat="1" ht="18.75" customHeight="1">
      <c r="A388" s="205"/>
      <c r="B388" s="169"/>
      <c r="C388" s="153"/>
      <c r="D388" s="949" t="s">
        <v>17</v>
      </c>
      <c r="E388" s="783"/>
      <c r="F388" s="783"/>
      <c r="G388" s="783"/>
      <c r="H388" s="783">
        <v>8000</v>
      </c>
      <c r="I388" s="155"/>
    </row>
    <row r="389" spans="1:9" s="156" customFormat="1" ht="18.75" customHeight="1">
      <c r="A389" s="205"/>
      <c r="B389" s="169"/>
      <c r="C389" s="153"/>
      <c r="D389" s="1213" t="s">
        <v>18</v>
      </c>
      <c r="E389" s="461"/>
      <c r="F389" s="461"/>
      <c r="G389" s="461"/>
      <c r="H389" s="461">
        <v>5000</v>
      </c>
      <c r="I389" s="155"/>
    </row>
    <row r="390" spans="1:9" s="156" customFormat="1" ht="18.75" customHeight="1">
      <c r="A390" s="205"/>
      <c r="B390" s="169"/>
      <c r="C390" s="153"/>
      <c r="D390" s="1410" t="s">
        <v>19</v>
      </c>
      <c r="E390" s="461"/>
      <c r="F390" s="461"/>
      <c r="G390" s="461"/>
      <c r="H390" s="461">
        <v>2500</v>
      </c>
      <c r="I390" s="155"/>
    </row>
    <row r="391" spans="1:9" s="156" customFormat="1" ht="17.25" customHeight="1">
      <c r="A391" s="205"/>
      <c r="B391" s="169"/>
      <c r="C391" s="153"/>
      <c r="D391" s="1213" t="s">
        <v>509</v>
      </c>
      <c r="E391" s="461"/>
      <c r="F391" s="461"/>
      <c r="G391" s="461"/>
      <c r="H391" s="461">
        <v>14500</v>
      </c>
      <c r="I391" s="155"/>
    </row>
    <row r="392" spans="1:9" s="156" customFormat="1" ht="18.75" customHeight="1">
      <c r="A392" s="205"/>
      <c r="B392" s="169"/>
      <c r="C392" s="153"/>
      <c r="D392" s="1213" t="s">
        <v>16</v>
      </c>
      <c r="E392" s="461"/>
      <c r="F392" s="461"/>
      <c r="G392" s="461">
        <v>30000</v>
      </c>
      <c r="H392" s="461"/>
      <c r="I392" s="155"/>
    </row>
    <row r="393" spans="1:9" s="156" customFormat="1" ht="25.5">
      <c r="A393" s="205"/>
      <c r="B393" s="169"/>
      <c r="C393" s="317">
        <v>2820</v>
      </c>
      <c r="D393" s="319" t="s">
        <v>150</v>
      </c>
      <c r="E393" s="418"/>
      <c r="F393" s="418"/>
      <c r="G393" s="418">
        <f>SUM(G388:G392)</f>
        <v>30000</v>
      </c>
      <c r="H393" s="418">
        <f>SUM(H388:H392)</f>
        <v>30000</v>
      </c>
      <c r="I393" s="155"/>
    </row>
    <row r="394" spans="1:9" s="156" customFormat="1" ht="18.75" customHeight="1">
      <c r="A394" s="708"/>
      <c r="B394" s="708"/>
      <c r="C394" s="321">
        <v>3040</v>
      </c>
      <c r="D394" s="460" t="s">
        <v>469</v>
      </c>
      <c r="E394" s="939"/>
      <c r="F394" s="939"/>
      <c r="G394" s="939"/>
      <c r="H394" s="939">
        <v>20000</v>
      </c>
      <c r="I394" s="155"/>
    </row>
    <row r="395" spans="1:9" s="156" customFormat="1" ht="18.75" customHeight="1">
      <c r="A395" s="708"/>
      <c r="B395" s="708"/>
      <c r="C395" s="321">
        <v>4210</v>
      </c>
      <c r="D395" s="460" t="s">
        <v>383</v>
      </c>
      <c r="E395" s="939"/>
      <c r="F395" s="939"/>
      <c r="G395" s="939"/>
      <c r="H395" s="939">
        <v>8724</v>
      </c>
      <c r="I395" s="155"/>
    </row>
    <row r="396" spans="1:9" s="156" customFormat="1" ht="18.75" customHeight="1">
      <c r="A396" s="708"/>
      <c r="B396" s="708"/>
      <c r="C396" s="321">
        <v>4300</v>
      </c>
      <c r="D396" s="460" t="s">
        <v>384</v>
      </c>
      <c r="E396" s="939"/>
      <c r="F396" s="939"/>
      <c r="G396" s="939">
        <v>28724</v>
      </c>
      <c r="H396" s="939"/>
      <c r="I396" s="155"/>
    </row>
    <row r="397" spans="1:9" s="156" customFormat="1" ht="26.25" thickBot="1">
      <c r="A397" s="169"/>
      <c r="B397" s="169"/>
      <c r="C397" s="320"/>
      <c r="D397" s="163" t="s">
        <v>399</v>
      </c>
      <c r="E397" s="163"/>
      <c r="F397" s="162"/>
      <c r="G397" s="193"/>
      <c r="H397" s="193">
        <f>H398</f>
        <v>17000</v>
      </c>
      <c r="I397" s="155"/>
    </row>
    <row r="398" spans="1:9" s="156" customFormat="1" ht="18.75" customHeight="1" thickTop="1">
      <c r="A398" s="89">
        <v>853</v>
      </c>
      <c r="B398" s="89"/>
      <c r="C398" s="89"/>
      <c r="D398" s="89" t="s">
        <v>412</v>
      </c>
      <c r="E398" s="75"/>
      <c r="F398" s="75"/>
      <c r="G398" s="75"/>
      <c r="H398" s="75">
        <f>H399</f>
        <v>17000</v>
      </c>
      <c r="I398" s="155"/>
    </row>
    <row r="399" spans="1:9" s="156" customFormat="1" ht="18.75" customHeight="1">
      <c r="A399" s="81"/>
      <c r="B399" s="78">
        <v>85321</v>
      </c>
      <c r="C399" s="78"/>
      <c r="D399" s="90" t="s">
        <v>205</v>
      </c>
      <c r="E399" s="559"/>
      <c r="F399" s="559"/>
      <c r="G399" s="559"/>
      <c r="H399" s="559">
        <f>H400</f>
        <v>17000</v>
      </c>
      <c r="I399" s="155"/>
    </row>
    <row r="400" spans="1:9" s="156" customFormat="1" ht="18.75" customHeight="1">
      <c r="A400" s="206"/>
      <c r="B400" s="207"/>
      <c r="C400" s="108"/>
      <c r="D400" s="723" t="s">
        <v>601</v>
      </c>
      <c r="E400" s="143"/>
      <c r="F400" s="143"/>
      <c r="G400" s="143"/>
      <c r="H400" s="143">
        <f>H401</f>
        <v>17000</v>
      </c>
      <c r="I400" s="155"/>
    </row>
    <row r="401" spans="1:9" s="156" customFormat="1" ht="18.75" customHeight="1">
      <c r="A401" s="708"/>
      <c r="B401" s="708"/>
      <c r="C401" s="714">
        <v>4170</v>
      </c>
      <c r="D401" s="1195" t="s">
        <v>395</v>
      </c>
      <c r="E401" s="710"/>
      <c r="F401" s="710"/>
      <c r="G401" s="710"/>
      <c r="H401" s="710">
        <v>17000</v>
      </c>
      <c r="I401" s="155"/>
    </row>
    <row r="402" spans="1:9" s="168" customFormat="1" ht="18.75" customHeight="1">
      <c r="A402" s="164"/>
      <c r="B402" s="139"/>
      <c r="C402" s="165"/>
      <c r="D402" s="464" t="s">
        <v>526</v>
      </c>
      <c r="E402" s="464"/>
      <c r="F402" s="465"/>
      <c r="G402" s="465">
        <f>G403</f>
        <v>726500</v>
      </c>
      <c r="H402" s="465">
        <f>H403</f>
        <v>726500</v>
      </c>
      <c r="I402" s="318"/>
    </row>
    <row r="403" spans="1:9" s="156" customFormat="1" ht="18.75" customHeight="1" thickBot="1">
      <c r="A403" s="169"/>
      <c r="B403" s="169"/>
      <c r="C403" s="320"/>
      <c r="D403" s="163" t="s">
        <v>360</v>
      </c>
      <c r="E403" s="163"/>
      <c r="F403" s="162"/>
      <c r="G403" s="193">
        <f>G404+G411+G425+G432</f>
        <v>726500</v>
      </c>
      <c r="H403" s="193">
        <f>H404+H411+H425+H432</f>
        <v>726500</v>
      </c>
      <c r="I403" s="155"/>
    </row>
    <row r="404" spans="1:9" s="156" customFormat="1" ht="18.75" customHeight="1" thickTop="1">
      <c r="A404" s="89">
        <v>600</v>
      </c>
      <c r="B404" s="89"/>
      <c r="C404" s="89"/>
      <c r="D404" s="89" t="s">
        <v>364</v>
      </c>
      <c r="E404" s="75"/>
      <c r="F404" s="75"/>
      <c r="G404" s="75">
        <f>G405</f>
        <v>150000</v>
      </c>
      <c r="H404" s="75">
        <f>H405</f>
        <v>150000</v>
      </c>
      <c r="I404" s="155"/>
    </row>
    <row r="405" spans="1:9" s="156" customFormat="1" ht="18.75" customHeight="1">
      <c r="A405" s="81"/>
      <c r="B405" s="78">
        <v>60016</v>
      </c>
      <c r="C405" s="78"/>
      <c r="D405" s="90" t="s">
        <v>755</v>
      </c>
      <c r="E405" s="559"/>
      <c r="F405" s="559"/>
      <c r="G405" s="559">
        <f>G406</f>
        <v>150000</v>
      </c>
      <c r="H405" s="559">
        <f>H406</f>
        <v>150000</v>
      </c>
      <c r="I405" s="155"/>
    </row>
    <row r="406" spans="1:9" s="156" customFormat="1" ht="18.75" customHeight="1">
      <c r="A406" s="206"/>
      <c r="B406" s="207"/>
      <c r="C406" s="108"/>
      <c r="D406" s="723" t="s">
        <v>78</v>
      </c>
      <c r="E406" s="143"/>
      <c r="F406" s="143"/>
      <c r="G406" s="143">
        <f>G409</f>
        <v>150000</v>
      </c>
      <c r="H406" s="143">
        <f>H409</f>
        <v>150000</v>
      </c>
      <c r="I406" s="155"/>
    </row>
    <row r="407" spans="1:9" s="156" customFormat="1" ht="18.75" customHeight="1">
      <c r="A407" s="85"/>
      <c r="B407" s="85"/>
      <c r="C407" s="85"/>
      <c r="D407" s="1014" t="s">
        <v>490</v>
      </c>
      <c r="E407" s="712"/>
      <c r="F407" s="712"/>
      <c r="G407" s="712">
        <v>150000</v>
      </c>
      <c r="H407" s="712"/>
      <c r="I407" s="155"/>
    </row>
    <row r="408" spans="1:9" s="156" customFormat="1" ht="18.75" customHeight="1">
      <c r="A408" s="85"/>
      <c r="B408" s="85"/>
      <c r="C408" s="85"/>
      <c r="D408" s="1015" t="s">
        <v>491</v>
      </c>
      <c r="E408" s="1010"/>
      <c r="F408" s="1010"/>
      <c r="G408" s="1010"/>
      <c r="H408" s="1010">
        <v>150000</v>
      </c>
      <c r="I408" s="155"/>
    </row>
    <row r="409" spans="1:9" s="156" customFormat="1" ht="18.75" customHeight="1">
      <c r="A409" s="86"/>
      <c r="B409" s="86"/>
      <c r="C409" s="714">
        <v>6050</v>
      </c>
      <c r="D409" s="1017" t="s">
        <v>599</v>
      </c>
      <c r="E409" s="710"/>
      <c r="F409" s="710"/>
      <c r="G409" s="710">
        <f>SUM(G407:G408)</f>
        <v>150000</v>
      </c>
      <c r="H409" s="710">
        <f>SUM(H407:H408)</f>
        <v>150000</v>
      </c>
      <c r="I409" s="155"/>
    </row>
    <row r="410" spans="1:9" s="156" customFormat="1" ht="33.75" customHeight="1">
      <c r="A410" s="1507"/>
      <c r="B410" s="1507"/>
      <c r="C410" s="1627"/>
      <c r="D410" s="1588"/>
      <c r="E410" s="1628"/>
      <c r="F410" s="1628"/>
      <c r="G410" s="1628"/>
      <c r="H410" s="1628"/>
      <c r="I410" s="155"/>
    </row>
    <row r="411" spans="1:9" s="156" customFormat="1" ht="18.75" customHeight="1">
      <c r="A411" s="697">
        <v>801</v>
      </c>
      <c r="B411" s="697"/>
      <c r="C411" s="697"/>
      <c r="D411" s="697" t="s">
        <v>367</v>
      </c>
      <c r="E411" s="92"/>
      <c r="F411" s="92"/>
      <c r="G411" s="75">
        <f>G412+G417+G420</f>
        <v>330000</v>
      </c>
      <c r="H411" s="75">
        <f>H412+H417+H420</f>
        <v>330000</v>
      </c>
      <c r="I411" s="155"/>
    </row>
    <row r="412" spans="1:9" s="156" customFormat="1" ht="18.75" customHeight="1">
      <c r="A412" s="76"/>
      <c r="B412" s="77">
        <v>80101</v>
      </c>
      <c r="C412" s="77"/>
      <c r="D412" s="77" t="s">
        <v>706</v>
      </c>
      <c r="E412" s="77"/>
      <c r="F412" s="77"/>
      <c r="G412" s="137">
        <f>G413</f>
        <v>130000</v>
      </c>
      <c r="H412" s="137">
        <f>H413</f>
        <v>150000</v>
      </c>
      <c r="I412" s="155"/>
    </row>
    <row r="413" spans="1:9" s="156" customFormat="1" ht="18.75" customHeight="1">
      <c r="A413" s="80"/>
      <c r="B413" s="66"/>
      <c r="C413" s="66"/>
      <c r="D413" s="723" t="s">
        <v>78</v>
      </c>
      <c r="E413" s="143"/>
      <c r="F413" s="143"/>
      <c r="G413" s="143">
        <f>G416</f>
        <v>130000</v>
      </c>
      <c r="H413" s="143">
        <f>H416</f>
        <v>150000</v>
      </c>
      <c r="I413" s="155"/>
    </row>
    <row r="414" spans="1:9" s="156" customFormat="1" ht="18.75" customHeight="1">
      <c r="A414" s="80"/>
      <c r="B414" s="66"/>
      <c r="C414" s="66"/>
      <c r="D414" s="722" t="s">
        <v>492</v>
      </c>
      <c r="E414" s="459"/>
      <c r="F414" s="459"/>
      <c r="G414" s="459">
        <v>130000</v>
      </c>
      <c r="H414" s="459"/>
      <c r="I414" s="155"/>
    </row>
    <row r="415" spans="1:9" s="156" customFormat="1" ht="19.5" customHeight="1">
      <c r="A415" s="80"/>
      <c r="B415" s="66"/>
      <c r="C415" s="66"/>
      <c r="D415" s="554" t="s">
        <v>555</v>
      </c>
      <c r="E415" s="461"/>
      <c r="F415" s="461"/>
      <c r="G415" s="461"/>
      <c r="H415" s="461">
        <v>150000</v>
      </c>
      <c r="I415" s="155"/>
    </row>
    <row r="416" spans="1:9" s="156" customFormat="1" ht="18.75" customHeight="1">
      <c r="A416" s="204"/>
      <c r="B416" s="82"/>
      <c r="C416" s="82">
        <v>6050</v>
      </c>
      <c r="D416" s="528" t="s">
        <v>599</v>
      </c>
      <c r="E416" s="713"/>
      <c r="F416" s="462"/>
      <c r="G416" s="725">
        <f>SUM(G414:G415)</f>
        <v>130000</v>
      </c>
      <c r="H416" s="725">
        <f>SUM(H414:H415)</f>
        <v>150000</v>
      </c>
      <c r="I416" s="155"/>
    </row>
    <row r="417" spans="1:9" s="156" customFormat="1" ht="18.75" customHeight="1">
      <c r="A417" s="76"/>
      <c r="B417" s="77">
        <v>80120</v>
      </c>
      <c r="C417" s="77"/>
      <c r="D417" s="77" t="s">
        <v>708</v>
      </c>
      <c r="E417" s="77"/>
      <c r="F417" s="77"/>
      <c r="G417" s="137">
        <f>G418</f>
        <v>200000</v>
      </c>
      <c r="H417" s="137"/>
      <c r="I417" s="155"/>
    </row>
    <row r="418" spans="1:9" s="156" customFormat="1" ht="25.5">
      <c r="A418" s="80"/>
      <c r="B418" s="66"/>
      <c r="C418" s="66"/>
      <c r="D418" s="723" t="s">
        <v>556</v>
      </c>
      <c r="E418" s="143"/>
      <c r="F418" s="143"/>
      <c r="G418" s="143">
        <f>G419</f>
        <v>200000</v>
      </c>
      <c r="H418" s="143"/>
      <c r="I418" s="155"/>
    </row>
    <row r="419" spans="1:9" s="156" customFormat="1" ht="18.75" customHeight="1">
      <c r="A419" s="204"/>
      <c r="B419" s="82"/>
      <c r="C419" s="82">
        <v>6050</v>
      </c>
      <c r="D419" s="776" t="s">
        <v>599</v>
      </c>
      <c r="E419" s="1011"/>
      <c r="F419" s="1012"/>
      <c r="G419" s="1013">
        <v>200000</v>
      </c>
      <c r="H419" s="1013"/>
      <c r="I419" s="155"/>
    </row>
    <row r="420" spans="1:9" s="156" customFormat="1" ht="18.75" customHeight="1">
      <c r="A420" s="76"/>
      <c r="B420" s="77">
        <v>80130</v>
      </c>
      <c r="C420" s="77"/>
      <c r="D420" s="77" t="s">
        <v>414</v>
      </c>
      <c r="E420" s="77"/>
      <c r="F420" s="77"/>
      <c r="G420" s="137"/>
      <c r="H420" s="137">
        <f>H421</f>
        <v>180000</v>
      </c>
      <c r="I420" s="155"/>
    </row>
    <row r="421" spans="1:9" s="156" customFormat="1" ht="18.75" customHeight="1">
      <c r="A421" s="80"/>
      <c r="B421" s="66"/>
      <c r="C421" s="66"/>
      <c r="D421" s="723" t="s">
        <v>78</v>
      </c>
      <c r="E421" s="144"/>
      <c r="F421" s="144"/>
      <c r="G421" s="144"/>
      <c r="H421" s="144">
        <f>H424</f>
        <v>180000</v>
      </c>
      <c r="I421" s="155"/>
    </row>
    <row r="422" spans="1:9" s="156" customFormat="1" ht="18.75" customHeight="1">
      <c r="A422" s="205"/>
      <c r="B422" s="169"/>
      <c r="C422" s="169"/>
      <c r="D422" s="944" t="s">
        <v>692</v>
      </c>
      <c r="E422" s="459"/>
      <c r="F422" s="459"/>
      <c r="G422" s="459"/>
      <c r="H422" s="459">
        <v>130000</v>
      </c>
      <c r="I422" s="155"/>
    </row>
    <row r="423" spans="1:9" s="156" customFormat="1" ht="18.75" customHeight="1">
      <c r="A423" s="205"/>
      <c r="B423" s="169"/>
      <c r="C423" s="169"/>
      <c r="D423" s="1213" t="s">
        <v>694</v>
      </c>
      <c r="E423" s="461"/>
      <c r="F423" s="461"/>
      <c r="G423" s="461"/>
      <c r="H423" s="461">
        <v>50000</v>
      </c>
      <c r="I423" s="155"/>
    </row>
    <row r="424" spans="1:9" s="156" customFormat="1" ht="18.75" customHeight="1">
      <c r="A424" s="923"/>
      <c r="B424" s="69"/>
      <c r="C424" s="82">
        <v>6050</v>
      </c>
      <c r="D424" s="528" t="s">
        <v>599</v>
      </c>
      <c r="E424" s="418"/>
      <c r="F424" s="418"/>
      <c r="G424" s="418"/>
      <c r="H424" s="418">
        <f>SUM(H422:H423)</f>
        <v>180000</v>
      </c>
      <c r="I424" s="155"/>
    </row>
    <row r="425" spans="1:9" s="156" customFormat="1" ht="18.75" customHeight="1">
      <c r="A425" s="697">
        <v>900</v>
      </c>
      <c r="B425" s="697"/>
      <c r="C425" s="697"/>
      <c r="D425" s="697" t="s">
        <v>25</v>
      </c>
      <c r="E425" s="92"/>
      <c r="F425" s="92"/>
      <c r="G425" s="75">
        <f>G426</f>
        <v>240000</v>
      </c>
      <c r="H425" s="75">
        <f>H426</f>
        <v>240000</v>
      </c>
      <c r="I425" s="155"/>
    </row>
    <row r="426" spans="1:9" s="156" customFormat="1" ht="18.75" customHeight="1">
      <c r="A426" s="76"/>
      <c r="B426" s="77">
        <v>90095</v>
      </c>
      <c r="C426" s="77"/>
      <c r="D426" s="661" t="s">
        <v>366</v>
      </c>
      <c r="E426" s="137"/>
      <c r="F426" s="137"/>
      <c r="G426" s="137">
        <f>G427</f>
        <v>240000</v>
      </c>
      <c r="H426" s="137">
        <f>H427</f>
        <v>240000</v>
      </c>
      <c r="I426" s="155"/>
    </row>
    <row r="427" spans="1:9" s="156" customFormat="1" ht="18.75" customHeight="1">
      <c r="A427" s="80"/>
      <c r="B427" s="66"/>
      <c r="C427" s="66"/>
      <c r="D427" s="66" t="s">
        <v>78</v>
      </c>
      <c r="E427" s="143"/>
      <c r="F427" s="143"/>
      <c r="G427" s="143">
        <f>G431</f>
        <v>240000</v>
      </c>
      <c r="H427" s="143">
        <f>H431</f>
        <v>240000</v>
      </c>
      <c r="I427" s="155"/>
    </row>
    <row r="428" spans="1:9" s="156" customFormat="1" ht="18.75" customHeight="1">
      <c r="A428" s="80"/>
      <c r="B428" s="66"/>
      <c r="C428" s="66"/>
      <c r="D428" s="1014" t="s">
        <v>32</v>
      </c>
      <c r="E428" s="459"/>
      <c r="F428" s="459"/>
      <c r="G428" s="459"/>
      <c r="H428" s="459">
        <v>200000</v>
      </c>
      <c r="I428" s="155"/>
    </row>
    <row r="429" spans="1:9" s="156" customFormat="1" ht="18.75" customHeight="1">
      <c r="A429" s="80"/>
      <c r="B429" s="66"/>
      <c r="C429" s="66"/>
      <c r="D429" s="1016" t="s">
        <v>179</v>
      </c>
      <c r="E429" s="461"/>
      <c r="F429" s="461"/>
      <c r="G429" s="461"/>
      <c r="H429" s="461">
        <v>40000</v>
      </c>
      <c r="I429" s="155"/>
    </row>
    <row r="430" spans="1:9" s="156" customFormat="1" ht="18.75" customHeight="1">
      <c r="A430" s="80"/>
      <c r="B430" s="66"/>
      <c r="C430" s="66"/>
      <c r="D430" s="1015" t="s">
        <v>832</v>
      </c>
      <c r="E430" s="783"/>
      <c r="F430" s="783"/>
      <c r="G430" s="783">
        <v>240000</v>
      </c>
      <c r="H430" s="783"/>
      <c r="I430" s="155"/>
    </row>
    <row r="431" spans="1:9" s="156" customFormat="1" ht="18.75" customHeight="1">
      <c r="A431" s="923"/>
      <c r="B431" s="69"/>
      <c r="C431" s="82">
        <v>6050</v>
      </c>
      <c r="D431" s="914" t="s">
        <v>599</v>
      </c>
      <c r="E431" s="724"/>
      <c r="F431" s="724"/>
      <c r="G431" s="724">
        <f>SUM(G428:G430)</f>
        <v>240000</v>
      </c>
      <c r="H431" s="724">
        <f>SUM(H428:H430)</f>
        <v>240000</v>
      </c>
      <c r="I431" s="155"/>
    </row>
    <row r="432" spans="1:9" s="156" customFormat="1" ht="18.75" customHeight="1">
      <c r="A432" s="697">
        <v>926</v>
      </c>
      <c r="B432" s="697"/>
      <c r="C432" s="697"/>
      <c r="D432" s="697" t="s">
        <v>804</v>
      </c>
      <c r="E432" s="92"/>
      <c r="F432" s="92"/>
      <c r="G432" s="75">
        <f>G433</f>
        <v>6500</v>
      </c>
      <c r="H432" s="75">
        <f>H433</f>
        <v>6500</v>
      </c>
      <c r="I432" s="155"/>
    </row>
    <row r="433" spans="1:9" s="156" customFormat="1" ht="18.75" customHeight="1">
      <c r="A433" s="76"/>
      <c r="B433" s="77">
        <v>92605</v>
      </c>
      <c r="C433" s="77"/>
      <c r="D433" s="77" t="s">
        <v>840</v>
      </c>
      <c r="E433" s="77"/>
      <c r="F433" s="77"/>
      <c r="G433" s="137">
        <f>G434</f>
        <v>6500</v>
      </c>
      <c r="H433" s="137">
        <f>H434</f>
        <v>6500</v>
      </c>
      <c r="I433" s="155"/>
    </row>
    <row r="434" spans="1:9" s="156" customFormat="1" ht="18.75" customHeight="1">
      <c r="A434" s="80"/>
      <c r="B434" s="66"/>
      <c r="C434" s="66"/>
      <c r="D434" s="723" t="s">
        <v>78</v>
      </c>
      <c r="E434" s="143"/>
      <c r="F434" s="143"/>
      <c r="G434" s="143">
        <f>G437</f>
        <v>6500</v>
      </c>
      <c r="H434" s="143">
        <f>H437</f>
        <v>6500</v>
      </c>
      <c r="I434" s="155"/>
    </row>
    <row r="435" spans="1:9" s="156" customFormat="1" ht="17.25" customHeight="1">
      <c r="A435" s="80"/>
      <c r="B435" s="66"/>
      <c r="C435" s="66"/>
      <c r="D435" s="476" t="s">
        <v>557</v>
      </c>
      <c r="E435" s="461"/>
      <c r="F435" s="461"/>
      <c r="G435" s="461"/>
      <c r="H435" s="461">
        <v>6500</v>
      </c>
      <c r="I435" s="155"/>
    </row>
    <row r="436" spans="1:9" s="156" customFormat="1" ht="16.5" customHeight="1">
      <c r="A436" s="80"/>
      <c r="B436" s="66"/>
      <c r="C436" s="66"/>
      <c r="D436" s="1214" t="s">
        <v>558</v>
      </c>
      <c r="E436" s="461"/>
      <c r="F436" s="461"/>
      <c r="G436" s="461">
        <v>6500</v>
      </c>
      <c r="H436" s="461"/>
      <c r="I436" s="155"/>
    </row>
    <row r="437" spans="1:9" s="156" customFormat="1" ht="18.75" customHeight="1">
      <c r="A437" s="204"/>
      <c r="B437" s="81"/>
      <c r="C437" s="81">
        <v>6050</v>
      </c>
      <c r="D437" s="938" t="s">
        <v>599</v>
      </c>
      <c r="E437" s="713"/>
      <c r="F437" s="462"/>
      <c r="G437" s="725">
        <f>SUM(G435:G436)</f>
        <v>6500</v>
      </c>
      <c r="H437" s="725">
        <f>SUM(H435:H436)</f>
        <v>6500</v>
      </c>
      <c r="I437" s="155"/>
    </row>
    <row r="438" spans="1:9" s="156" customFormat="1" ht="48.75" customHeight="1">
      <c r="A438" s="1547"/>
      <c r="B438" s="1543"/>
      <c r="C438" s="1543"/>
      <c r="D438" s="1544"/>
      <c r="E438" s="1553"/>
      <c r="F438" s="1554"/>
      <c r="G438" s="1555"/>
      <c r="H438" s="1555"/>
      <c r="I438" s="155"/>
    </row>
    <row r="439" spans="1:9" s="168" customFormat="1" ht="19.5" customHeight="1">
      <c r="A439" s="164"/>
      <c r="B439" s="139"/>
      <c r="C439" s="165"/>
      <c r="D439" s="780" t="s">
        <v>527</v>
      </c>
      <c r="E439" s="464"/>
      <c r="F439" s="465"/>
      <c r="G439" s="465">
        <f aca="true" t="shared" si="3" ref="G439:H442">G440</f>
        <v>5000</v>
      </c>
      <c r="H439" s="465">
        <f t="shared" si="3"/>
        <v>5000</v>
      </c>
      <c r="I439" s="318"/>
    </row>
    <row r="440" spans="1:9" s="156" customFormat="1" ht="19.5" customHeight="1" thickBot="1">
      <c r="A440" s="320"/>
      <c r="B440" s="320"/>
      <c r="C440" s="320"/>
      <c r="D440" s="925" t="s">
        <v>360</v>
      </c>
      <c r="E440" s="163"/>
      <c r="F440" s="162"/>
      <c r="G440" s="193">
        <f t="shared" si="3"/>
        <v>5000</v>
      </c>
      <c r="H440" s="193">
        <f t="shared" si="3"/>
        <v>5000</v>
      </c>
      <c r="I440" s="155"/>
    </row>
    <row r="441" spans="1:9" s="95" customFormat="1" ht="19.5" customHeight="1" thickTop="1">
      <c r="A441" s="89">
        <v>750</v>
      </c>
      <c r="B441" s="89"/>
      <c r="C441" s="89"/>
      <c r="D441" s="89" t="s">
        <v>371</v>
      </c>
      <c r="E441" s="92"/>
      <c r="F441" s="74"/>
      <c r="G441" s="74">
        <f t="shared" si="3"/>
        <v>5000</v>
      </c>
      <c r="H441" s="74">
        <f t="shared" si="3"/>
        <v>5000</v>
      </c>
      <c r="I441" s="94"/>
    </row>
    <row r="442" spans="1:9" s="130" customFormat="1" ht="19.5" customHeight="1">
      <c r="A442" s="81"/>
      <c r="B442" s="77">
        <v>75022</v>
      </c>
      <c r="C442" s="77"/>
      <c r="D442" s="77" t="s">
        <v>622</v>
      </c>
      <c r="E442" s="313"/>
      <c r="F442" s="90"/>
      <c r="G442" s="90">
        <f t="shared" si="3"/>
        <v>5000</v>
      </c>
      <c r="H442" s="90">
        <f t="shared" si="3"/>
        <v>5000</v>
      </c>
      <c r="I442" s="138"/>
    </row>
    <row r="443" spans="1:12" s="130" customFormat="1" ht="19.5" customHeight="1">
      <c r="A443" s="206"/>
      <c r="B443" s="93"/>
      <c r="C443" s="81"/>
      <c r="D443" s="210" t="s">
        <v>147</v>
      </c>
      <c r="E443" s="144"/>
      <c r="F443" s="144"/>
      <c r="G443" s="144">
        <f>SUM(G444:G445)</f>
        <v>5000</v>
      </c>
      <c r="H443" s="144">
        <f>SUM(H444:H445)</f>
        <v>5000</v>
      </c>
      <c r="I443" s="138"/>
      <c r="J443" s="138"/>
      <c r="L443" s="138"/>
    </row>
    <row r="444" spans="1:9" s="224" customFormat="1" ht="19.5" customHeight="1">
      <c r="A444" s="924"/>
      <c r="B444" s="169"/>
      <c r="C444" s="82">
        <v>4300</v>
      </c>
      <c r="D444" s="528" t="s">
        <v>384</v>
      </c>
      <c r="E444" s="963"/>
      <c r="F444" s="963"/>
      <c r="G444" s="154">
        <v>5000</v>
      </c>
      <c r="H444" s="154"/>
      <c r="I444" s="223"/>
    </row>
    <row r="445" spans="1:9" s="224" customFormat="1" ht="19.5" customHeight="1">
      <c r="A445" s="924"/>
      <c r="B445" s="169"/>
      <c r="C445" s="82">
        <v>4420</v>
      </c>
      <c r="D445" s="528" t="s">
        <v>426</v>
      </c>
      <c r="E445" s="956"/>
      <c r="F445" s="956"/>
      <c r="G445" s="418"/>
      <c r="H445" s="418">
        <v>5000</v>
      </c>
      <c r="I445" s="223"/>
    </row>
    <row r="446" spans="1:9" s="168" customFormat="1" ht="19.5" customHeight="1">
      <c r="A446" s="164"/>
      <c r="B446" s="139"/>
      <c r="C446" s="165"/>
      <c r="D446" s="780" t="s">
        <v>528</v>
      </c>
      <c r="E446" s="166"/>
      <c r="F446" s="167"/>
      <c r="G446" s="167">
        <f aca="true" t="shared" si="4" ref="G446:H449">G447</f>
        <v>141900</v>
      </c>
      <c r="H446" s="167">
        <f t="shared" si="4"/>
        <v>141900</v>
      </c>
      <c r="I446" s="318"/>
    </row>
    <row r="447" spans="1:9" s="156" customFormat="1" ht="19.5" customHeight="1" thickBot="1">
      <c r="A447" s="320"/>
      <c r="B447" s="320"/>
      <c r="C447" s="320"/>
      <c r="D447" s="925" t="s">
        <v>360</v>
      </c>
      <c r="E447" s="163"/>
      <c r="F447" s="162"/>
      <c r="G447" s="193">
        <f t="shared" si="4"/>
        <v>141900</v>
      </c>
      <c r="H447" s="193">
        <f t="shared" si="4"/>
        <v>141900</v>
      </c>
      <c r="I447" s="155"/>
    </row>
    <row r="448" spans="1:9" s="95" customFormat="1" ht="19.5" customHeight="1" thickTop="1">
      <c r="A448" s="89">
        <v>750</v>
      </c>
      <c r="B448" s="89"/>
      <c r="C448" s="89"/>
      <c r="D448" s="73" t="s">
        <v>371</v>
      </c>
      <c r="E448" s="92"/>
      <c r="F448" s="74"/>
      <c r="G448" s="74">
        <f>G449+G455</f>
        <v>141900</v>
      </c>
      <c r="H448" s="74">
        <f>H449+H455</f>
        <v>141900</v>
      </c>
      <c r="I448" s="94"/>
    </row>
    <row r="449" spans="1:9" s="130" customFormat="1" ht="19.5" customHeight="1">
      <c r="A449" s="81"/>
      <c r="B449" s="77">
        <v>75075</v>
      </c>
      <c r="C449" s="77"/>
      <c r="D449" s="78" t="s">
        <v>180</v>
      </c>
      <c r="E449" s="313"/>
      <c r="F449" s="90"/>
      <c r="G449" s="90">
        <f t="shared" si="4"/>
        <v>123200</v>
      </c>
      <c r="H449" s="90">
        <f t="shared" si="4"/>
        <v>123200</v>
      </c>
      <c r="I449" s="138"/>
    </row>
    <row r="450" spans="1:12" s="130" customFormat="1" ht="19.5" customHeight="1">
      <c r="A450" s="206"/>
      <c r="B450" s="93"/>
      <c r="C450" s="81"/>
      <c r="D450" s="568" t="s">
        <v>636</v>
      </c>
      <c r="E450" s="144"/>
      <c r="F450" s="144"/>
      <c r="G450" s="144">
        <f>SUM(G451:G454)</f>
        <v>123200</v>
      </c>
      <c r="H450" s="144">
        <f>SUM(H451:H454)</f>
        <v>123200</v>
      </c>
      <c r="I450" s="138"/>
      <c r="J450" s="138"/>
      <c r="L450" s="138"/>
    </row>
    <row r="451" spans="1:9" s="224" customFormat="1" ht="19.5" customHeight="1">
      <c r="A451" s="924"/>
      <c r="B451" s="169"/>
      <c r="C451" s="82">
        <v>4178</v>
      </c>
      <c r="D451" s="82" t="s">
        <v>395</v>
      </c>
      <c r="E451" s="963"/>
      <c r="F451" s="963"/>
      <c r="G451" s="154"/>
      <c r="H451" s="154">
        <v>92400</v>
      </c>
      <c r="I451" s="223"/>
    </row>
    <row r="452" spans="1:9" s="224" customFormat="1" ht="19.5" customHeight="1">
      <c r="A452" s="924"/>
      <c r="B452" s="169"/>
      <c r="C452" s="82">
        <v>4179</v>
      </c>
      <c r="D452" s="82" t="s">
        <v>395</v>
      </c>
      <c r="E452" s="956"/>
      <c r="F452" s="956"/>
      <c r="G452" s="418"/>
      <c r="H452" s="418">
        <v>30800</v>
      </c>
      <c r="I452" s="223"/>
    </row>
    <row r="453" spans="1:9" s="224" customFormat="1" ht="19.5" customHeight="1">
      <c r="A453" s="924"/>
      <c r="B453" s="169"/>
      <c r="C453" s="82">
        <v>4308</v>
      </c>
      <c r="D453" s="82" t="s">
        <v>384</v>
      </c>
      <c r="E453" s="956"/>
      <c r="F453" s="956"/>
      <c r="G453" s="418">
        <v>92400</v>
      </c>
      <c r="H453" s="418"/>
      <c r="I453" s="223"/>
    </row>
    <row r="454" spans="1:9" s="224" customFormat="1" ht="19.5" customHeight="1">
      <c r="A454" s="924"/>
      <c r="B454" s="320"/>
      <c r="C454" s="480">
        <v>4309</v>
      </c>
      <c r="D454" s="480" t="s">
        <v>384</v>
      </c>
      <c r="E454" s="956"/>
      <c r="F454" s="956"/>
      <c r="G454" s="418">
        <v>30800</v>
      </c>
      <c r="H454" s="418"/>
      <c r="I454" s="223"/>
    </row>
    <row r="455" spans="1:9" s="130" customFormat="1" ht="19.5" customHeight="1">
      <c r="A455" s="81"/>
      <c r="B455" s="77">
        <v>75095</v>
      </c>
      <c r="C455" s="77"/>
      <c r="D455" s="78" t="s">
        <v>366</v>
      </c>
      <c r="E455" s="313"/>
      <c r="F455" s="90"/>
      <c r="G455" s="90">
        <f>G456</f>
        <v>18700</v>
      </c>
      <c r="H455" s="90">
        <f>H456</f>
        <v>18700</v>
      </c>
      <c r="I455" s="138"/>
    </row>
    <row r="456" spans="1:12" s="130" customFormat="1" ht="19.5" customHeight="1">
      <c r="A456" s="206"/>
      <c r="B456" s="93"/>
      <c r="C456" s="81"/>
      <c r="D456" s="568" t="s">
        <v>316</v>
      </c>
      <c r="E456" s="144"/>
      <c r="F456" s="144"/>
      <c r="G456" s="144">
        <f>SUM(G457:G464)</f>
        <v>18700</v>
      </c>
      <c r="H456" s="144">
        <f>SUM(H457:H464)</f>
        <v>18700</v>
      </c>
      <c r="I456" s="138"/>
      <c r="J456" s="138"/>
      <c r="L456" s="138"/>
    </row>
    <row r="457" spans="1:9" s="224" customFormat="1" ht="19.5" customHeight="1">
      <c r="A457" s="924"/>
      <c r="B457" s="169"/>
      <c r="C457" s="82">
        <v>4010</v>
      </c>
      <c r="D457" s="82" t="s">
        <v>335</v>
      </c>
      <c r="E457" s="963"/>
      <c r="F457" s="963"/>
      <c r="G457" s="154"/>
      <c r="H457" s="154">
        <v>9520</v>
      </c>
      <c r="I457" s="223"/>
    </row>
    <row r="458" spans="1:9" s="224" customFormat="1" ht="19.5" customHeight="1">
      <c r="A458" s="924"/>
      <c r="B458" s="169"/>
      <c r="C458" s="82">
        <v>4110</v>
      </c>
      <c r="D458" s="82" t="s">
        <v>462</v>
      </c>
      <c r="E458" s="956"/>
      <c r="F458" s="956"/>
      <c r="G458" s="418"/>
      <c r="H458" s="418">
        <v>2100</v>
      </c>
      <c r="I458" s="223"/>
    </row>
    <row r="459" spans="1:9" s="224" customFormat="1" ht="19.5" customHeight="1">
      <c r="A459" s="924"/>
      <c r="B459" s="169"/>
      <c r="C459" s="82">
        <v>4120</v>
      </c>
      <c r="D459" s="82" t="s">
        <v>463</v>
      </c>
      <c r="E459" s="956"/>
      <c r="F459" s="956"/>
      <c r="G459" s="418"/>
      <c r="H459" s="418">
        <v>200</v>
      </c>
      <c r="I459" s="223"/>
    </row>
    <row r="460" spans="1:9" s="224" customFormat="1" ht="19.5" customHeight="1">
      <c r="A460" s="924"/>
      <c r="B460" s="169"/>
      <c r="C460" s="480">
        <v>4170</v>
      </c>
      <c r="D460" s="480" t="s">
        <v>395</v>
      </c>
      <c r="E460" s="956"/>
      <c r="F460" s="956"/>
      <c r="G460" s="418">
        <v>1000</v>
      </c>
      <c r="H460" s="418"/>
      <c r="I460" s="223"/>
    </row>
    <row r="461" spans="1:9" s="224" customFormat="1" ht="19.5" customHeight="1">
      <c r="A461" s="924"/>
      <c r="B461" s="169"/>
      <c r="C461" s="480">
        <v>4210</v>
      </c>
      <c r="D461" s="529" t="s">
        <v>383</v>
      </c>
      <c r="E461" s="956"/>
      <c r="F461" s="956"/>
      <c r="G461" s="418"/>
      <c r="H461" s="418">
        <v>6880</v>
      </c>
      <c r="I461" s="223"/>
    </row>
    <row r="462" spans="1:9" s="224" customFormat="1" ht="19.5" customHeight="1">
      <c r="A462" s="924"/>
      <c r="B462" s="169"/>
      <c r="C462" s="81">
        <v>4300</v>
      </c>
      <c r="D462" s="529" t="s">
        <v>384</v>
      </c>
      <c r="E462" s="956"/>
      <c r="F462" s="956"/>
      <c r="G462" s="418">
        <v>14700</v>
      </c>
      <c r="H462" s="418"/>
      <c r="I462" s="223"/>
    </row>
    <row r="463" spans="1:9" s="224" customFormat="1" ht="19.5" customHeight="1">
      <c r="A463" s="924"/>
      <c r="B463" s="169"/>
      <c r="C463" s="480">
        <v>4410</v>
      </c>
      <c r="D463" s="480" t="s">
        <v>468</v>
      </c>
      <c r="E463" s="956"/>
      <c r="F463" s="956"/>
      <c r="G463" s="418">
        <v>1000</v>
      </c>
      <c r="H463" s="418"/>
      <c r="I463" s="223"/>
    </row>
    <row r="464" spans="1:9" s="224" customFormat="1" ht="19.5" customHeight="1">
      <c r="A464" s="924"/>
      <c r="B464" s="169"/>
      <c r="C464" s="81">
        <v>4430</v>
      </c>
      <c r="D464" s="529" t="s">
        <v>466</v>
      </c>
      <c r="E464" s="1556"/>
      <c r="F464" s="1556"/>
      <c r="G464" s="783">
        <v>2000</v>
      </c>
      <c r="H464" s="783"/>
      <c r="I464" s="223"/>
    </row>
    <row r="465" spans="1:9" s="224" customFormat="1" ht="35.25" customHeight="1">
      <c r="A465" s="1541"/>
      <c r="B465" s="1542"/>
      <c r="C465" s="1543"/>
      <c r="D465" s="1543"/>
      <c r="E465" s="1557"/>
      <c r="F465" s="1557"/>
      <c r="G465" s="1545"/>
      <c r="H465" s="1545"/>
      <c r="I465" s="223"/>
    </row>
    <row r="466" spans="1:9" s="168" customFormat="1" ht="19.5" customHeight="1">
      <c r="A466" s="164"/>
      <c r="B466" s="139"/>
      <c r="C466" s="165"/>
      <c r="D466" s="780" t="s">
        <v>602</v>
      </c>
      <c r="E466" s="464"/>
      <c r="F466" s="465"/>
      <c r="G466" s="465">
        <f aca="true" t="shared" si="5" ref="G466:H468">G467</f>
        <v>52142</v>
      </c>
      <c r="H466" s="465">
        <f t="shared" si="5"/>
        <v>52142</v>
      </c>
      <c r="I466" s="318"/>
    </row>
    <row r="467" spans="1:9" s="156" customFormat="1" ht="19.5" customHeight="1" thickBot="1">
      <c r="A467" s="320"/>
      <c r="B467" s="320"/>
      <c r="C467" s="320"/>
      <c r="D467" s="163" t="s">
        <v>360</v>
      </c>
      <c r="E467" s="163"/>
      <c r="F467" s="162"/>
      <c r="G467" s="193">
        <f t="shared" si="5"/>
        <v>52142</v>
      </c>
      <c r="H467" s="193">
        <f t="shared" si="5"/>
        <v>52142</v>
      </c>
      <c r="I467" s="155"/>
    </row>
    <row r="468" spans="1:9" s="95" customFormat="1" ht="19.5" customHeight="1" thickTop="1">
      <c r="A468" s="72">
        <v>754</v>
      </c>
      <c r="B468" s="89"/>
      <c r="C468" s="73"/>
      <c r="D468" s="92" t="s">
        <v>361</v>
      </c>
      <c r="E468" s="92"/>
      <c r="F468" s="74"/>
      <c r="G468" s="74">
        <f t="shared" si="5"/>
        <v>52142</v>
      </c>
      <c r="H468" s="74">
        <f t="shared" si="5"/>
        <v>52142</v>
      </c>
      <c r="I468" s="94"/>
    </row>
    <row r="469" spans="1:9" s="130" customFormat="1" ht="19.5" customHeight="1">
      <c r="A469" s="76"/>
      <c r="B469" s="78">
        <v>75416</v>
      </c>
      <c r="C469" s="78"/>
      <c r="D469" s="429" t="s">
        <v>603</v>
      </c>
      <c r="E469" s="801"/>
      <c r="F469" s="90"/>
      <c r="G469" s="90">
        <f>G470+G472</f>
        <v>52142</v>
      </c>
      <c r="H469" s="90">
        <f>H470+H472</f>
        <v>52142</v>
      </c>
      <c r="I469" s="138"/>
    </row>
    <row r="470" spans="1:12" s="130" customFormat="1" ht="19.5" customHeight="1">
      <c r="A470" s="80"/>
      <c r="B470" s="207"/>
      <c r="C470" s="207"/>
      <c r="D470" s="466" t="s">
        <v>601</v>
      </c>
      <c r="E470" s="144"/>
      <c r="F470" s="144"/>
      <c r="G470" s="144">
        <f>G471</f>
        <v>52142</v>
      </c>
      <c r="H470" s="144"/>
      <c r="I470" s="138"/>
      <c r="J470" s="138"/>
      <c r="L470" s="138"/>
    </row>
    <row r="471" spans="1:12" s="156" customFormat="1" ht="19.5" customHeight="1">
      <c r="A471" s="924"/>
      <c r="B471" s="169"/>
      <c r="C471" s="320">
        <v>4010</v>
      </c>
      <c r="D471" s="896" t="s">
        <v>335</v>
      </c>
      <c r="E471" s="154"/>
      <c r="F471" s="154"/>
      <c r="G471" s="154">
        <v>52142</v>
      </c>
      <c r="H471" s="154"/>
      <c r="I471" s="155"/>
      <c r="J471" s="155"/>
      <c r="L471" s="155"/>
    </row>
    <row r="472" spans="1:12" s="130" customFormat="1" ht="19.5" customHeight="1">
      <c r="A472" s="948"/>
      <c r="B472" s="214"/>
      <c r="C472" s="214"/>
      <c r="D472" s="66" t="s">
        <v>387</v>
      </c>
      <c r="E472" s="144"/>
      <c r="F472" s="144"/>
      <c r="G472" s="144"/>
      <c r="H472" s="144">
        <f>SUM(H473:H475)</f>
        <v>52142</v>
      </c>
      <c r="I472" s="138"/>
      <c r="J472" s="138"/>
      <c r="L472" s="138"/>
    </row>
    <row r="473" spans="1:12" s="156" customFormat="1" ht="19.5" customHeight="1">
      <c r="A473" s="924"/>
      <c r="B473" s="169"/>
      <c r="C473" s="320">
        <v>3020</v>
      </c>
      <c r="D473" s="896" t="s">
        <v>736</v>
      </c>
      <c r="E473" s="154"/>
      <c r="F473" s="154"/>
      <c r="G473" s="154"/>
      <c r="H473" s="154">
        <f>30300+2142</f>
        <v>32442</v>
      </c>
      <c r="I473" s="155"/>
      <c r="J473" s="155"/>
      <c r="L473" s="155"/>
    </row>
    <row r="474" spans="1:12" s="156" customFormat="1" ht="19.5" customHeight="1">
      <c r="A474" s="924"/>
      <c r="B474" s="169"/>
      <c r="C474" s="320">
        <v>4140</v>
      </c>
      <c r="D474" s="320" t="s">
        <v>318</v>
      </c>
      <c r="E474" s="418"/>
      <c r="F474" s="418"/>
      <c r="G474" s="418"/>
      <c r="H474" s="418">
        <v>15700</v>
      </c>
      <c r="I474" s="155"/>
      <c r="J474" s="155"/>
      <c r="L474" s="155"/>
    </row>
    <row r="475" spans="1:12" s="156" customFormat="1" ht="19.5" customHeight="1">
      <c r="A475" s="924"/>
      <c r="B475" s="169"/>
      <c r="C475" s="320">
        <v>4300</v>
      </c>
      <c r="D475" s="320" t="s">
        <v>384</v>
      </c>
      <c r="E475" s="418"/>
      <c r="F475" s="418"/>
      <c r="G475" s="418"/>
      <c r="H475" s="418">
        <v>4000</v>
      </c>
      <c r="I475" s="155"/>
      <c r="J475" s="155"/>
      <c r="L475" s="155"/>
    </row>
    <row r="476" spans="1:9" s="168" customFormat="1" ht="19.5" customHeight="1">
      <c r="A476" s="164"/>
      <c r="B476" s="139"/>
      <c r="C476" s="165"/>
      <c r="D476" s="780" t="s">
        <v>313</v>
      </c>
      <c r="E476" s="464"/>
      <c r="F476" s="465"/>
      <c r="G476" s="465">
        <f>G477+G491</f>
        <v>9959</v>
      </c>
      <c r="H476" s="465">
        <f>H477+H491</f>
        <v>55959</v>
      </c>
      <c r="I476" s="318"/>
    </row>
    <row r="477" spans="1:9" s="156" customFormat="1" ht="19.5" customHeight="1" thickBot="1">
      <c r="A477" s="320"/>
      <c r="B477" s="320"/>
      <c r="C477" s="320"/>
      <c r="D477" s="163" t="s">
        <v>360</v>
      </c>
      <c r="E477" s="163"/>
      <c r="F477" s="162"/>
      <c r="G477" s="193">
        <f>G484+G478</f>
        <v>9959</v>
      </c>
      <c r="H477" s="193">
        <f>H484+H478</f>
        <v>9959</v>
      </c>
      <c r="I477" s="155"/>
    </row>
    <row r="478" spans="1:9" s="95" customFormat="1" ht="19.5" customHeight="1" thickTop="1">
      <c r="A478" s="72">
        <v>851</v>
      </c>
      <c r="B478" s="89"/>
      <c r="C478" s="73"/>
      <c r="D478" s="73" t="s">
        <v>370</v>
      </c>
      <c r="E478" s="92"/>
      <c r="F478" s="74"/>
      <c r="G478" s="74">
        <f aca="true" t="shared" si="6" ref="G478:H480">G479</f>
        <v>8087</v>
      </c>
      <c r="H478" s="74">
        <f t="shared" si="6"/>
        <v>8087</v>
      </c>
      <c r="I478" s="94"/>
    </row>
    <row r="479" spans="1:9" s="130" customFormat="1" ht="19.5" customHeight="1">
      <c r="A479" s="76"/>
      <c r="B479" s="78">
        <v>85154</v>
      </c>
      <c r="C479" s="78"/>
      <c r="D479" s="78" t="s">
        <v>394</v>
      </c>
      <c r="E479" s="801"/>
      <c r="F479" s="90"/>
      <c r="G479" s="90">
        <f t="shared" si="6"/>
        <v>8087</v>
      </c>
      <c r="H479" s="90">
        <f t="shared" si="6"/>
        <v>8087</v>
      </c>
      <c r="I479" s="138"/>
    </row>
    <row r="480" spans="1:12" s="229" customFormat="1" ht="25.5">
      <c r="A480" s="206"/>
      <c r="B480" s="207"/>
      <c r="C480" s="207"/>
      <c r="D480" s="901" t="s">
        <v>470</v>
      </c>
      <c r="E480" s="416"/>
      <c r="F480" s="416"/>
      <c r="G480" s="416">
        <f t="shared" si="6"/>
        <v>8087</v>
      </c>
      <c r="H480" s="416">
        <f t="shared" si="6"/>
        <v>8087</v>
      </c>
      <c r="I480" s="209"/>
      <c r="J480" s="209"/>
      <c r="L480" s="209"/>
    </row>
    <row r="481" spans="1:12" s="229" customFormat="1" ht="67.5" customHeight="1">
      <c r="A481" s="1283"/>
      <c r="B481" s="214"/>
      <c r="C481" s="214"/>
      <c r="D481" s="1284" t="s">
        <v>146</v>
      </c>
      <c r="E481" s="1285"/>
      <c r="F481" s="1285"/>
      <c r="G481" s="1285">
        <f>SUM(G482:G483)</f>
        <v>8087</v>
      </c>
      <c r="H481" s="1285">
        <f>SUM(H482:H483)</f>
        <v>8087</v>
      </c>
      <c r="I481" s="209"/>
      <c r="J481" s="209"/>
      <c r="L481" s="209"/>
    </row>
    <row r="482" spans="1:12" s="156" customFormat="1" ht="20.25" customHeight="1">
      <c r="A482" s="924"/>
      <c r="B482" s="169"/>
      <c r="C482" s="320">
        <v>4170</v>
      </c>
      <c r="D482" s="964" t="s">
        <v>395</v>
      </c>
      <c r="E482" s="154"/>
      <c r="F482" s="154"/>
      <c r="G482" s="154"/>
      <c r="H482" s="154">
        <v>8087</v>
      </c>
      <c r="I482" s="155"/>
      <c r="J482" s="155"/>
      <c r="L482" s="155"/>
    </row>
    <row r="483" spans="1:12" s="156" customFormat="1" ht="20.25" customHeight="1">
      <c r="A483" s="924"/>
      <c r="B483" s="169"/>
      <c r="C483" s="320">
        <v>4300</v>
      </c>
      <c r="D483" s="904" t="s">
        <v>384</v>
      </c>
      <c r="E483" s="764"/>
      <c r="F483" s="764"/>
      <c r="G483" s="418">
        <v>8087</v>
      </c>
      <c r="H483" s="418"/>
      <c r="I483" s="155"/>
      <c r="J483" s="155"/>
      <c r="L483" s="155"/>
    </row>
    <row r="484" spans="1:9" s="95" customFormat="1" ht="19.5" customHeight="1">
      <c r="A484" s="72">
        <v>852</v>
      </c>
      <c r="B484" s="89"/>
      <c r="C484" s="73"/>
      <c r="D484" s="92" t="s">
        <v>368</v>
      </c>
      <c r="E484" s="92"/>
      <c r="F484" s="74"/>
      <c r="G484" s="74">
        <f>G485+G488</f>
        <v>1872</v>
      </c>
      <c r="H484" s="74">
        <f>H485+H488</f>
        <v>1872</v>
      </c>
      <c r="I484" s="94"/>
    </row>
    <row r="485" spans="1:9" s="130" customFormat="1" ht="19.5" customHeight="1">
      <c r="A485" s="76"/>
      <c r="B485" s="78">
        <v>85201</v>
      </c>
      <c r="C485" s="78"/>
      <c r="D485" s="429" t="s">
        <v>849</v>
      </c>
      <c r="E485" s="801"/>
      <c r="F485" s="90"/>
      <c r="G485" s="90">
        <f>G486</f>
        <v>1872</v>
      </c>
      <c r="H485" s="90"/>
      <c r="I485" s="138"/>
    </row>
    <row r="486" spans="1:12" s="130" customFormat="1" ht="19.5" customHeight="1">
      <c r="A486" s="948"/>
      <c r="B486" s="214"/>
      <c r="C486" s="214"/>
      <c r="D486" s="66" t="s">
        <v>387</v>
      </c>
      <c r="E486" s="144"/>
      <c r="F486" s="144"/>
      <c r="G486" s="144">
        <f>G487</f>
        <v>1872</v>
      </c>
      <c r="H486" s="144"/>
      <c r="I486" s="138"/>
      <c r="J486" s="138"/>
      <c r="L486" s="138"/>
    </row>
    <row r="487" spans="1:12" s="156" customFormat="1" ht="19.5" customHeight="1">
      <c r="A487" s="924"/>
      <c r="B487" s="320"/>
      <c r="C487" s="320">
        <v>3110</v>
      </c>
      <c r="D487" s="896" t="s">
        <v>24</v>
      </c>
      <c r="E487" s="154"/>
      <c r="F487" s="154"/>
      <c r="G487" s="154">
        <v>1872</v>
      </c>
      <c r="H487" s="154"/>
      <c r="I487" s="155"/>
      <c r="J487" s="155"/>
      <c r="L487" s="155"/>
    </row>
    <row r="488" spans="1:9" s="130" customFormat="1" ht="19.5" customHeight="1">
      <c r="A488" s="76"/>
      <c r="B488" s="78">
        <v>85295</v>
      </c>
      <c r="C488" s="78"/>
      <c r="D488" s="429" t="s">
        <v>366</v>
      </c>
      <c r="E488" s="1282"/>
      <c r="F488" s="90"/>
      <c r="G488" s="90"/>
      <c r="H488" s="90">
        <f>H489</f>
        <v>1872</v>
      </c>
      <c r="I488" s="138"/>
    </row>
    <row r="489" spans="1:12" s="130" customFormat="1" ht="19.5" customHeight="1">
      <c r="A489" s="80"/>
      <c r="B489" s="207"/>
      <c r="C489" s="207"/>
      <c r="D489" s="1041" t="s">
        <v>641</v>
      </c>
      <c r="E489" s="144"/>
      <c r="F489" s="144"/>
      <c r="G489" s="144"/>
      <c r="H489" s="144">
        <f>H490</f>
        <v>1872</v>
      </c>
      <c r="I489" s="138"/>
      <c r="J489" s="138"/>
      <c r="L489" s="138"/>
    </row>
    <row r="490" spans="1:12" s="156" customFormat="1" ht="19.5" customHeight="1">
      <c r="A490" s="1558"/>
      <c r="B490" s="320"/>
      <c r="C490" s="320">
        <v>3110</v>
      </c>
      <c r="D490" s="83" t="s">
        <v>24</v>
      </c>
      <c r="E490" s="154"/>
      <c r="F490" s="154"/>
      <c r="G490" s="154"/>
      <c r="H490" s="154">
        <v>1872</v>
      </c>
      <c r="I490" s="155"/>
      <c r="J490" s="155"/>
      <c r="L490" s="155"/>
    </row>
    <row r="491" spans="1:9" s="156" customFormat="1" ht="21.75" customHeight="1" thickBot="1">
      <c r="A491" s="320"/>
      <c r="B491" s="320"/>
      <c r="C491" s="320"/>
      <c r="D491" s="163" t="s">
        <v>396</v>
      </c>
      <c r="E491" s="163"/>
      <c r="F491" s="162"/>
      <c r="G491" s="193"/>
      <c r="H491" s="193">
        <f>H492</f>
        <v>46000</v>
      </c>
      <c r="I491" s="155"/>
    </row>
    <row r="492" spans="1:9" s="148" customFormat="1" ht="19.5" customHeight="1" thickTop="1">
      <c r="A492" s="72">
        <v>852</v>
      </c>
      <c r="B492" s="89"/>
      <c r="C492" s="73"/>
      <c r="D492" s="92" t="s">
        <v>368</v>
      </c>
      <c r="E492" s="92"/>
      <c r="F492" s="96"/>
      <c r="G492" s="96"/>
      <c r="H492" s="96">
        <f>H493</f>
        <v>46000</v>
      </c>
      <c r="I492" s="147"/>
    </row>
    <row r="493" spans="1:9" s="130" customFormat="1" ht="22.5" customHeight="1">
      <c r="A493" s="81"/>
      <c r="B493" s="77">
        <v>85295</v>
      </c>
      <c r="C493" s="77"/>
      <c r="D493" s="323" t="s">
        <v>366</v>
      </c>
      <c r="E493" s="313"/>
      <c r="F493" s="90"/>
      <c r="G493" s="90"/>
      <c r="H493" s="90">
        <f>H494</f>
        <v>46000</v>
      </c>
      <c r="I493" s="138"/>
    </row>
    <row r="494" spans="1:12" s="229" customFormat="1" ht="19.5" customHeight="1">
      <c r="A494" s="206"/>
      <c r="B494" s="207"/>
      <c r="C494" s="66"/>
      <c r="D494" s="210" t="s">
        <v>784</v>
      </c>
      <c r="E494" s="416"/>
      <c r="F494" s="416"/>
      <c r="G494" s="416"/>
      <c r="H494" s="416">
        <f>H495</f>
        <v>46000</v>
      </c>
      <c r="I494" s="209"/>
      <c r="J494" s="209"/>
      <c r="L494" s="209"/>
    </row>
    <row r="495" spans="1:12" s="156" customFormat="1" ht="19.5" customHeight="1">
      <c r="A495" s="205"/>
      <c r="B495" s="169"/>
      <c r="C495" s="82">
        <v>4210</v>
      </c>
      <c r="D495" s="82" t="s">
        <v>383</v>
      </c>
      <c r="E495" s="154"/>
      <c r="F495" s="154"/>
      <c r="G495" s="154"/>
      <c r="H495" s="154">
        <v>46000</v>
      </c>
      <c r="I495" s="155"/>
      <c r="J495" s="155"/>
      <c r="L495" s="155"/>
    </row>
    <row r="496" spans="1:9" s="168" customFormat="1" ht="24.75" customHeight="1">
      <c r="A496" s="164"/>
      <c r="B496" s="139"/>
      <c r="C496" s="165"/>
      <c r="D496" s="166" t="s">
        <v>548</v>
      </c>
      <c r="E496" s="166"/>
      <c r="F496" s="167"/>
      <c r="G496" s="167">
        <f>G497+G525</f>
        <v>139836</v>
      </c>
      <c r="H496" s="167">
        <f>H497+H525</f>
        <v>203586</v>
      </c>
      <c r="I496" s="318"/>
    </row>
    <row r="497" spans="1:9" s="156" customFormat="1" ht="21.75" customHeight="1" thickBot="1">
      <c r="A497" s="320"/>
      <c r="B497" s="320"/>
      <c r="C497" s="320"/>
      <c r="D497" s="163" t="s">
        <v>360</v>
      </c>
      <c r="E497" s="163"/>
      <c r="F497" s="162"/>
      <c r="G497" s="193">
        <f>G498</f>
        <v>139836</v>
      </c>
      <c r="H497" s="193">
        <f>H498</f>
        <v>139836</v>
      </c>
      <c r="I497" s="155"/>
    </row>
    <row r="498" spans="1:9" s="148" customFormat="1" ht="19.5" customHeight="1" thickTop="1">
      <c r="A498" s="72">
        <v>852</v>
      </c>
      <c r="B498" s="89"/>
      <c r="C498" s="73"/>
      <c r="D498" s="92" t="s">
        <v>368</v>
      </c>
      <c r="E498" s="92"/>
      <c r="F498" s="96"/>
      <c r="G498" s="96">
        <f>G499+G508</f>
        <v>139836</v>
      </c>
      <c r="H498" s="96">
        <f>H499+H508</f>
        <v>139836</v>
      </c>
      <c r="I498" s="147"/>
    </row>
    <row r="499" spans="1:9" s="130" customFormat="1" ht="22.5" customHeight="1">
      <c r="A499" s="81"/>
      <c r="B499" s="77">
        <v>85201</v>
      </c>
      <c r="C499" s="77"/>
      <c r="D499" s="323" t="s">
        <v>849</v>
      </c>
      <c r="E499" s="313"/>
      <c r="F499" s="90"/>
      <c r="G499" s="90"/>
      <c r="H499" s="90">
        <f>H500+H503+H505</f>
        <v>139836</v>
      </c>
      <c r="I499" s="138"/>
    </row>
    <row r="500" spans="1:12" s="229" customFormat="1" ht="19.5" customHeight="1">
      <c r="A500" s="206"/>
      <c r="B500" s="207"/>
      <c r="C500" s="207"/>
      <c r="D500" s="893" t="s">
        <v>57</v>
      </c>
      <c r="E500" s="416"/>
      <c r="F500" s="416"/>
      <c r="G500" s="416"/>
      <c r="H500" s="416">
        <f>SUM(H501:H502)</f>
        <v>112000</v>
      </c>
      <c r="I500" s="209"/>
      <c r="J500" s="209"/>
      <c r="L500" s="209"/>
    </row>
    <row r="501" spans="1:12" s="156" customFormat="1" ht="18" customHeight="1">
      <c r="A501" s="205"/>
      <c r="B501" s="169"/>
      <c r="C501" s="320">
        <v>4010</v>
      </c>
      <c r="D501" s="900" t="s">
        <v>335</v>
      </c>
      <c r="E501" s="154"/>
      <c r="F501" s="154"/>
      <c r="G501" s="154"/>
      <c r="H501" s="154">
        <v>107000</v>
      </c>
      <c r="I501" s="155"/>
      <c r="J501" s="155"/>
      <c r="L501" s="155"/>
    </row>
    <row r="502" spans="1:12" s="156" customFormat="1" ht="18" customHeight="1">
      <c r="A502" s="205"/>
      <c r="B502" s="169"/>
      <c r="C502" s="169">
        <v>4170</v>
      </c>
      <c r="D502" s="1099" t="s">
        <v>395</v>
      </c>
      <c r="E502" s="764"/>
      <c r="F502" s="764"/>
      <c r="G502" s="764"/>
      <c r="H502" s="764">
        <v>5000</v>
      </c>
      <c r="I502" s="155"/>
      <c r="J502" s="155"/>
      <c r="L502" s="155"/>
    </row>
    <row r="503" spans="1:12" s="229" customFormat="1" ht="18" customHeight="1">
      <c r="A503" s="206"/>
      <c r="B503" s="214"/>
      <c r="C503" s="207"/>
      <c r="D503" s="893" t="s">
        <v>387</v>
      </c>
      <c r="E503" s="803"/>
      <c r="F503" s="803"/>
      <c r="G503" s="803"/>
      <c r="H503" s="803">
        <f>H504</f>
        <v>6236</v>
      </c>
      <c r="I503" s="209"/>
      <c r="J503" s="209"/>
      <c r="L503" s="209"/>
    </row>
    <row r="504" spans="1:12" s="156" customFormat="1" ht="18" customHeight="1">
      <c r="A504" s="205"/>
      <c r="B504" s="169"/>
      <c r="C504" s="1198">
        <v>4220</v>
      </c>
      <c r="D504" s="1199" t="s">
        <v>472</v>
      </c>
      <c r="E504" s="154"/>
      <c r="F504" s="154"/>
      <c r="G504" s="154"/>
      <c r="H504" s="154">
        <v>6236</v>
      </c>
      <c r="I504" s="155"/>
      <c r="J504" s="155"/>
      <c r="L504" s="155"/>
    </row>
    <row r="505" spans="1:12" s="229" customFormat="1" ht="18" customHeight="1">
      <c r="A505" s="206"/>
      <c r="B505" s="214"/>
      <c r="C505" s="214"/>
      <c r="D505" s="214" t="s">
        <v>413</v>
      </c>
      <c r="E505" s="803"/>
      <c r="F505" s="803"/>
      <c r="G505" s="803"/>
      <c r="H505" s="803">
        <f>SUM(H506:H507)</f>
        <v>21600</v>
      </c>
      <c r="I505" s="209"/>
      <c r="J505" s="209"/>
      <c r="L505" s="209"/>
    </row>
    <row r="506" spans="1:12" s="156" customFormat="1" ht="18" customHeight="1">
      <c r="A506" s="205"/>
      <c r="B506" s="169"/>
      <c r="C506" s="320">
        <v>4110</v>
      </c>
      <c r="D506" s="896" t="s">
        <v>462</v>
      </c>
      <c r="E506" s="154"/>
      <c r="F506" s="154"/>
      <c r="G506" s="154"/>
      <c r="H506" s="154">
        <v>19100</v>
      </c>
      <c r="I506" s="155"/>
      <c r="J506" s="155"/>
      <c r="L506" s="155"/>
    </row>
    <row r="507" spans="1:12" s="156" customFormat="1" ht="18" customHeight="1">
      <c r="A507" s="205"/>
      <c r="B507" s="320"/>
      <c r="C507" s="161">
        <v>4120</v>
      </c>
      <c r="D507" s="161" t="s">
        <v>463</v>
      </c>
      <c r="E507" s="418"/>
      <c r="F507" s="418"/>
      <c r="G507" s="418"/>
      <c r="H507" s="418">
        <v>2500</v>
      </c>
      <c r="I507" s="155"/>
      <c r="J507" s="155"/>
      <c r="L507" s="155"/>
    </row>
    <row r="508" spans="1:9" s="425" customFormat="1" ht="26.25" customHeight="1">
      <c r="A508" s="884"/>
      <c r="B508" s="885">
        <v>85220</v>
      </c>
      <c r="C508" s="886"/>
      <c r="D508" s="887" t="s">
        <v>285</v>
      </c>
      <c r="E508" s="888"/>
      <c r="F508" s="800"/>
      <c r="G508" s="889">
        <f>G509+G517</f>
        <v>139836</v>
      </c>
      <c r="H508" s="889"/>
      <c r="I508" s="890"/>
    </row>
    <row r="509" spans="1:9" s="229" customFormat="1" ht="17.25" customHeight="1">
      <c r="A509" s="206"/>
      <c r="B509" s="214"/>
      <c r="C509" s="207"/>
      <c r="D509" s="207" t="s">
        <v>286</v>
      </c>
      <c r="E509" s="882"/>
      <c r="F509" s="883"/>
      <c r="G509" s="416">
        <f>G510+G512+G514</f>
        <v>34336</v>
      </c>
      <c r="H509" s="883"/>
      <c r="I509" s="209"/>
    </row>
    <row r="510" spans="1:9" s="229" customFormat="1" ht="18" customHeight="1">
      <c r="A510" s="206"/>
      <c r="B510" s="214"/>
      <c r="C510" s="214"/>
      <c r="D510" s="894" t="s">
        <v>57</v>
      </c>
      <c r="E510" s="891"/>
      <c r="F510" s="892"/>
      <c r="G510" s="895">
        <f>G511</f>
        <v>29000</v>
      </c>
      <c r="H510" s="892"/>
      <c r="I510" s="209"/>
    </row>
    <row r="511" spans="1:9" s="156" customFormat="1" ht="19.5" customHeight="1">
      <c r="A511" s="205"/>
      <c r="B511" s="169"/>
      <c r="C511" s="320">
        <v>4010</v>
      </c>
      <c r="D511" s="896" t="s">
        <v>335</v>
      </c>
      <c r="E511" s="216"/>
      <c r="F511" s="1015"/>
      <c r="G511" s="897">
        <v>29000</v>
      </c>
      <c r="H511" s="1015"/>
      <c r="I511" s="155"/>
    </row>
    <row r="512" spans="1:9" s="229" customFormat="1" ht="19.5" customHeight="1">
      <c r="A512" s="206"/>
      <c r="B512" s="214"/>
      <c r="C512" s="214"/>
      <c r="D512" s="894" t="s">
        <v>387</v>
      </c>
      <c r="E512" s="208"/>
      <c r="F512" s="687"/>
      <c r="G512" s="895">
        <f>G513</f>
        <v>736</v>
      </c>
      <c r="H512" s="687"/>
      <c r="I512" s="209"/>
    </row>
    <row r="513" spans="1:9" s="156" customFormat="1" ht="17.25" customHeight="1">
      <c r="A513" s="205"/>
      <c r="B513" s="169"/>
      <c r="C513" s="320">
        <v>4440</v>
      </c>
      <c r="D513" s="896" t="s">
        <v>56</v>
      </c>
      <c r="E513" s="216"/>
      <c r="F513" s="1015"/>
      <c r="G513" s="897">
        <v>736</v>
      </c>
      <c r="H513" s="1015"/>
      <c r="I513" s="155"/>
    </row>
    <row r="514" spans="1:9" s="229" customFormat="1" ht="19.5" customHeight="1">
      <c r="A514" s="206"/>
      <c r="B514" s="214"/>
      <c r="C514" s="214"/>
      <c r="D514" s="894" t="s">
        <v>413</v>
      </c>
      <c r="E514" s="208"/>
      <c r="F514" s="687"/>
      <c r="G514" s="895">
        <f>SUM(G515:G516)</f>
        <v>4600</v>
      </c>
      <c r="H514" s="687"/>
      <c r="I514" s="209"/>
    </row>
    <row r="515" spans="1:9" s="156" customFormat="1" ht="17.25" customHeight="1">
      <c r="A515" s="205"/>
      <c r="B515" s="169"/>
      <c r="C515" s="320">
        <v>4110</v>
      </c>
      <c r="D515" s="896" t="s">
        <v>462</v>
      </c>
      <c r="E515" s="321"/>
      <c r="F515" s="684"/>
      <c r="G515" s="897">
        <v>4100</v>
      </c>
      <c r="H515" s="684"/>
      <c r="I515" s="155"/>
    </row>
    <row r="516" spans="1:9" s="156" customFormat="1" ht="19.5" customHeight="1">
      <c r="A516" s="205"/>
      <c r="B516" s="169"/>
      <c r="C516" s="320">
        <v>4120</v>
      </c>
      <c r="D516" s="320" t="s">
        <v>463</v>
      </c>
      <c r="E516" s="216"/>
      <c r="F516" s="1015"/>
      <c r="G516" s="414">
        <v>500</v>
      </c>
      <c r="H516" s="1015"/>
      <c r="I516" s="155"/>
    </row>
    <row r="517" spans="1:9" s="229" customFormat="1" ht="19.5" customHeight="1">
      <c r="A517" s="206"/>
      <c r="B517" s="214"/>
      <c r="C517" s="207"/>
      <c r="D517" s="207" t="s">
        <v>642</v>
      </c>
      <c r="E517" s="1196"/>
      <c r="F517" s="1197"/>
      <c r="G517" s="416">
        <f>G518+G520+G522</f>
        <v>105500</v>
      </c>
      <c r="H517" s="1197"/>
      <c r="I517" s="209"/>
    </row>
    <row r="518" spans="1:9" s="229" customFormat="1" ht="19.5" customHeight="1">
      <c r="A518" s="206"/>
      <c r="B518" s="214"/>
      <c r="C518" s="214"/>
      <c r="D518" s="894" t="s">
        <v>57</v>
      </c>
      <c r="E518" s="891"/>
      <c r="F518" s="892"/>
      <c r="G518" s="895">
        <f>G519</f>
        <v>83000</v>
      </c>
      <c r="H518" s="892"/>
      <c r="I518" s="209"/>
    </row>
    <row r="519" spans="1:9" s="156" customFormat="1" ht="19.5" customHeight="1">
      <c r="A519" s="227"/>
      <c r="B519" s="320"/>
      <c r="C519" s="320">
        <v>4010</v>
      </c>
      <c r="D519" s="896" t="s">
        <v>335</v>
      </c>
      <c r="E519" s="321"/>
      <c r="F519" s="684"/>
      <c r="G519" s="897">
        <v>83000</v>
      </c>
      <c r="H519" s="684"/>
      <c r="I519" s="155"/>
    </row>
    <row r="520" spans="1:9" s="229" customFormat="1" ht="19.5" customHeight="1">
      <c r="A520" s="206"/>
      <c r="B520" s="214"/>
      <c r="C520" s="214"/>
      <c r="D520" s="214" t="s">
        <v>387</v>
      </c>
      <c r="E520" s="882"/>
      <c r="F520" s="883"/>
      <c r="G520" s="803">
        <f>G521</f>
        <v>5500</v>
      </c>
      <c r="H520" s="883"/>
      <c r="I520" s="209"/>
    </row>
    <row r="521" spans="1:9" s="156" customFormat="1" ht="19.5" customHeight="1">
      <c r="A521" s="205"/>
      <c r="B521" s="169"/>
      <c r="C521" s="320">
        <v>4440</v>
      </c>
      <c r="D521" s="896" t="s">
        <v>56</v>
      </c>
      <c r="E521" s="778"/>
      <c r="F521" s="1195"/>
      <c r="G521" s="897">
        <v>5500</v>
      </c>
      <c r="H521" s="1195"/>
      <c r="I521" s="155"/>
    </row>
    <row r="522" spans="1:9" s="229" customFormat="1" ht="19.5" customHeight="1">
      <c r="A522" s="206"/>
      <c r="B522" s="214"/>
      <c r="C522" s="214"/>
      <c r="D522" s="894" t="s">
        <v>413</v>
      </c>
      <c r="E522" s="882"/>
      <c r="F522" s="883"/>
      <c r="G522" s="895">
        <f>SUM(G523:G524)</f>
        <v>17000</v>
      </c>
      <c r="H522" s="883"/>
      <c r="I522" s="209"/>
    </row>
    <row r="523" spans="1:9" s="156" customFormat="1" ht="19.5" customHeight="1">
      <c r="A523" s="205"/>
      <c r="B523" s="169"/>
      <c r="C523" s="320">
        <v>4110</v>
      </c>
      <c r="D523" s="896" t="s">
        <v>462</v>
      </c>
      <c r="E523" s="778"/>
      <c r="F523" s="1195"/>
      <c r="G523" s="897">
        <v>15000</v>
      </c>
      <c r="H523" s="1195"/>
      <c r="I523" s="155"/>
    </row>
    <row r="524" spans="1:9" s="156" customFormat="1" ht="19.5" customHeight="1">
      <c r="A524" s="205"/>
      <c r="B524" s="169"/>
      <c r="C524" s="320">
        <v>4120</v>
      </c>
      <c r="D524" s="320" t="s">
        <v>463</v>
      </c>
      <c r="E524" s="321"/>
      <c r="F524" s="684"/>
      <c r="G524" s="414">
        <v>2000</v>
      </c>
      <c r="H524" s="684"/>
      <c r="I524" s="155"/>
    </row>
    <row r="525" spans="1:9" s="156" customFormat="1" ht="21" customHeight="1" thickBot="1">
      <c r="A525" s="320"/>
      <c r="B525" s="320"/>
      <c r="C525" s="320"/>
      <c r="D525" s="1043" t="s">
        <v>396</v>
      </c>
      <c r="E525" s="163"/>
      <c r="F525" s="162"/>
      <c r="G525" s="193"/>
      <c r="H525" s="193">
        <f>H526</f>
        <v>63750</v>
      </c>
      <c r="I525" s="155"/>
    </row>
    <row r="526" spans="1:9" s="148" customFormat="1" ht="19.5" customHeight="1" thickTop="1">
      <c r="A526" s="72">
        <v>852</v>
      </c>
      <c r="B526" s="89"/>
      <c r="C526" s="73"/>
      <c r="D526" s="92" t="s">
        <v>368</v>
      </c>
      <c r="E526" s="92"/>
      <c r="F526" s="96"/>
      <c r="G526" s="96"/>
      <c r="H526" s="96">
        <f>H527</f>
        <v>63750</v>
      </c>
      <c r="I526" s="147"/>
    </row>
    <row r="527" spans="1:9" s="130" customFormat="1" ht="19.5" customHeight="1">
      <c r="A527" s="81"/>
      <c r="B527" s="77">
        <v>85295</v>
      </c>
      <c r="C527" s="77"/>
      <c r="D527" s="323" t="s">
        <v>366</v>
      </c>
      <c r="E527" s="313"/>
      <c r="F527" s="90"/>
      <c r="G527" s="90"/>
      <c r="H527" s="90">
        <f>H528</f>
        <v>63750</v>
      </c>
      <c r="I527" s="138"/>
    </row>
    <row r="528" spans="1:12" s="130" customFormat="1" ht="19.5" customHeight="1">
      <c r="A528" s="80"/>
      <c r="B528" s="207"/>
      <c r="C528" s="66"/>
      <c r="D528" s="210" t="s">
        <v>784</v>
      </c>
      <c r="E528" s="144"/>
      <c r="F528" s="144"/>
      <c r="G528" s="144"/>
      <c r="H528" s="144">
        <f>SUM(H529:H530)</f>
        <v>63750</v>
      </c>
      <c r="I528" s="138"/>
      <c r="J528" s="138"/>
      <c r="L528" s="138"/>
    </row>
    <row r="529" spans="1:12" s="156" customFormat="1" ht="19.5" customHeight="1">
      <c r="A529" s="924"/>
      <c r="B529" s="169"/>
      <c r="C529" s="82">
        <v>4210</v>
      </c>
      <c r="D529" s="82" t="s">
        <v>383</v>
      </c>
      <c r="E529" s="154"/>
      <c r="F529" s="154"/>
      <c r="G529" s="154"/>
      <c r="H529" s="154">
        <v>43750</v>
      </c>
      <c r="I529" s="155"/>
      <c r="J529" s="155"/>
      <c r="L529" s="155"/>
    </row>
    <row r="530" spans="1:12" s="156" customFormat="1" ht="19.5" customHeight="1">
      <c r="A530" s="924"/>
      <c r="B530" s="169"/>
      <c r="C530" s="480">
        <v>4270</v>
      </c>
      <c r="D530" s="480" t="s">
        <v>507</v>
      </c>
      <c r="E530" s="764"/>
      <c r="F530" s="764"/>
      <c r="G530" s="764"/>
      <c r="H530" s="764">
        <v>20000</v>
      </c>
      <c r="I530" s="155"/>
      <c r="J530" s="155"/>
      <c r="L530" s="155"/>
    </row>
    <row r="531" spans="1:9" s="168" customFormat="1" ht="24.75" customHeight="1">
      <c r="A531" s="164"/>
      <c r="B531" s="139"/>
      <c r="C531" s="165"/>
      <c r="D531" s="166" t="s">
        <v>643</v>
      </c>
      <c r="E531" s="166"/>
      <c r="F531" s="167"/>
      <c r="G531" s="167"/>
      <c r="H531" s="167">
        <f>H532</f>
        <v>61000</v>
      </c>
      <c r="I531" s="318"/>
    </row>
    <row r="532" spans="1:9" s="156" customFormat="1" ht="21.75" customHeight="1" thickBot="1">
      <c r="A532" s="320"/>
      <c r="B532" s="320"/>
      <c r="C532" s="320"/>
      <c r="D532" s="1043" t="s">
        <v>396</v>
      </c>
      <c r="E532" s="163"/>
      <c r="F532" s="162"/>
      <c r="G532" s="193"/>
      <c r="H532" s="193">
        <f>H533</f>
        <v>61000</v>
      </c>
      <c r="I532" s="155"/>
    </row>
    <row r="533" spans="1:9" s="148" customFormat="1" ht="19.5" customHeight="1" thickTop="1">
      <c r="A533" s="72">
        <v>852</v>
      </c>
      <c r="B533" s="89"/>
      <c r="C533" s="73"/>
      <c r="D533" s="92" t="s">
        <v>368</v>
      </c>
      <c r="E533" s="92"/>
      <c r="F533" s="96"/>
      <c r="G533" s="96"/>
      <c r="H533" s="96">
        <f>H534</f>
        <v>61000</v>
      </c>
      <c r="I533" s="147"/>
    </row>
    <row r="534" spans="1:9" s="130" customFormat="1" ht="22.5" customHeight="1">
      <c r="A534" s="81"/>
      <c r="B534" s="77">
        <v>85295</v>
      </c>
      <c r="C534" s="77"/>
      <c r="D534" s="323" t="s">
        <v>366</v>
      </c>
      <c r="E534" s="313"/>
      <c r="F534" s="90"/>
      <c r="G534" s="90"/>
      <c r="H534" s="90">
        <f>H535</f>
        <v>61000</v>
      </c>
      <c r="I534" s="138"/>
    </row>
    <row r="535" spans="1:12" s="229" customFormat="1" ht="19.5" customHeight="1">
      <c r="A535" s="80"/>
      <c r="B535" s="207"/>
      <c r="C535" s="66"/>
      <c r="D535" s="466" t="s">
        <v>784</v>
      </c>
      <c r="E535" s="416"/>
      <c r="F535" s="416"/>
      <c r="G535" s="416"/>
      <c r="H535" s="416">
        <f>H536</f>
        <v>61000</v>
      </c>
      <c r="I535" s="209"/>
      <c r="J535" s="209"/>
      <c r="L535" s="209"/>
    </row>
    <row r="536" spans="1:12" s="156" customFormat="1" ht="19.5" customHeight="1">
      <c r="A536" s="924"/>
      <c r="B536" s="169"/>
      <c r="C536" s="82">
        <v>4270</v>
      </c>
      <c r="D536" s="971" t="s">
        <v>507</v>
      </c>
      <c r="E536" s="154"/>
      <c r="F536" s="154"/>
      <c r="G536" s="154"/>
      <c r="H536" s="154">
        <v>61000</v>
      </c>
      <c r="I536" s="155"/>
      <c r="J536" s="155"/>
      <c r="L536" s="155"/>
    </row>
    <row r="537" spans="1:9" s="168" customFormat="1" ht="19.5" customHeight="1">
      <c r="A537" s="164"/>
      <c r="B537" s="139"/>
      <c r="C537" s="165"/>
      <c r="D537" s="780" t="s">
        <v>549</v>
      </c>
      <c r="E537" s="464"/>
      <c r="F537" s="465"/>
      <c r="G537" s="465">
        <f aca="true" t="shared" si="7" ref="G537:H539">G538</f>
        <v>18550</v>
      </c>
      <c r="H537" s="465">
        <f t="shared" si="7"/>
        <v>18550</v>
      </c>
      <c r="I537" s="318"/>
    </row>
    <row r="538" spans="1:9" s="156" customFormat="1" ht="19.5" customHeight="1" thickBot="1">
      <c r="A538" s="320"/>
      <c r="B538" s="320"/>
      <c r="C538" s="320"/>
      <c r="D538" s="163" t="s">
        <v>360</v>
      </c>
      <c r="E538" s="163"/>
      <c r="F538" s="162"/>
      <c r="G538" s="193">
        <f t="shared" si="7"/>
        <v>18550</v>
      </c>
      <c r="H538" s="193">
        <f t="shared" si="7"/>
        <v>18550</v>
      </c>
      <c r="I538" s="155"/>
    </row>
    <row r="539" spans="1:9" s="95" customFormat="1" ht="19.5" customHeight="1" thickTop="1">
      <c r="A539" s="431">
        <v>852</v>
      </c>
      <c r="B539" s="73"/>
      <c r="C539" s="73"/>
      <c r="D539" s="92" t="s">
        <v>368</v>
      </c>
      <c r="E539" s="92"/>
      <c r="F539" s="74"/>
      <c r="G539" s="74">
        <f t="shared" si="7"/>
        <v>18550</v>
      </c>
      <c r="H539" s="74">
        <f t="shared" si="7"/>
        <v>18550</v>
      </c>
      <c r="I539" s="94"/>
    </row>
    <row r="540" spans="1:9" s="130" customFormat="1" ht="19.5" customHeight="1">
      <c r="A540" s="81"/>
      <c r="B540" s="77">
        <v>85201</v>
      </c>
      <c r="C540" s="77"/>
      <c r="D540" s="323" t="s">
        <v>849</v>
      </c>
      <c r="E540" s="313"/>
      <c r="F540" s="90"/>
      <c r="G540" s="90">
        <f>G541+G544+G551</f>
        <v>18550</v>
      </c>
      <c r="H540" s="90">
        <f>H541+H544+H551</f>
        <v>18550</v>
      </c>
      <c r="I540" s="138"/>
    </row>
    <row r="541" spans="1:12" s="229" customFormat="1" ht="19.5" customHeight="1">
      <c r="A541" s="206"/>
      <c r="B541" s="207"/>
      <c r="C541" s="207"/>
      <c r="D541" s="893" t="s">
        <v>57</v>
      </c>
      <c r="E541" s="416"/>
      <c r="F541" s="416"/>
      <c r="G541" s="416">
        <f>SUM(G542:G543)</f>
        <v>1500</v>
      </c>
      <c r="H541" s="416">
        <f>SUM(H542:H543)</f>
        <v>18550</v>
      </c>
      <c r="I541" s="209"/>
      <c r="J541" s="209"/>
      <c r="L541" s="209"/>
    </row>
    <row r="542" spans="1:12" s="156" customFormat="1" ht="19.5" customHeight="1">
      <c r="A542" s="205"/>
      <c r="B542" s="169"/>
      <c r="C542" s="320">
        <v>4010</v>
      </c>
      <c r="D542" s="900" t="s">
        <v>335</v>
      </c>
      <c r="E542" s="154"/>
      <c r="F542" s="154"/>
      <c r="G542" s="154"/>
      <c r="H542" s="154">
        <v>18550</v>
      </c>
      <c r="I542" s="155"/>
      <c r="J542" s="155"/>
      <c r="L542" s="155"/>
    </row>
    <row r="543" spans="1:12" s="156" customFormat="1" ht="19.5" customHeight="1">
      <c r="A543" s="205"/>
      <c r="B543" s="169"/>
      <c r="C543" s="169">
        <v>4170</v>
      </c>
      <c r="D543" s="1099" t="s">
        <v>395</v>
      </c>
      <c r="E543" s="783"/>
      <c r="F543" s="783"/>
      <c r="G543" s="783">
        <v>1500</v>
      </c>
      <c r="H543" s="783"/>
      <c r="I543" s="155"/>
      <c r="J543" s="155"/>
      <c r="L543" s="155"/>
    </row>
    <row r="544" spans="1:12" s="229" customFormat="1" ht="19.5" customHeight="1">
      <c r="A544" s="206"/>
      <c r="B544" s="214"/>
      <c r="C544" s="207"/>
      <c r="D544" s="893" t="s">
        <v>387</v>
      </c>
      <c r="E544" s="416"/>
      <c r="F544" s="416"/>
      <c r="G544" s="416">
        <f>SUM(G545:G550)</f>
        <v>12850</v>
      </c>
      <c r="H544" s="416"/>
      <c r="I544" s="209"/>
      <c r="J544" s="209"/>
      <c r="L544" s="209"/>
    </row>
    <row r="545" spans="1:12" s="156" customFormat="1" ht="19.5" customHeight="1">
      <c r="A545" s="205"/>
      <c r="B545" s="169"/>
      <c r="C545" s="169">
        <v>3110</v>
      </c>
      <c r="D545" s="778" t="s">
        <v>24</v>
      </c>
      <c r="E545" s="154"/>
      <c r="F545" s="154"/>
      <c r="G545" s="154">
        <v>300</v>
      </c>
      <c r="H545" s="154"/>
      <c r="I545" s="155"/>
      <c r="J545" s="155"/>
      <c r="L545" s="155"/>
    </row>
    <row r="546" spans="1:12" s="156" customFormat="1" ht="19.5" customHeight="1">
      <c r="A546" s="205"/>
      <c r="B546" s="169"/>
      <c r="C546" s="161">
        <v>4210</v>
      </c>
      <c r="D546" s="903" t="s">
        <v>383</v>
      </c>
      <c r="E546" s="764"/>
      <c r="F546" s="764"/>
      <c r="G546" s="764">
        <v>3500</v>
      </c>
      <c r="H546" s="764"/>
      <c r="I546" s="155"/>
      <c r="J546" s="155"/>
      <c r="L546" s="155"/>
    </row>
    <row r="547" spans="1:12" s="156" customFormat="1" ht="19.5" customHeight="1">
      <c r="A547" s="227"/>
      <c r="B547" s="320"/>
      <c r="C547" s="1108">
        <v>4220</v>
      </c>
      <c r="D547" s="1109" t="s">
        <v>472</v>
      </c>
      <c r="E547" s="764"/>
      <c r="F547" s="764"/>
      <c r="G547" s="764">
        <v>7250</v>
      </c>
      <c r="H547" s="764"/>
      <c r="I547" s="1107"/>
      <c r="J547" s="155"/>
      <c r="L547" s="155"/>
    </row>
    <row r="548" spans="1:12" s="156" customFormat="1" ht="19.5" customHeight="1">
      <c r="A548" s="205"/>
      <c r="B548" s="169"/>
      <c r="C548" s="320">
        <v>4300</v>
      </c>
      <c r="D548" s="82" t="s">
        <v>384</v>
      </c>
      <c r="E548" s="418"/>
      <c r="F548" s="418"/>
      <c r="G548" s="418">
        <v>1200</v>
      </c>
      <c r="H548" s="418"/>
      <c r="I548" s="155"/>
      <c r="J548" s="155"/>
      <c r="L548" s="155"/>
    </row>
    <row r="549" spans="1:12" s="156" customFormat="1" ht="19.5" customHeight="1">
      <c r="A549" s="205"/>
      <c r="B549" s="169"/>
      <c r="C549" s="161">
        <v>4410</v>
      </c>
      <c r="D549" s="480" t="s">
        <v>468</v>
      </c>
      <c r="E549" s="764"/>
      <c r="F549" s="764"/>
      <c r="G549" s="764">
        <v>300</v>
      </c>
      <c r="H549" s="764"/>
      <c r="I549" s="155"/>
      <c r="J549" s="155"/>
      <c r="L549" s="155"/>
    </row>
    <row r="550" spans="1:12" s="156" customFormat="1" ht="19.5" customHeight="1">
      <c r="A550" s="205"/>
      <c r="B550" s="169"/>
      <c r="C550" s="161">
        <v>4430</v>
      </c>
      <c r="D550" s="480" t="s">
        <v>466</v>
      </c>
      <c r="E550" s="764"/>
      <c r="F550" s="764"/>
      <c r="G550" s="764">
        <v>300</v>
      </c>
      <c r="H550" s="764"/>
      <c r="I550" s="155"/>
      <c r="J550" s="155"/>
      <c r="L550" s="155"/>
    </row>
    <row r="551" spans="1:12" s="130" customFormat="1" ht="19.5" customHeight="1">
      <c r="A551" s="948"/>
      <c r="B551" s="214"/>
      <c r="C551" s="214"/>
      <c r="D551" s="66" t="s">
        <v>413</v>
      </c>
      <c r="E551" s="267"/>
      <c r="F551" s="267"/>
      <c r="G551" s="267">
        <f>SUM(G552:G553)</f>
        <v>4200</v>
      </c>
      <c r="H551" s="267"/>
      <c r="I551" s="138"/>
      <c r="J551" s="138"/>
      <c r="L551" s="138"/>
    </row>
    <row r="552" spans="1:12" s="156" customFormat="1" ht="19.5" customHeight="1">
      <c r="A552" s="924"/>
      <c r="B552" s="169"/>
      <c r="C552" s="320">
        <v>4110</v>
      </c>
      <c r="D552" s="896" t="s">
        <v>462</v>
      </c>
      <c r="E552" s="154"/>
      <c r="F552" s="154"/>
      <c r="G552" s="154">
        <v>3600</v>
      </c>
      <c r="H552" s="154"/>
      <c r="I552" s="155"/>
      <c r="J552" s="155"/>
      <c r="L552" s="155"/>
    </row>
    <row r="553" spans="1:12" s="156" customFormat="1" ht="19.5" customHeight="1">
      <c r="A553" s="924"/>
      <c r="B553" s="169"/>
      <c r="C553" s="161">
        <v>4120</v>
      </c>
      <c r="D553" s="161" t="s">
        <v>463</v>
      </c>
      <c r="E553" s="764"/>
      <c r="F553" s="764"/>
      <c r="G553" s="764">
        <v>600</v>
      </c>
      <c r="H553" s="764"/>
      <c r="I553" s="155"/>
      <c r="J553" s="155"/>
      <c r="L553" s="155"/>
    </row>
    <row r="554" spans="1:9" s="168" customFormat="1" ht="19.5" customHeight="1">
      <c r="A554" s="164"/>
      <c r="B554" s="139"/>
      <c r="C554" s="165"/>
      <c r="D554" s="780" t="s">
        <v>550</v>
      </c>
      <c r="E554" s="464"/>
      <c r="F554" s="465"/>
      <c r="G554" s="465">
        <f>G555+G563</f>
        <v>28000</v>
      </c>
      <c r="H554" s="465">
        <f>H555+H563</f>
        <v>49550</v>
      </c>
      <c r="I554" s="318"/>
    </row>
    <row r="555" spans="1:9" s="156" customFormat="1" ht="19.5" customHeight="1" thickBot="1">
      <c r="A555" s="320"/>
      <c r="B555" s="320"/>
      <c r="C555" s="320"/>
      <c r="D555" s="163" t="s">
        <v>360</v>
      </c>
      <c r="E555" s="163"/>
      <c r="F555" s="162"/>
      <c r="G555" s="193">
        <f>G556</f>
        <v>28000</v>
      </c>
      <c r="H555" s="193">
        <f>H556</f>
        <v>28000</v>
      </c>
      <c r="I555" s="155"/>
    </row>
    <row r="556" spans="1:9" s="95" customFormat="1" ht="19.5" customHeight="1" thickTop="1">
      <c r="A556" s="431">
        <v>852</v>
      </c>
      <c r="B556" s="73"/>
      <c r="C556" s="73"/>
      <c r="D556" s="92" t="s">
        <v>368</v>
      </c>
      <c r="E556" s="92"/>
      <c r="F556" s="74"/>
      <c r="G556" s="74">
        <f>G557</f>
        <v>28000</v>
      </c>
      <c r="H556" s="74">
        <f>H557</f>
        <v>28000</v>
      </c>
      <c r="I556" s="94"/>
    </row>
    <row r="557" spans="1:9" s="130" customFormat="1" ht="19.5" customHeight="1">
      <c r="A557" s="81"/>
      <c r="B557" s="77">
        <v>85201</v>
      </c>
      <c r="C557" s="77"/>
      <c r="D557" s="323" t="s">
        <v>849</v>
      </c>
      <c r="E557" s="313"/>
      <c r="F557" s="90"/>
      <c r="G557" s="90">
        <f>G558+G560</f>
        <v>28000</v>
      </c>
      <c r="H557" s="90">
        <f>H558+H560</f>
        <v>28000</v>
      </c>
      <c r="I557" s="138"/>
    </row>
    <row r="558" spans="1:12" s="130" customFormat="1" ht="19.5" customHeight="1">
      <c r="A558" s="80"/>
      <c r="B558" s="207"/>
      <c r="C558" s="207"/>
      <c r="D558" s="208" t="s">
        <v>57</v>
      </c>
      <c r="E558" s="144"/>
      <c r="F558" s="144"/>
      <c r="G558" s="144">
        <f>G559</f>
        <v>28000</v>
      </c>
      <c r="H558" s="144"/>
      <c r="I558" s="138"/>
      <c r="J558" s="138"/>
      <c r="L558" s="138"/>
    </row>
    <row r="559" spans="1:12" s="158" customFormat="1" ht="19.5" customHeight="1">
      <c r="A559" s="204"/>
      <c r="B559" s="169"/>
      <c r="C559" s="320">
        <v>4010</v>
      </c>
      <c r="D559" s="778" t="s">
        <v>335</v>
      </c>
      <c r="E559" s="145"/>
      <c r="F559" s="145"/>
      <c r="G559" s="145">
        <v>28000</v>
      </c>
      <c r="H559" s="145"/>
      <c r="I559" s="157"/>
      <c r="J559" s="157"/>
      <c r="L559" s="157"/>
    </row>
    <row r="560" spans="1:12" s="229" customFormat="1" ht="19.5" customHeight="1">
      <c r="A560" s="206"/>
      <c r="B560" s="214"/>
      <c r="C560" s="214"/>
      <c r="D560" s="882" t="s">
        <v>78</v>
      </c>
      <c r="E560" s="803"/>
      <c r="F560" s="803"/>
      <c r="G560" s="803"/>
      <c r="H560" s="803">
        <f>H562</f>
        <v>28000</v>
      </c>
      <c r="I560" s="209"/>
      <c r="J560" s="209"/>
      <c r="L560" s="209"/>
    </row>
    <row r="561" spans="1:12" s="158" customFormat="1" ht="19.5" customHeight="1">
      <c r="A561" s="204"/>
      <c r="B561" s="169"/>
      <c r="C561" s="169"/>
      <c r="D561" s="1070" t="s">
        <v>508</v>
      </c>
      <c r="E561" s="862"/>
      <c r="F561" s="862"/>
      <c r="G561" s="862"/>
      <c r="H561" s="862">
        <v>28000</v>
      </c>
      <c r="I561" s="157"/>
      <c r="J561" s="157"/>
      <c r="L561" s="157"/>
    </row>
    <row r="562" spans="1:12" s="158" customFormat="1" ht="19.5" customHeight="1">
      <c r="A562" s="204"/>
      <c r="B562" s="169"/>
      <c r="C562" s="320">
        <v>6050</v>
      </c>
      <c r="D562" s="898" t="s">
        <v>599</v>
      </c>
      <c r="E562" s="899"/>
      <c r="F562" s="899"/>
      <c r="G562" s="899"/>
      <c r="H562" s="899">
        <f>H561</f>
        <v>28000</v>
      </c>
      <c r="I562" s="157"/>
      <c r="J562" s="157"/>
      <c r="L562" s="157"/>
    </row>
    <row r="563" spans="1:9" s="156" customFormat="1" ht="18.75" customHeight="1" thickBot="1">
      <c r="A563" s="320"/>
      <c r="B563" s="320"/>
      <c r="C563" s="320"/>
      <c r="D563" s="163" t="s">
        <v>396</v>
      </c>
      <c r="E563" s="163"/>
      <c r="F563" s="162"/>
      <c r="G563" s="193"/>
      <c r="H563" s="193">
        <f>H564</f>
        <v>21550</v>
      </c>
      <c r="I563" s="155"/>
    </row>
    <row r="564" spans="1:9" s="95" customFormat="1" ht="19.5" customHeight="1" thickTop="1">
      <c r="A564" s="72">
        <v>852</v>
      </c>
      <c r="B564" s="89"/>
      <c r="C564" s="73"/>
      <c r="D564" s="92" t="s">
        <v>368</v>
      </c>
      <c r="E564" s="92"/>
      <c r="F564" s="74"/>
      <c r="G564" s="74"/>
      <c r="H564" s="74">
        <f>H565</f>
        <v>21550</v>
      </c>
      <c r="I564" s="94"/>
    </row>
    <row r="565" spans="1:9" s="130" customFormat="1" ht="18" customHeight="1">
      <c r="A565" s="81"/>
      <c r="B565" s="77">
        <v>85295</v>
      </c>
      <c r="C565" s="77"/>
      <c r="D565" s="323" t="s">
        <v>366</v>
      </c>
      <c r="E565" s="313"/>
      <c r="F565" s="90"/>
      <c r="G565" s="90"/>
      <c r="H565" s="90">
        <f>H566</f>
        <v>21550</v>
      </c>
      <c r="I565" s="138"/>
    </row>
    <row r="566" spans="1:12" s="130" customFormat="1" ht="19.5" customHeight="1">
      <c r="A566" s="80"/>
      <c r="B566" s="207"/>
      <c r="C566" s="66"/>
      <c r="D566" s="466" t="s">
        <v>784</v>
      </c>
      <c r="E566" s="144"/>
      <c r="F566" s="144"/>
      <c r="G566" s="144"/>
      <c r="H566" s="144">
        <f>SUM(H567:H568)</f>
        <v>21550</v>
      </c>
      <c r="I566" s="138"/>
      <c r="J566" s="138"/>
      <c r="L566" s="138"/>
    </row>
    <row r="567" spans="1:12" s="156" customFormat="1" ht="19.5" customHeight="1">
      <c r="A567" s="924"/>
      <c r="B567" s="169"/>
      <c r="C567" s="320">
        <v>4210</v>
      </c>
      <c r="D567" s="896" t="s">
        <v>383</v>
      </c>
      <c r="E567" s="154"/>
      <c r="F567" s="154"/>
      <c r="G567" s="154"/>
      <c r="H567" s="154">
        <v>15000</v>
      </c>
      <c r="I567" s="155"/>
      <c r="J567" s="155"/>
      <c r="L567" s="155"/>
    </row>
    <row r="568" spans="1:12" s="158" customFormat="1" ht="17.25" customHeight="1">
      <c r="A568" s="924"/>
      <c r="B568" s="169"/>
      <c r="C568" s="82">
        <v>4270</v>
      </c>
      <c r="D568" s="82" t="s">
        <v>507</v>
      </c>
      <c r="E568" s="152"/>
      <c r="F568" s="152"/>
      <c r="G568" s="152"/>
      <c r="H568" s="152">
        <v>6550</v>
      </c>
      <c r="I568" s="157"/>
      <c r="J568" s="157"/>
      <c r="L568" s="157"/>
    </row>
    <row r="569" spans="1:9" s="168" customFormat="1" ht="17.25" customHeight="1">
      <c r="A569" s="164"/>
      <c r="B569" s="139"/>
      <c r="C569" s="165"/>
      <c r="D569" s="166" t="s">
        <v>551</v>
      </c>
      <c r="E569" s="166"/>
      <c r="F569" s="167"/>
      <c r="G569" s="167">
        <f aca="true" t="shared" si="8" ref="G569:H571">G570</f>
        <v>20000</v>
      </c>
      <c r="H569" s="167">
        <f t="shared" si="8"/>
        <v>20000</v>
      </c>
      <c r="I569" s="318"/>
    </row>
    <row r="570" spans="1:9" s="156" customFormat="1" ht="19.5" customHeight="1" thickBot="1">
      <c r="A570" s="320"/>
      <c r="B570" s="320"/>
      <c r="C570" s="320"/>
      <c r="D570" s="163" t="s">
        <v>360</v>
      </c>
      <c r="E570" s="163"/>
      <c r="F570" s="162"/>
      <c r="G570" s="193">
        <f t="shared" si="8"/>
        <v>20000</v>
      </c>
      <c r="H570" s="193">
        <f t="shared" si="8"/>
        <v>20000</v>
      </c>
      <c r="I570" s="155"/>
    </row>
    <row r="571" spans="1:9" s="95" customFormat="1" ht="19.5" customHeight="1" thickTop="1">
      <c r="A571" s="431">
        <v>852</v>
      </c>
      <c r="B571" s="73"/>
      <c r="C571" s="73"/>
      <c r="D571" s="92" t="s">
        <v>368</v>
      </c>
      <c r="E571" s="92"/>
      <c r="F571" s="74"/>
      <c r="G571" s="74">
        <f t="shared" si="8"/>
        <v>20000</v>
      </c>
      <c r="H571" s="74">
        <f t="shared" si="8"/>
        <v>20000</v>
      </c>
      <c r="I571" s="94"/>
    </row>
    <row r="572" spans="1:9" s="130" customFormat="1" ht="19.5" customHeight="1">
      <c r="A572" s="81"/>
      <c r="B572" s="77">
        <v>85202</v>
      </c>
      <c r="C572" s="77"/>
      <c r="D572" s="323" t="s">
        <v>724</v>
      </c>
      <c r="E572" s="801"/>
      <c r="F572" s="90"/>
      <c r="G572" s="90">
        <f>G573+G577</f>
        <v>20000</v>
      </c>
      <c r="H572" s="90">
        <f>H573+H577</f>
        <v>20000</v>
      </c>
      <c r="I572" s="138"/>
    </row>
    <row r="573" spans="1:12" s="130" customFormat="1" ht="17.25" customHeight="1">
      <c r="A573" s="948"/>
      <c r="B573" s="214"/>
      <c r="C573" s="214"/>
      <c r="D573" s="66" t="s">
        <v>387</v>
      </c>
      <c r="E573" s="144"/>
      <c r="F573" s="144"/>
      <c r="G573" s="144">
        <f>SUM(G574:G575)</f>
        <v>20000</v>
      </c>
      <c r="H573" s="144"/>
      <c r="I573" s="138"/>
      <c r="J573" s="138"/>
      <c r="L573" s="138"/>
    </row>
    <row r="574" spans="1:12" s="156" customFormat="1" ht="19.5" customHeight="1">
      <c r="A574" s="924"/>
      <c r="B574" s="169"/>
      <c r="C574" s="320">
        <v>4220</v>
      </c>
      <c r="D574" s="896" t="s">
        <v>472</v>
      </c>
      <c r="E574" s="154"/>
      <c r="F574" s="154"/>
      <c r="G574" s="154">
        <v>10000</v>
      </c>
      <c r="H574" s="154"/>
      <c r="I574" s="155"/>
      <c r="J574" s="155"/>
      <c r="L574" s="155"/>
    </row>
    <row r="575" spans="1:12" s="156" customFormat="1" ht="19.5" customHeight="1">
      <c r="A575" s="1558"/>
      <c r="B575" s="320"/>
      <c r="C575" s="320">
        <v>4300</v>
      </c>
      <c r="D575" s="320" t="s">
        <v>384</v>
      </c>
      <c r="E575" s="418"/>
      <c r="F575" s="418"/>
      <c r="G575" s="418">
        <v>10000</v>
      </c>
      <c r="H575" s="764"/>
      <c r="I575" s="155"/>
      <c r="J575" s="155"/>
      <c r="L575" s="155"/>
    </row>
    <row r="576" spans="1:12" s="156" customFormat="1" ht="19.5" customHeight="1">
      <c r="A576" s="1528"/>
      <c r="B576" s="1529"/>
      <c r="C576" s="1529"/>
      <c r="D576" s="1529"/>
      <c r="E576" s="1559"/>
      <c r="F576" s="1559"/>
      <c r="G576" s="1559"/>
      <c r="H576" s="1559"/>
      <c r="I576" s="155"/>
      <c r="J576" s="155"/>
      <c r="L576" s="155"/>
    </row>
    <row r="577" spans="1:12" s="158" customFormat="1" ht="19.5" customHeight="1">
      <c r="A577" s="204"/>
      <c r="B577" s="214"/>
      <c r="C577" s="66"/>
      <c r="D577" s="66" t="s">
        <v>78</v>
      </c>
      <c r="E577" s="553"/>
      <c r="F577" s="553"/>
      <c r="G577" s="553"/>
      <c r="H577" s="803">
        <f>H579</f>
        <v>20000</v>
      </c>
      <c r="I577" s="157"/>
      <c r="J577" s="157"/>
      <c r="L577" s="157"/>
    </row>
    <row r="578" spans="1:12" s="158" customFormat="1" ht="19.5" customHeight="1">
      <c r="A578" s="204"/>
      <c r="B578" s="169"/>
      <c r="C578" s="81"/>
      <c r="D578" s="475" t="s">
        <v>747</v>
      </c>
      <c r="E578" s="459"/>
      <c r="F578" s="459"/>
      <c r="G578" s="459"/>
      <c r="H578" s="459">
        <v>20000</v>
      </c>
      <c r="I578" s="157"/>
      <c r="J578" s="157"/>
      <c r="L578" s="157"/>
    </row>
    <row r="579" spans="1:12" s="158" customFormat="1" ht="19.5" customHeight="1">
      <c r="A579" s="204"/>
      <c r="B579" s="169"/>
      <c r="C579" s="82">
        <v>6060</v>
      </c>
      <c r="D579" s="83" t="s">
        <v>420</v>
      </c>
      <c r="E579" s="724"/>
      <c r="F579" s="724"/>
      <c r="G579" s="724"/>
      <c r="H579" s="724">
        <f>H578</f>
        <v>20000</v>
      </c>
      <c r="I579" s="157"/>
      <c r="J579" s="157"/>
      <c r="L579" s="157"/>
    </row>
    <row r="580" spans="1:9" s="168" customFormat="1" ht="16.5" customHeight="1">
      <c r="A580" s="164"/>
      <c r="B580" s="139"/>
      <c r="C580" s="165"/>
      <c r="D580" s="166" t="s">
        <v>552</v>
      </c>
      <c r="E580" s="166"/>
      <c r="F580" s="167"/>
      <c r="G580" s="167">
        <f>G581</f>
        <v>2200</v>
      </c>
      <c r="H580" s="167">
        <f>H581</f>
        <v>2200</v>
      </c>
      <c r="I580" s="318"/>
    </row>
    <row r="581" spans="1:9" s="156" customFormat="1" ht="18" customHeight="1" thickBot="1">
      <c r="A581" s="320"/>
      <c r="B581" s="320"/>
      <c r="C581" s="320"/>
      <c r="D581" s="163" t="s">
        <v>360</v>
      </c>
      <c r="E581" s="163"/>
      <c r="F581" s="162"/>
      <c r="G581" s="193">
        <f>G582</f>
        <v>2200</v>
      </c>
      <c r="H581" s="193">
        <f>H582</f>
        <v>2200</v>
      </c>
      <c r="I581" s="155"/>
    </row>
    <row r="582" spans="1:9" s="95" customFormat="1" ht="16.5" customHeight="1" thickTop="1">
      <c r="A582" s="431">
        <v>852</v>
      </c>
      <c r="B582" s="73"/>
      <c r="C582" s="73"/>
      <c r="D582" s="92" t="s">
        <v>368</v>
      </c>
      <c r="E582" s="92"/>
      <c r="F582" s="74"/>
      <c r="G582" s="74">
        <f>G583+G586</f>
        <v>2200</v>
      </c>
      <c r="H582" s="74">
        <f>H583+H586</f>
        <v>2200</v>
      </c>
      <c r="I582" s="94"/>
    </row>
    <row r="583" spans="1:9" s="130" customFormat="1" ht="17.25" customHeight="1">
      <c r="A583" s="81"/>
      <c r="B583" s="77">
        <v>85202</v>
      </c>
      <c r="C583" s="77"/>
      <c r="D583" s="323" t="s">
        <v>724</v>
      </c>
      <c r="E583" s="313"/>
      <c r="F583" s="90"/>
      <c r="G583" s="90">
        <f>G584</f>
        <v>2200</v>
      </c>
      <c r="H583" s="90"/>
      <c r="I583" s="138"/>
    </row>
    <row r="584" spans="1:12" s="229" customFormat="1" ht="19.5" customHeight="1">
      <c r="A584" s="206"/>
      <c r="B584" s="207"/>
      <c r="C584" s="207"/>
      <c r="D584" s="882" t="s">
        <v>413</v>
      </c>
      <c r="E584" s="416"/>
      <c r="F584" s="416"/>
      <c r="G584" s="416">
        <f>G585</f>
        <v>2200</v>
      </c>
      <c r="H584" s="416"/>
      <c r="I584" s="209"/>
      <c r="J584" s="209"/>
      <c r="L584" s="209"/>
    </row>
    <row r="585" spans="1:12" s="158" customFormat="1" ht="19.5" customHeight="1">
      <c r="A585" s="204"/>
      <c r="B585" s="169"/>
      <c r="C585" s="320">
        <v>4110</v>
      </c>
      <c r="D585" s="778" t="s">
        <v>462</v>
      </c>
      <c r="E585" s="145"/>
      <c r="F585" s="145"/>
      <c r="G585" s="145">
        <v>2200</v>
      </c>
      <c r="H585" s="145"/>
      <c r="I585" s="157"/>
      <c r="J585" s="157"/>
      <c r="L585" s="157"/>
    </row>
    <row r="586" spans="1:9" s="130" customFormat="1" ht="17.25" customHeight="1">
      <c r="A586" s="81"/>
      <c r="B586" s="77">
        <v>85295</v>
      </c>
      <c r="C586" s="77"/>
      <c r="D586" s="323" t="s">
        <v>366</v>
      </c>
      <c r="E586" s="313"/>
      <c r="F586" s="90"/>
      <c r="G586" s="90"/>
      <c r="H586" s="90">
        <f>H587</f>
        <v>2200</v>
      </c>
      <c r="I586" s="138"/>
    </row>
    <row r="587" spans="1:12" s="229" customFormat="1" ht="19.5" customHeight="1">
      <c r="A587" s="206"/>
      <c r="B587" s="207"/>
      <c r="C587" s="207"/>
      <c r="D587" s="1041" t="s">
        <v>641</v>
      </c>
      <c r="E587" s="416"/>
      <c r="F587" s="416"/>
      <c r="G587" s="416"/>
      <c r="H587" s="416">
        <f>H588</f>
        <v>2200</v>
      </c>
      <c r="I587" s="209"/>
      <c r="J587" s="209"/>
      <c r="L587" s="209"/>
    </row>
    <row r="588" spans="1:12" s="156" customFormat="1" ht="21" customHeight="1">
      <c r="A588" s="205"/>
      <c r="B588" s="169"/>
      <c r="C588" s="320">
        <v>3110</v>
      </c>
      <c r="D588" s="83" t="s">
        <v>24</v>
      </c>
      <c r="E588" s="459"/>
      <c r="F588" s="459"/>
      <c r="G588" s="459"/>
      <c r="H588" s="459">
        <v>2200</v>
      </c>
      <c r="I588" s="155"/>
      <c r="J588" s="155"/>
      <c r="L588" s="155"/>
    </row>
    <row r="589" spans="1:9" s="168" customFormat="1" ht="19.5" customHeight="1">
      <c r="A589" s="164"/>
      <c r="B589" s="139"/>
      <c r="C589" s="165"/>
      <c r="D589" s="166" t="s">
        <v>68</v>
      </c>
      <c r="E589" s="166"/>
      <c r="F589" s="167"/>
      <c r="G589" s="167">
        <f>G590</f>
        <v>792</v>
      </c>
      <c r="H589" s="167">
        <f>H590</f>
        <v>792</v>
      </c>
      <c r="I589" s="318"/>
    </row>
    <row r="590" spans="1:9" s="156" customFormat="1" ht="19.5" customHeight="1" thickBot="1">
      <c r="A590" s="320"/>
      <c r="B590" s="320"/>
      <c r="C590" s="320"/>
      <c r="D590" s="163" t="s">
        <v>360</v>
      </c>
      <c r="E590" s="163"/>
      <c r="F590" s="162"/>
      <c r="G590" s="193">
        <f>G591</f>
        <v>792</v>
      </c>
      <c r="H590" s="193">
        <f>H591</f>
        <v>792</v>
      </c>
      <c r="I590" s="155"/>
    </row>
    <row r="591" spans="1:9" s="95" customFormat="1" ht="19.5" customHeight="1" thickTop="1">
      <c r="A591" s="431">
        <v>852</v>
      </c>
      <c r="B591" s="73"/>
      <c r="C591" s="73"/>
      <c r="D591" s="92" t="s">
        <v>368</v>
      </c>
      <c r="E591" s="92"/>
      <c r="F591" s="74"/>
      <c r="G591" s="74">
        <f>G592+G595</f>
        <v>792</v>
      </c>
      <c r="H591" s="74">
        <f>H592+H595</f>
        <v>792</v>
      </c>
      <c r="I591" s="94"/>
    </row>
    <row r="592" spans="1:9" s="130" customFormat="1" ht="19.5" customHeight="1">
      <c r="A592" s="81"/>
      <c r="B592" s="77">
        <v>85202</v>
      </c>
      <c r="C592" s="77"/>
      <c r="D592" s="323" t="s">
        <v>724</v>
      </c>
      <c r="E592" s="801"/>
      <c r="F592" s="90"/>
      <c r="G592" s="90">
        <f>G593</f>
        <v>792</v>
      </c>
      <c r="H592" s="90"/>
      <c r="I592" s="138"/>
    </row>
    <row r="593" spans="1:12" s="158" customFormat="1" ht="19.5" customHeight="1">
      <c r="A593" s="204"/>
      <c r="B593" s="214"/>
      <c r="C593" s="66"/>
      <c r="D593" s="66" t="s">
        <v>387</v>
      </c>
      <c r="E593" s="267"/>
      <c r="F593" s="267"/>
      <c r="G593" s="267">
        <f>G594</f>
        <v>792</v>
      </c>
      <c r="H593" s="267"/>
      <c r="I593" s="157"/>
      <c r="J593" s="157"/>
      <c r="L593" s="157"/>
    </row>
    <row r="594" spans="1:12" s="158" customFormat="1" ht="19.5" customHeight="1">
      <c r="A594" s="204"/>
      <c r="B594" s="320"/>
      <c r="C594" s="82">
        <v>4300</v>
      </c>
      <c r="D594" s="566" t="s">
        <v>384</v>
      </c>
      <c r="E594" s="154"/>
      <c r="F594" s="154"/>
      <c r="G594" s="154">
        <v>792</v>
      </c>
      <c r="H594" s="154"/>
      <c r="I594" s="157"/>
      <c r="J594" s="157"/>
      <c r="L594" s="157"/>
    </row>
    <row r="595" spans="1:9" s="130" customFormat="1" ht="18.75" customHeight="1">
      <c r="A595" s="81"/>
      <c r="B595" s="226">
        <v>85295</v>
      </c>
      <c r="C595" s="258"/>
      <c r="D595" s="78" t="s">
        <v>366</v>
      </c>
      <c r="E595" s="313"/>
      <c r="F595" s="90"/>
      <c r="G595" s="90"/>
      <c r="H595" s="90">
        <f>H596</f>
        <v>792</v>
      </c>
      <c r="I595" s="138"/>
    </row>
    <row r="596" spans="1:12" s="130" customFormat="1" ht="18.75" customHeight="1">
      <c r="A596" s="80"/>
      <c r="B596" s="169"/>
      <c r="C596" s="702"/>
      <c r="D596" s="1041" t="s">
        <v>641</v>
      </c>
      <c r="E596" s="144"/>
      <c r="F596" s="144"/>
      <c r="G596" s="144"/>
      <c r="H596" s="144">
        <f>H597</f>
        <v>792</v>
      </c>
      <c r="I596" s="138"/>
      <c r="J596" s="138"/>
      <c r="L596" s="138"/>
    </row>
    <row r="597" spans="1:12" s="158" customFormat="1" ht="18.75" customHeight="1">
      <c r="A597" s="204"/>
      <c r="B597" s="153"/>
      <c r="C597" s="320">
        <v>3110</v>
      </c>
      <c r="D597" s="775" t="s">
        <v>24</v>
      </c>
      <c r="E597" s="145"/>
      <c r="F597" s="145"/>
      <c r="G597" s="145"/>
      <c r="H597" s="145">
        <v>792</v>
      </c>
      <c r="I597" s="157"/>
      <c r="J597" s="157"/>
      <c r="L597" s="157"/>
    </row>
    <row r="598" spans="1:9" ht="21.75" customHeight="1">
      <c r="A598" s="93"/>
      <c r="B598" s="66"/>
      <c r="C598" s="99"/>
      <c r="D598" s="97" t="s">
        <v>553</v>
      </c>
      <c r="E598" s="97"/>
      <c r="F598" s="100"/>
      <c r="G598" s="100">
        <f>G615+G599+G609</f>
        <v>32155</v>
      </c>
      <c r="H598" s="100">
        <f>H615+H599+H609</f>
        <v>474855</v>
      </c>
      <c r="I598" s="52"/>
    </row>
    <row r="599" spans="1:9" s="194" customFormat="1" ht="19.5" customHeight="1" thickBot="1">
      <c r="A599" s="320"/>
      <c r="B599" s="320"/>
      <c r="C599" s="454"/>
      <c r="D599" s="162" t="s">
        <v>360</v>
      </c>
      <c r="E599" s="163"/>
      <c r="F599" s="455"/>
      <c r="G599" s="456">
        <f>G600</f>
        <v>22155</v>
      </c>
      <c r="H599" s="456">
        <f>H600</f>
        <v>237155</v>
      </c>
      <c r="I599" s="195"/>
    </row>
    <row r="600" spans="1:9" s="95" customFormat="1" ht="18.75" customHeight="1" thickTop="1">
      <c r="A600" s="72">
        <v>852</v>
      </c>
      <c r="B600" s="72"/>
      <c r="C600" s="255"/>
      <c r="D600" s="232" t="s">
        <v>368</v>
      </c>
      <c r="E600" s="92"/>
      <c r="F600" s="74"/>
      <c r="G600" s="74">
        <f>G601+G606</f>
        <v>22155</v>
      </c>
      <c r="H600" s="74">
        <f>H601+H606</f>
        <v>237155</v>
      </c>
      <c r="I600" s="94"/>
    </row>
    <row r="601" spans="1:9" s="130" customFormat="1" ht="25.5">
      <c r="A601" s="81"/>
      <c r="B601" s="226">
        <v>85220</v>
      </c>
      <c r="C601" s="258"/>
      <c r="D601" s="1005" t="s">
        <v>285</v>
      </c>
      <c r="E601" s="313"/>
      <c r="F601" s="90"/>
      <c r="G601" s="90">
        <f>G602</f>
        <v>22155</v>
      </c>
      <c r="H601" s="90">
        <f>H602</f>
        <v>22155</v>
      </c>
      <c r="I601" s="138"/>
    </row>
    <row r="602" spans="1:12" s="229" customFormat="1" ht="18.75" customHeight="1">
      <c r="A602" s="206"/>
      <c r="B602" s="214"/>
      <c r="C602" s="1289"/>
      <c r="D602" s="1291" t="s">
        <v>286</v>
      </c>
      <c r="E602" s="416"/>
      <c r="F602" s="416"/>
      <c r="G602" s="416">
        <f>G603</f>
        <v>22155</v>
      </c>
      <c r="H602" s="416">
        <f>H603</f>
        <v>22155</v>
      </c>
      <c r="I602" s="209"/>
      <c r="J602" s="209"/>
      <c r="L602" s="209"/>
    </row>
    <row r="603" spans="1:12" s="229" customFormat="1" ht="18.75" customHeight="1">
      <c r="A603" s="206"/>
      <c r="B603" s="214"/>
      <c r="C603" s="1290"/>
      <c r="D603" s="1292" t="s">
        <v>387</v>
      </c>
      <c r="E603" s="1293"/>
      <c r="F603" s="1293"/>
      <c r="G603" s="1293">
        <f>SUM(G604:G605)</f>
        <v>22155</v>
      </c>
      <c r="H603" s="1293">
        <f>SUM(H604:H605)</f>
        <v>22155</v>
      </c>
      <c r="I603" s="209"/>
      <c r="J603" s="209"/>
      <c r="L603" s="209"/>
    </row>
    <row r="604" spans="1:12" s="156" customFormat="1" ht="18.75" customHeight="1">
      <c r="A604" s="205"/>
      <c r="B604" s="153"/>
      <c r="C604" s="320">
        <v>4210</v>
      </c>
      <c r="D604" s="319" t="s">
        <v>383</v>
      </c>
      <c r="E604" s="418"/>
      <c r="F604" s="418"/>
      <c r="G604" s="418">
        <v>22155</v>
      </c>
      <c r="H604" s="418"/>
      <c r="I604" s="155"/>
      <c r="J604" s="155"/>
      <c r="L604" s="155"/>
    </row>
    <row r="605" spans="1:12" s="156" customFormat="1" ht="18.75" customHeight="1">
      <c r="A605" s="227"/>
      <c r="B605" s="317"/>
      <c r="C605" s="320">
        <v>4270</v>
      </c>
      <c r="D605" s="319" t="s">
        <v>765</v>
      </c>
      <c r="E605" s="418"/>
      <c r="F605" s="418"/>
      <c r="G605" s="418"/>
      <c r="H605" s="418">
        <v>22155</v>
      </c>
      <c r="I605" s="155"/>
      <c r="J605" s="155"/>
      <c r="L605" s="155"/>
    </row>
    <row r="606" spans="1:9" s="130" customFormat="1" ht="18.75" customHeight="1">
      <c r="A606" s="81"/>
      <c r="B606" s="226">
        <v>85295</v>
      </c>
      <c r="C606" s="258"/>
      <c r="D606" s="1294" t="s">
        <v>366</v>
      </c>
      <c r="E606" s="313"/>
      <c r="F606" s="90"/>
      <c r="G606" s="90"/>
      <c r="H606" s="90">
        <f>H607</f>
        <v>215000</v>
      </c>
      <c r="I606" s="138"/>
    </row>
    <row r="607" spans="1:12" s="130" customFormat="1" ht="18.75" customHeight="1">
      <c r="A607" s="80"/>
      <c r="B607" s="169"/>
      <c r="C607" s="702"/>
      <c r="D607" s="762" t="s">
        <v>759</v>
      </c>
      <c r="E607" s="144"/>
      <c r="F607" s="144"/>
      <c r="G607" s="144"/>
      <c r="H607" s="144">
        <f>H608</f>
        <v>215000</v>
      </c>
      <c r="I607" s="138"/>
      <c r="J607" s="138"/>
      <c r="L607" s="138"/>
    </row>
    <row r="608" spans="1:12" s="158" customFormat="1" ht="18.75" customHeight="1">
      <c r="A608" s="204"/>
      <c r="B608" s="153"/>
      <c r="C608" s="320">
        <v>3110</v>
      </c>
      <c r="D608" s="776" t="s">
        <v>24</v>
      </c>
      <c r="E608" s="145"/>
      <c r="F608" s="145"/>
      <c r="G608" s="145"/>
      <c r="H608" s="145">
        <v>215000</v>
      </c>
      <c r="I608" s="157"/>
      <c r="J608" s="157"/>
      <c r="L608" s="157"/>
    </row>
    <row r="609" spans="1:9" s="156" customFormat="1" ht="18.75" customHeight="1" thickBot="1">
      <c r="A609" s="320"/>
      <c r="B609" s="320"/>
      <c r="C609" s="320"/>
      <c r="D609" s="163" t="s">
        <v>396</v>
      </c>
      <c r="E609" s="163"/>
      <c r="F609" s="162"/>
      <c r="G609" s="193"/>
      <c r="H609" s="193">
        <f>H610</f>
        <v>7700</v>
      </c>
      <c r="I609" s="155"/>
    </row>
    <row r="610" spans="1:9" s="95" customFormat="1" ht="19.5" customHeight="1" thickTop="1">
      <c r="A610" s="72">
        <v>852</v>
      </c>
      <c r="B610" s="89"/>
      <c r="C610" s="73"/>
      <c r="D610" s="92" t="s">
        <v>368</v>
      </c>
      <c r="E610" s="92"/>
      <c r="F610" s="74"/>
      <c r="G610" s="74"/>
      <c r="H610" s="74">
        <f>H611</f>
        <v>7700</v>
      </c>
      <c r="I610" s="94"/>
    </row>
    <row r="611" spans="1:9" s="130" customFormat="1" ht="18" customHeight="1">
      <c r="A611" s="81"/>
      <c r="B611" s="77">
        <v>85295</v>
      </c>
      <c r="C611" s="77"/>
      <c r="D611" s="323" t="s">
        <v>366</v>
      </c>
      <c r="E611" s="313"/>
      <c r="F611" s="90"/>
      <c r="G611" s="90"/>
      <c r="H611" s="90">
        <f>H612</f>
        <v>7700</v>
      </c>
      <c r="I611" s="138"/>
    </row>
    <row r="612" spans="1:12" s="130" customFormat="1" ht="19.5" customHeight="1">
      <c r="A612" s="80"/>
      <c r="B612" s="207"/>
      <c r="C612" s="66"/>
      <c r="D612" s="466" t="s">
        <v>784</v>
      </c>
      <c r="E612" s="144"/>
      <c r="F612" s="144"/>
      <c r="G612" s="144"/>
      <c r="H612" s="144">
        <f>SUM(H613:H614)</f>
        <v>7700</v>
      </c>
      <c r="I612" s="138"/>
      <c r="J612" s="138"/>
      <c r="L612" s="138"/>
    </row>
    <row r="613" spans="1:12" s="156" customFormat="1" ht="19.5" customHeight="1">
      <c r="A613" s="924"/>
      <c r="B613" s="169"/>
      <c r="C613" s="320">
        <v>4210</v>
      </c>
      <c r="D613" s="896" t="s">
        <v>383</v>
      </c>
      <c r="E613" s="154"/>
      <c r="F613" s="154"/>
      <c r="G613" s="154"/>
      <c r="H613" s="154">
        <v>3200</v>
      </c>
      <c r="I613" s="155"/>
      <c r="J613" s="155"/>
      <c r="L613" s="155"/>
    </row>
    <row r="614" spans="1:12" s="158" customFormat="1" ht="17.25" customHeight="1">
      <c r="A614" s="924"/>
      <c r="B614" s="169"/>
      <c r="C614" s="82">
        <v>4300</v>
      </c>
      <c r="D614" s="82" t="s">
        <v>384</v>
      </c>
      <c r="E614" s="152"/>
      <c r="F614" s="152"/>
      <c r="G614" s="152"/>
      <c r="H614" s="152">
        <v>4500</v>
      </c>
      <c r="I614" s="157"/>
      <c r="J614" s="157"/>
      <c r="L614" s="157"/>
    </row>
    <row r="615" spans="1:9" s="194" customFormat="1" ht="19.5" customHeight="1" thickBot="1">
      <c r="A615" s="320"/>
      <c r="B615" s="320"/>
      <c r="C615" s="454"/>
      <c r="D615" s="704" t="s">
        <v>399</v>
      </c>
      <c r="E615" s="163"/>
      <c r="F615" s="455"/>
      <c r="G615" s="456">
        <f>G616</f>
        <v>10000</v>
      </c>
      <c r="H615" s="456">
        <f>H616</f>
        <v>230000</v>
      </c>
      <c r="I615" s="195"/>
    </row>
    <row r="616" spans="1:9" s="158" customFormat="1" ht="18.75" customHeight="1" thickTop="1">
      <c r="A616" s="184">
        <v>852</v>
      </c>
      <c r="B616" s="72"/>
      <c r="C616" s="255"/>
      <c r="D616" s="232" t="s">
        <v>368</v>
      </c>
      <c r="E616" s="597"/>
      <c r="F616" s="597"/>
      <c r="G616" s="597">
        <f>G617+G624</f>
        <v>10000</v>
      </c>
      <c r="H616" s="597">
        <f>H617+H624</f>
        <v>230000</v>
      </c>
      <c r="I616" s="157"/>
    </row>
    <row r="617" spans="1:9" s="158" customFormat="1" ht="19.5" customHeight="1">
      <c r="A617" s="257"/>
      <c r="B617" s="226">
        <v>85203</v>
      </c>
      <c r="C617" s="258"/>
      <c r="D617" s="231" t="s">
        <v>789</v>
      </c>
      <c r="E617" s="315"/>
      <c r="F617" s="315"/>
      <c r="G617" s="315">
        <f>G618+G622</f>
        <v>10000</v>
      </c>
      <c r="H617" s="315">
        <f>H618+H622</f>
        <v>200000</v>
      </c>
      <c r="I617" s="157"/>
    </row>
    <row r="618" spans="1:12" s="229" customFormat="1" ht="25.5">
      <c r="A618" s="206"/>
      <c r="B618" s="214"/>
      <c r="C618" s="1289"/>
      <c r="D618" s="1295" t="s">
        <v>763</v>
      </c>
      <c r="E618" s="416"/>
      <c r="F618" s="416"/>
      <c r="G618" s="416">
        <f>G621</f>
        <v>10000</v>
      </c>
      <c r="H618" s="416">
        <f>H621</f>
        <v>10000</v>
      </c>
      <c r="I618" s="209"/>
      <c r="J618" s="209"/>
      <c r="L618" s="209"/>
    </row>
    <row r="619" spans="1:12" s="156" customFormat="1" ht="25.5">
      <c r="A619" s="205"/>
      <c r="B619" s="153"/>
      <c r="C619" s="169"/>
      <c r="D619" s="1296" t="s">
        <v>766</v>
      </c>
      <c r="E619" s="945"/>
      <c r="F619" s="945"/>
      <c r="G619" s="945"/>
      <c r="H619" s="945">
        <v>10000</v>
      </c>
      <c r="I619" s="155"/>
      <c r="J619" s="155"/>
      <c r="L619" s="155"/>
    </row>
    <row r="620" spans="1:12" s="156" customFormat="1" ht="18" customHeight="1">
      <c r="A620" s="205"/>
      <c r="B620" s="153"/>
      <c r="C620" s="169"/>
      <c r="D620" s="1230" t="s">
        <v>767</v>
      </c>
      <c r="E620" s="461"/>
      <c r="F620" s="461"/>
      <c r="G620" s="461">
        <v>10000</v>
      </c>
      <c r="H620" s="461"/>
      <c r="I620" s="155"/>
      <c r="J620" s="155"/>
      <c r="L620" s="155"/>
    </row>
    <row r="621" spans="1:12" s="156" customFormat="1" ht="25.5">
      <c r="A621" s="205"/>
      <c r="B621" s="153"/>
      <c r="C621" s="320">
        <v>2820</v>
      </c>
      <c r="D621" s="460" t="s">
        <v>150</v>
      </c>
      <c r="E621" s="418"/>
      <c r="F621" s="418"/>
      <c r="G621" s="418">
        <f>G619+G620</f>
        <v>10000</v>
      </c>
      <c r="H621" s="418">
        <f>H619+H620</f>
        <v>10000</v>
      </c>
      <c r="I621" s="155"/>
      <c r="J621" s="155"/>
      <c r="L621" s="155"/>
    </row>
    <row r="622" spans="1:9" s="158" customFormat="1" ht="25.5">
      <c r="A622" s="169"/>
      <c r="B622" s="169"/>
      <c r="C622" s="522"/>
      <c r="D622" s="762" t="s">
        <v>503</v>
      </c>
      <c r="E622" s="520"/>
      <c r="F622" s="520"/>
      <c r="G622" s="520"/>
      <c r="H622" s="520">
        <f>H623</f>
        <v>190000</v>
      </c>
      <c r="I622" s="157"/>
    </row>
    <row r="623" spans="1:9" s="158" customFormat="1" ht="25.5">
      <c r="A623" s="153"/>
      <c r="B623" s="317"/>
      <c r="C623" s="320">
        <v>2810</v>
      </c>
      <c r="D623" s="776" t="s">
        <v>764</v>
      </c>
      <c r="E623" s="417"/>
      <c r="F623" s="417"/>
      <c r="G623" s="417"/>
      <c r="H623" s="417">
        <v>190000</v>
      </c>
      <c r="I623" s="157"/>
    </row>
    <row r="624" spans="1:9" s="158" customFormat="1" ht="18.75" customHeight="1">
      <c r="A624" s="185"/>
      <c r="B624" s="226">
        <v>85295</v>
      </c>
      <c r="C624" s="258"/>
      <c r="D624" s="231" t="s">
        <v>366</v>
      </c>
      <c r="E624" s="315"/>
      <c r="F624" s="315"/>
      <c r="G624" s="315"/>
      <c r="H624" s="315">
        <f>H625</f>
        <v>30000</v>
      </c>
      <c r="I624" s="157"/>
    </row>
    <row r="625" spans="1:9" s="158" customFormat="1" ht="25.5">
      <c r="A625" s="169"/>
      <c r="B625" s="169"/>
      <c r="C625" s="522"/>
      <c r="D625" s="521" t="s">
        <v>762</v>
      </c>
      <c r="E625" s="520"/>
      <c r="F625" s="520"/>
      <c r="G625" s="520"/>
      <c r="H625" s="520">
        <f>H626</f>
        <v>30000</v>
      </c>
      <c r="I625" s="157"/>
    </row>
    <row r="626" spans="1:9" s="158" customFormat="1" ht="18.75" customHeight="1">
      <c r="A626" s="153"/>
      <c r="B626" s="153"/>
      <c r="C626" s="320">
        <v>4300</v>
      </c>
      <c r="D626" s="760" t="s">
        <v>384</v>
      </c>
      <c r="E626" s="417"/>
      <c r="F626" s="417"/>
      <c r="G626" s="417"/>
      <c r="H626" s="417">
        <v>30000</v>
      </c>
      <c r="I626" s="157"/>
    </row>
    <row r="627" spans="1:9" ht="21.75" customHeight="1">
      <c r="A627" s="93"/>
      <c r="B627" s="66"/>
      <c r="C627" s="99"/>
      <c r="D627" s="97" t="s">
        <v>554</v>
      </c>
      <c r="E627" s="97"/>
      <c r="F627" s="100"/>
      <c r="G627" s="100">
        <f aca="true" t="shared" si="9" ref="G627:H629">G628</f>
        <v>996</v>
      </c>
      <c r="H627" s="100">
        <f t="shared" si="9"/>
        <v>5996</v>
      </c>
      <c r="I627" s="52"/>
    </row>
    <row r="628" spans="1:9" s="194" customFormat="1" ht="18.75" customHeight="1" thickBot="1">
      <c r="A628" s="320"/>
      <c r="B628" s="320"/>
      <c r="C628" s="454"/>
      <c r="D628" s="163" t="s">
        <v>360</v>
      </c>
      <c r="E628" s="163"/>
      <c r="F628" s="455"/>
      <c r="G628" s="456">
        <f t="shared" si="9"/>
        <v>996</v>
      </c>
      <c r="H628" s="456">
        <f t="shared" si="9"/>
        <v>5996</v>
      </c>
      <c r="I628" s="195"/>
    </row>
    <row r="629" spans="1:9" s="95" customFormat="1" ht="18" customHeight="1" thickTop="1">
      <c r="A629" s="72">
        <v>853</v>
      </c>
      <c r="B629" s="89"/>
      <c r="C629" s="73"/>
      <c r="D629" s="92" t="s">
        <v>412</v>
      </c>
      <c r="E629" s="92"/>
      <c r="F629" s="74"/>
      <c r="G629" s="74">
        <f t="shared" si="9"/>
        <v>996</v>
      </c>
      <c r="H629" s="74">
        <f t="shared" si="9"/>
        <v>5996</v>
      </c>
      <c r="I629" s="94"/>
    </row>
    <row r="630" spans="1:9" s="130" customFormat="1" ht="18" customHeight="1">
      <c r="A630" s="81"/>
      <c r="B630" s="78">
        <v>85333</v>
      </c>
      <c r="C630" s="78"/>
      <c r="D630" s="78" t="s">
        <v>331</v>
      </c>
      <c r="E630" s="78"/>
      <c r="F630" s="90"/>
      <c r="G630" s="90">
        <f>G631+G634</f>
        <v>996</v>
      </c>
      <c r="H630" s="90">
        <f>H631+H634</f>
        <v>5996</v>
      </c>
      <c r="I630" s="138"/>
    </row>
    <row r="631" spans="1:9" s="229" customFormat="1" ht="15.75" customHeight="1">
      <c r="A631" s="408"/>
      <c r="B631" s="214"/>
      <c r="C631" s="207"/>
      <c r="D631" s="893" t="s">
        <v>387</v>
      </c>
      <c r="E631" s="893"/>
      <c r="F631" s="933"/>
      <c r="G631" s="933"/>
      <c r="H631" s="933">
        <f>H632</f>
        <v>5000</v>
      </c>
      <c r="I631" s="209"/>
    </row>
    <row r="632" spans="1:9" s="156" customFormat="1" ht="18" customHeight="1">
      <c r="A632" s="317"/>
      <c r="B632" s="320"/>
      <c r="C632" s="320">
        <v>4270</v>
      </c>
      <c r="D632" s="778" t="s">
        <v>569</v>
      </c>
      <c r="E632" s="778"/>
      <c r="F632" s="636"/>
      <c r="G632" s="636"/>
      <c r="H632" s="636">
        <v>5000</v>
      </c>
      <c r="I632" s="155"/>
    </row>
    <row r="633" spans="1:9" s="156" customFormat="1" ht="9" customHeight="1">
      <c r="A633" s="1560"/>
      <c r="B633" s="1529"/>
      <c r="C633" s="1529"/>
      <c r="D633" s="1561"/>
      <c r="E633" s="1561"/>
      <c r="F633" s="1562"/>
      <c r="G633" s="1562"/>
      <c r="H633" s="1562"/>
      <c r="I633" s="155"/>
    </row>
    <row r="634" spans="1:9" s="229" customFormat="1" ht="15.75" customHeight="1">
      <c r="A634" s="408"/>
      <c r="B634" s="214"/>
      <c r="C634" s="214"/>
      <c r="D634" s="882" t="s">
        <v>698</v>
      </c>
      <c r="E634" s="882"/>
      <c r="F634" s="774"/>
      <c r="G634" s="774">
        <f>SUM(G635:G636)</f>
        <v>996</v>
      </c>
      <c r="H634" s="774">
        <f>SUM(H635:H636)</f>
        <v>996</v>
      </c>
      <c r="I634" s="209"/>
    </row>
    <row r="635" spans="1:9" s="156" customFormat="1" ht="18" customHeight="1">
      <c r="A635" s="153"/>
      <c r="B635" s="169"/>
      <c r="C635" s="320">
        <v>4218</v>
      </c>
      <c r="D635" s="778" t="s">
        <v>383</v>
      </c>
      <c r="E635" s="778"/>
      <c r="F635" s="636"/>
      <c r="G635" s="636"/>
      <c r="H635" s="636">
        <v>996</v>
      </c>
      <c r="I635" s="155"/>
    </row>
    <row r="636" spans="1:9" s="156" customFormat="1" ht="18" customHeight="1">
      <c r="A636" s="153"/>
      <c r="B636" s="169"/>
      <c r="C636" s="161">
        <v>4308</v>
      </c>
      <c r="D636" s="903" t="s">
        <v>384</v>
      </c>
      <c r="E636" s="903"/>
      <c r="F636" s="765"/>
      <c r="G636" s="765">
        <v>996</v>
      </c>
      <c r="H636" s="765"/>
      <c r="I636" s="155"/>
    </row>
    <row r="637" spans="1:9" s="168" customFormat="1" ht="18" customHeight="1">
      <c r="A637" s="164"/>
      <c r="B637" s="139"/>
      <c r="C637" s="165"/>
      <c r="D637" s="780" t="s">
        <v>505</v>
      </c>
      <c r="E637" s="464"/>
      <c r="F637" s="465"/>
      <c r="G637" s="465">
        <f>G638</f>
        <v>4000</v>
      </c>
      <c r="H637" s="465">
        <f>H638</f>
        <v>4000</v>
      </c>
      <c r="I637" s="318"/>
    </row>
    <row r="638" spans="1:9" s="156" customFormat="1" ht="27.75" customHeight="1" thickBot="1">
      <c r="A638" s="320"/>
      <c r="B638" s="320"/>
      <c r="C638" s="320"/>
      <c r="D638" s="163" t="s">
        <v>399</v>
      </c>
      <c r="E638" s="163"/>
      <c r="F638" s="162"/>
      <c r="G638" s="193">
        <f>G639</f>
        <v>4000</v>
      </c>
      <c r="H638" s="193">
        <f>H639</f>
        <v>4000</v>
      </c>
      <c r="I638" s="155"/>
    </row>
    <row r="639" spans="1:9" s="95" customFormat="1" ht="17.25" customHeight="1" thickTop="1">
      <c r="A639" s="431">
        <v>852</v>
      </c>
      <c r="B639" s="73"/>
      <c r="C639" s="73"/>
      <c r="D639" s="92" t="s">
        <v>368</v>
      </c>
      <c r="E639" s="92"/>
      <c r="F639" s="74"/>
      <c r="G639" s="74">
        <f>G641</f>
        <v>4000</v>
      </c>
      <c r="H639" s="74">
        <f>H640</f>
        <v>4000</v>
      </c>
      <c r="I639" s="94"/>
    </row>
    <row r="640" spans="1:9" s="130" customFormat="1" ht="15.75" customHeight="1">
      <c r="A640" s="81"/>
      <c r="B640" s="77">
        <v>85203</v>
      </c>
      <c r="C640" s="77"/>
      <c r="D640" s="212" t="s">
        <v>789</v>
      </c>
      <c r="E640" s="313"/>
      <c r="F640" s="90"/>
      <c r="G640" s="90">
        <f>G641+G644+G648</f>
        <v>4000</v>
      </c>
      <c r="H640" s="90">
        <f>H641+H644+H648</f>
        <v>4000</v>
      </c>
      <c r="I640" s="138"/>
    </row>
    <row r="641" spans="1:12" s="229" customFormat="1" ht="15" customHeight="1">
      <c r="A641" s="206"/>
      <c r="B641" s="207"/>
      <c r="C641" s="207"/>
      <c r="D641" s="893" t="s">
        <v>57</v>
      </c>
      <c r="E641" s="416"/>
      <c r="F641" s="416"/>
      <c r="G641" s="416">
        <f>SUM(G642:G643)</f>
        <v>4000</v>
      </c>
      <c r="H641" s="416"/>
      <c r="I641" s="209"/>
      <c r="J641" s="209"/>
      <c r="L641" s="209"/>
    </row>
    <row r="642" spans="1:12" s="156" customFormat="1" ht="17.25" customHeight="1">
      <c r="A642" s="205"/>
      <c r="B642" s="169"/>
      <c r="C642" s="320">
        <v>4010</v>
      </c>
      <c r="D642" s="900" t="s">
        <v>335</v>
      </c>
      <c r="E642" s="154"/>
      <c r="F642" s="154"/>
      <c r="G642" s="154">
        <v>2000</v>
      </c>
      <c r="H642" s="154"/>
      <c r="I642" s="155"/>
      <c r="J642" s="155"/>
      <c r="L642" s="155"/>
    </row>
    <row r="643" spans="1:12" s="156" customFormat="1" ht="16.5" customHeight="1">
      <c r="A643" s="205"/>
      <c r="B643" s="169"/>
      <c r="C643" s="169">
        <v>4170</v>
      </c>
      <c r="D643" s="1099" t="s">
        <v>395</v>
      </c>
      <c r="E643" s="783"/>
      <c r="F643" s="783"/>
      <c r="G643" s="783">
        <v>2000</v>
      </c>
      <c r="H643" s="783"/>
      <c r="I643" s="155"/>
      <c r="J643" s="155"/>
      <c r="L643" s="155"/>
    </row>
    <row r="644" spans="1:12" s="229" customFormat="1" ht="16.5" customHeight="1">
      <c r="A644" s="206"/>
      <c r="B644" s="214"/>
      <c r="C644" s="207"/>
      <c r="D644" s="893" t="s">
        <v>387</v>
      </c>
      <c r="E644" s="416"/>
      <c r="F644" s="416"/>
      <c r="G644" s="416"/>
      <c r="H644" s="416">
        <f>SUM(H645:H647)</f>
        <v>2300</v>
      </c>
      <c r="I644" s="209"/>
      <c r="J644" s="209"/>
      <c r="L644" s="209"/>
    </row>
    <row r="645" spans="1:12" s="156" customFormat="1" ht="16.5" customHeight="1">
      <c r="A645" s="205"/>
      <c r="B645" s="169"/>
      <c r="C645" s="1198">
        <v>4280</v>
      </c>
      <c r="D645" s="1199" t="s">
        <v>465</v>
      </c>
      <c r="E645" s="154"/>
      <c r="F645" s="154"/>
      <c r="G645" s="154"/>
      <c r="H645" s="154">
        <v>81</v>
      </c>
      <c r="I645" s="1107"/>
      <c r="J645" s="155"/>
      <c r="L645" s="155"/>
    </row>
    <row r="646" spans="1:12" s="156" customFormat="1" ht="16.5" customHeight="1">
      <c r="A646" s="205"/>
      <c r="B646" s="169"/>
      <c r="C646" s="161">
        <v>4300</v>
      </c>
      <c r="D646" s="480" t="s">
        <v>384</v>
      </c>
      <c r="E646" s="764"/>
      <c r="F646" s="764"/>
      <c r="G646" s="764"/>
      <c r="H646" s="764">
        <v>1600</v>
      </c>
      <c r="I646" s="155"/>
      <c r="J646" s="155"/>
      <c r="L646" s="155"/>
    </row>
    <row r="647" spans="1:12" s="156" customFormat="1" ht="16.5" customHeight="1">
      <c r="A647" s="205"/>
      <c r="B647" s="169"/>
      <c r="C647" s="161">
        <v>4420</v>
      </c>
      <c r="D647" s="480" t="s">
        <v>426</v>
      </c>
      <c r="E647" s="764"/>
      <c r="F647" s="764"/>
      <c r="G647" s="764"/>
      <c r="H647" s="764">
        <v>619</v>
      </c>
      <c r="I647" s="155"/>
      <c r="J647" s="155"/>
      <c r="L647" s="155"/>
    </row>
    <row r="648" spans="1:12" s="130" customFormat="1" ht="15.75" customHeight="1">
      <c r="A648" s="948"/>
      <c r="B648" s="214"/>
      <c r="C648" s="214"/>
      <c r="D648" s="66" t="s">
        <v>413</v>
      </c>
      <c r="E648" s="267"/>
      <c r="F648" s="267"/>
      <c r="G648" s="267"/>
      <c r="H648" s="267">
        <f>H649</f>
        <v>1700</v>
      </c>
      <c r="I648" s="138"/>
      <c r="J648" s="138"/>
      <c r="L648" s="138"/>
    </row>
    <row r="649" spans="1:12" s="156" customFormat="1" ht="16.5" customHeight="1">
      <c r="A649" s="924"/>
      <c r="B649" s="169"/>
      <c r="C649" s="320">
        <v>4110</v>
      </c>
      <c r="D649" s="896" t="s">
        <v>462</v>
      </c>
      <c r="E649" s="154"/>
      <c r="F649" s="154"/>
      <c r="G649" s="154"/>
      <c r="H649" s="154">
        <v>1700</v>
      </c>
      <c r="I649" s="155"/>
      <c r="J649" s="155"/>
      <c r="L649" s="155"/>
    </row>
    <row r="650" spans="1:9" ht="16.5" customHeight="1">
      <c r="A650" s="68"/>
      <c r="B650" s="67"/>
      <c r="C650" s="68"/>
      <c r="D650" s="102" t="s">
        <v>506</v>
      </c>
      <c r="E650" s="102"/>
      <c r="F650" s="103"/>
      <c r="G650" s="104">
        <f>G651</f>
        <v>4900</v>
      </c>
      <c r="H650" s="104">
        <f>H651</f>
        <v>5767949</v>
      </c>
      <c r="I650" s="52"/>
    </row>
    <row r="651" spans="1:10" ht="18.75" customHeight="1" thickBot="1">
      <c r="A651" s="68"/>
      <c r="B651" s="67"/>
      <c r="C651" s="105"/>
      <c r="D651" s="91" t="s">
        <v>360</v>
      </c>
      <c r="E651" s="91"/>
      <c r="F651" s="106"/>
      <c r="G651" s="106">
        <f>G652+G653+G655+G654</f>
        <v>4900</v>
      </c>
      <c r="H651" s="106">
        <f>H652+H653+H655+H654</f>
        <v>5767949</v>
      </c>
      <c r="J651" s="52"/>
    </row>
    <row r="652" spans="1:8" ht="17.25" customHeight="1" thickTop="1">
      <c r="A652" s="72">
        <v>754</v>
      </c>
      <c r="B652" s="89"/>
      <c r="C652" s="73"/>
      <c r="D652" s="92" t="s">
        <v>361</v>
      </c>
      <c r="E652" s="92"/>
      <c r="F652" s="87"/>
      <c r="G652" s="87"/>
      <c r="H652" s="87">
        <f>szkoly!V14</f>
        <v>40000</v>
      </c>
    </row>
    <row r="653" spans="1:10" ht="17.25" customHeight="1">
      <c r="A653" s="72">
        <v>801</v>
      </c>
      <c r="B653" s="89"/>
      <c r="C653" s="73"/>
      <c r="D653" s="92" t="s">
        <v>367</v>
      </c>
      <c r="E653" s="92"/>
      <c r="F653" s="87"/>
      <c r="G653" s="87"/>
      <c r="H653" s="87">
        <f>szkoly!V18</f>
        <v>5054723</v>
      </c>
      <c r="J653" s="52"/>
    </row>
    <row r="654" spans="1:8" ht="17.25" customHeight="1">
      <c r="A654" s="72">
        <v>851</v>
      </c>
      <c r="B654" s="89"/>
      <c r="C654" s="73"/>
      <c r="D654" s="92" t="s">
        <v>370</v>
      </c>
      <c r="E654" s="92"/>
      <c r="F654" s="87"/>
      <c r="G654" s="87"/>
      <c r="H654" s="87">
        <f>szkoly!V367</f>
        <v>5000</v>
      </c>
    </row>
    <row r="655" spans="1:8" ht="16.5" customHeight="1">
      <c r="A655" s="72">
        <v>854</v>
      </c>
      <c r="B655" s="89"/>
      <c r="C655" s="73"/>
      <c r="D655" s="795" t="s">
        <v>531</v>
      </c>
      <c r="E655" s="795"/>
      <c r="F655" s="389"/>
      <c r="G655" s="389">
        <f>G656+G660</f>
        <v>4900</v>
      </c>
      <c r="H655" s="389">
        <f>szkoly!V381+H656+H660</f>
        <v>668226</v>
      </c>
    </row>
    <row r="656" spans="1:8" ht="18" customHeight="1">
      <c r="A656" s="169"/>
      <c r="B656" s="169"/>
      <c r="C656" s="169"/>
      <c r="D656" s="1563" t="s">
        <v>529</v>
      </c>
      <c r="E656" s="397"/>
      <c r="F656" s="397"/>
      <c r="G656" s="1564">
        <f>G657</f>
        <v>4900</v>
      </c>
      <c r="H656" s="1564"/>
    </row>
    <row r="657" spans="1:8" ht="16.5" customHeight="1">
      <c r="A657" s="449"/>
      <c r="B657" s="77">
        <v>85403</v>
      </c>
      <c r="C657" s="77"/>
      <c r="D657" s="77" t="s">
        <v>831</v>
      </c>
      <c r="E657" s="77"/>
      <c r="F657" s="77"/>
      <c r="G657" s="159">
        <f>G658</f>
        <v>4900</v>
      </c>
      <c r="H657" s="159"/>
    </row>
    <row r="658" spans="1:8" ht="16.5" customHeight="1">
      <c r="A658" s="449"/>
      <c r="B658" s="66"/>
      <c r="C658" s="66"/>
      <c r="D658" s="1565" t="s">
        <v>530</v>
      </c>
      <c r="E658" s="1565"/>
      <c r="F658" s="1565"/>
      <c r="G658" s="1566">
        <f>G659</f>
        <v>4900</v>
      </c>
      <c r="H658" s="1566"/>
    </row>
    <row r="659" spans="1:8" ht="15" customHeight="1">
      <c r="A659" s="1567"/>
      <c r="B659" s="1567"/>
      <c r="C659" s="320">
        <v>4307</v>
      </c>
      <c r="D659" s="1568" t="s">
        <v>384</v>
      </c>
      <c r="E659" s="1568"/>
      <c r="F659" s="1568"/>
      <c r="G659" s="1570">
        <v>4900</v>
      </c>
      <c r="H659" s="897"/>
    </row>
    <row r="660" spans="1:8" ht="26.25" customHeight="1">
      <c r="A660" s="169"/>
      <c r="B660" s="169"/>
      <c r="C660" s="169"/>
      <c r="D660" s="1563" t="s">
        <v>827</v>
      </c>
      <c r="E660" s="397"/>
      <c r="F660" s="397"/>
      <c r="G660" s="1564"/>
      <c r="H660" s="1564">
        <f>H661</f>
        <v>4900</v>
      </c>
    </row>
    <row r="661" spans="1:8" ht="16.5" customHeight="1">
      <c r="A661" s="449"/>
      <c r="B661" s="77">
        <v>85403</v>
      </c>
      <c r="C661" s="77"/>
      <c r="D661" s="77" t="s">
        <v>831</v>
      </c>
      <c r="E661" s="77"/>
      <c r="F661" s="77"/>
      <c r="G661" s="77"/>
      <c r="H661" s="159">
        <f>H662</f>
        <v>4900</v>
      </c>
    </row>
    <row r="662" spans="1:8" ht="15.75" customHeight="1">
      <c r="A662" s="449"/>
      <c r="B662" s="66"/>
      <c r="C662" s="66"/>
      <c r="D662" s="1565" t="s">
        <v>530</v>
      </c>
      <c r="E662" s="1565"/>
      <c r="F662" s="1565"/>
      <c r="G662" s="1565"/>
      <c r="H662" s="1566">
        <v>4900</v>
      </c>
    </row>
    <row r="663" spans="1:8" ht="16.5" customHeight="1">
      <c r="A663" s="1569"/>
      <c r="B663" s="1569"/>
      <c r="C663" s="320">
        <v>4307</v>
      </c>
      <c r="D663" s="1568" t="s">
        <v>384</v>
      </c>
      <c r="E663" s="1568"/>
      <c r="F663" s="1568"/>
      <c r="G663" s="1568"/>
      <c r="H663" s="897">
        <v>4900</v>
      </c>
    </row>
    <row r="664" ht="22.5" customHeight="1">
      <c r="A664" s="49"/>
    </row>
    <row r="665" spans="1:8" ht="15">
      <c r="A665" s="49"/>
      <c r="B665" s="1" t="s">
        <v>172</v>
      </c>
      <c r="C665" s="1133"/>
      <c r="G665" s="1" t="s">
        <v>174</v>
      </c>
      <c r="H665" s="1135"/>
    </row>
    <row r="666" spans="1:8" ht="13.5" customHeight="1">
      <c r="A666" s="49"/>
      <c r="B666" s="48" t="s">
        <v>173</v>
      </c>
      <c r="C666" s="1133"/>
      <c r="G666" s="48" t="s">
        <v>175</v>
      </c>
      <c r="H666" s="1135"/>
    </row>
    <row r="667" ht="12.75">
      <c r="A667" s="49"/>
    </row>
    <row r="668" ht="12.75">
      <c r="A668" s="49"/>
    </row>
    <row r="669" ht="12.75">
      <c r="A669" s="49"/>
    </row>
    <row r="670" ht="12.75">
      <c r="A670" s="49"/>
    </row>
    <row r="671" ht="12.75">
      <c r="A671" s="49"/>
    </row>
    <row r="672" ht="12.75">
      <c r="A672" s="49"/>
    </row>
    <row r="673" ht="12.75">
      <c r="A673" s="49"/>
    </row>
    <row r="674" ht="12.75">
      <c r="A674" s="49"/>
    </row>
    <row r="675" ht="12.75">
      <c r="A675" s="49"/>
    </row>
    <row r="676" ht="12.75">
      <c r="A676" s="49"/>
    </row>
    <row r="677" ht="12.75">
      <c r="A677" s="49"/>
    </row>
    <row r="678" ht="12.75">
      <c r="A678" s="49"/>
    </row>
    <row r="679" ht="12.75">
      <c r="A679" s="49"/>
    </row>
    <row r="680" ht="12.75">
      <c r="A680" s="49"/>
    </row>
    <row r="681" ht="12.75">
      <c r="A681" s="49"/>
    </row>
    <row r="682" ht="12.75">
      <c r="A682" s="49"/>
    </row>
    <row r="683" ht="12.75">
      <c r="A683" s="49"/>
    </row>
    <row r="684" ht="12.75">
      <c r="A684" s="49"/>
    </row>
    <row r="685" ht="12.75">
      <c r="A685" s="49"/>
    </row>
    <row r="686" ht="12.75">
      <c r="A686" s="49"/>
    </row>
    <row r="687" ht="12.75">
      <c r="A687" s="49"/>
    </row>
    <row r="688" ht="12.75">
      <c r="A688" s="49"/>
    </row>
    <row r="689" ht="12.75">
      <c r="A689" s="49"/>
    </row>
    <row r="690" ht="12.75">
      <c r="A690" s="49"/>
    </row>
    <row r="691" ht="12.75">
      <c r="A691" s="49"/>
    </row>
    <row r="692" ht="12.75">
      <c r="A692" s="49"/>
    </row>
    <row r="693" ht="12.75">
      <c r="A693" s="49"/>
    </row>
    <row r="694" ht="12.75">
      <c r="A694" s="49"/>
    </row>
    <row r="695" ht="12.75">
      <c r="A695" s="49"/>
    </row>
    <row r="696" ht="12.75">
      <c r="A696" s="49"/>
    </row>
    <row r="697" ht="12.75">
      <c r="A697" s="49"/>
    </row>
    <row r="698" ht="12.75">
      <c r="A698" s="49"/>
    </row>
    <row r="699" ht="12.75">
      <c r="A699" s="49"/>
    </row>
    <row r="700" ht="12.75">
      <c r="A700" s="49"/>
    </row>
    <row r="701" ht="12.75">
      <c r="A701" s="49"/>
    </row>
    <row r="702" ht="12.75">
      <c r="A702" s="49"/>
    </row>
    <row r="703" ht="12.75">
      <c r="A703" s="49"/>
    </row>
    <row r="704" ht="12.75">
      <c r="A704" s="49"/>
    </row>
    <row r="705" ht="12.75">
      <c r="A705" s="49"/>
    </row>
    <row r="706" ht="12.75">
      <c r="A706" s="49"/>
    </row>
    <row r="707" ht="12.75">
      <c r="A707" s="49"/>
    </row>
    <row r="708" ht="12.75">
      <c r="A708" s="49"/>
    </row>
    <row r="709" ht="12.75">
      <c r="A709" s="49"/>
    </row>
    <row r="710" ht="12.75">
      <c r="A710" s="49"/>
    </row>
    <row r="711" ht="12.75">
      <c r="A711" s="49"/>
    </row>
    <row r="712" ht="12.75">
      <c r="A712" s="49"/>
    </row>
    <row r="713" ht="12.75">
      <c r="A713" s="49"/>
    </row>
    <row r="714" ht="12.75">
      <c r="A714" s="49"/>
    </row>
    <row r="715" ht="12.75">
      <c r="A715" s="49"/>
    </row>
    <row r="716" ht="12.75">
      <c r="A716" s="49"/>
    </row>
    <row r="717" ht="12.75">
      <c r="A717" s="49"/>
    </row>
    <row r="718" ht="12.75">
      <c r="A718" s="49"/>
    </row>
    <row r="719" ht="12.75">
      <c r="A719" s="49"/>
    </row>
    <row r="720" ht="12.75">
      <c r="A720" s="49"/>
    </row>
    <row r="721" ht="12.75">
      <c r="A721" s="49"/>
    </row>
    <row r="722" ht="12.75">
      <c r="A722" s="49"/>
    </row>
    <row r="723" ht="12.75">
      <c r="A723" s="49"/>
    </row>
    <row r="724" ht="12.75">
      <c r="A724" s="49"/>
    </row>
    <row r="725" ht="12.75">
      <c r="A725" s="49"/>
    </row>
    <row r="726" ht="12.75">
      <c r="A726" s="49"/>
    </row>
    <row r="727" ht="12.75">
      <c r="A727" s="49"/>
    </row>
    <row r="728" ht="12.75">
      <c r="A728" s="49"/>
    </row>
    <row r="729" ht="12.75">
      <c r="A729" s="49"/>
    </row>
    <row r="730" ht="12.75">
      <c r="A730" s="49"/>
    </row>
    <row r="731" ht="12.75">
      <c r="A731" s="49"/>
    </row>
    <row r="732" ht="12.75">
      <c r="A732" s="49"/>
    </row>
    <row r="733" ht="12.75">
      <c r="A733" s="49"/>
    </row>
    <row r="734" ht="12.75">
      <c r="A734" s="49"/>
    </row>
    <row r="735" ht="12.75">
      <c r="A735" s="49"/>
    </row>
    <row r="736" ht="12.75">
      <c r="A736" s="49"/>
    </row>
    <row r="737" ht="12.75">
      <c r="A737" s="49"/>
    </row>
    <row r="738" ht="12.75">
      <c r="A738" s="49"/>
    </row>
    <row r="739" ht="12.75">
      <c r="A739" s="49"/>
    </row>
    <row r="740" ht="12.75">
      <c r="A740" s="49"/>
    </row>
    <row r="741" ht="12.75">
      <c r="A741" s="49"/>
    </row>
    <row r="742" ht="12.75">
      <c r="A742" s="49"/>
    </row>
    <row r="743" ht="12.75">
      <c r="A743" s="49"/>
    </row>
    <row r="744" ht="12.75">
      <c r="A744" s="49"/>
    </row>
    <row r="745" ht="12.75">
      <c r="A745" s="49"/>
    </row>
    <row r="746" ht="12.75">
      <c r="A746" s="49"/>
    </row>
    <row r="747" ht="12.75">
      <c r="A747" s="49"/>
    </row>
    <row r="748" ht="12.75">
      <c r="A748" s="49"/>
    </row>
    <row r="749" ht="12.75">
      <c r="A749" s="49"/>
    </row>
    <row r="750" ht="12.75">
      <c r="A750" s="49"/>
    </row>
    <row r="751" ht="12.75">
      <c r="A751" s="49"/>
    </row>
    <row r="752" ht="12.75">
      <c r="A752" s="49"/>
    </row>
    <row r="753" ht="12.75">
      <c r="A753" s="49"/>
    </row>
    <row r="754" ht="12.75">
      <c r="A754" s="49"/>
    </row>
    <row r="755" ht="12.75">
      <c r="A755" s="49"/>
    </row>
    <row r="756" ht="12.75">
      <c r="A756" s="49"/>
    </row>
    <row r="757" ht="12.75">
      <c r="A757" s="49"/>
    </row>
    <row r="758" ht="12.75">
      <c r="A758" s="49"/>
    </row>
    <row r="759" ht="12.75">
      <c r="A759" s="49"/>
    </row>
  </sheetData>
  <mergeCells count="6">
    <mergeCell ref="G7:H7"/>
    <mergeCell ref="D7:D8"/>
    <mergeCell ref="A7:A8"/>
    <mergeCell ref="B7:B8"/>
    <mergeCell ref="C7:C8"/>
    <mergeCell ref="E7:F7"/>
  </mergeCells>
  <printOptions horizontalCentered="1"/>
  <pageMargins left="0.5905511811023623" right="0.5905511811023623" top="0.5905511811023623" bottom="0.4724409448818898" header="0.5118110236220472" footer="0.31496062992125984"/>
  <pageSetup firstPageNumber="46" useFirstPageNumber="1" horizontalDpi="300" verticalDpi="300" orientation="landscape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571"/>
  <sheetViews>
    <sheetView zoomScale="69" zoomScaleNormal="69" workbookViewId="0" topLeftCell="F4">
      <pane ySplit="1050" topLeftCell="BM496" activePane="bottomLeft" state="split"/>
      <selection pane="topLeft" activeCell="S4" sqref="S1:S16384"/>
      <selection pane="bottomLeft" activeCell="J523" sqref="J522:J523"/>
    </sheetView>
  </sheetViews>
  <sheetFormatPr defaultColWidth="9.00390625" defaultRowHeight="12.75"/>
  <cols>
    <col min="1" max="1" width="32.25390625" style="482" customWidth="1"/>
    <col min="2" max="2" width="12.375" style="482" customWidth="1"/>
    <col min="3" max="3" width="10.125" style="482" hidden="1" customWidth="1"/>
    <col min="4" max="4" width="9.75390625" style="482" customWidth="1"/>
    <col min="5" max="5" width="11.875" style="482" customWidth="1"/>
    <col min="6" max="7" width="12.00390625" style="482" customWidth="1"/>
    <col min="8" max="8" width="10.875" style="482" customWidth="1"/>
    <col min="9" max="9" width="9.00390625" style="484" customWidth="1"/>
    <col min="10" max="10" width="10.625" style="482" customWidth="1"/>
    <col min="11" max="11" width="11.75390625" style="482" customWidth="1"/>
    <col min="12" max="12" width="11.25390625" style="482" customWidth="1"/>
    <col min="13" max="13" width="9.625" style="482" customWidth="1"/>
    <col min="14" max="14" width="9.75390625" style="482" customWidth="1"/>
    <col min="15" max="15" width="10.875" style="482" customWidth="1"/>
    <col min="16" max="17" width="10.625" style="482" customWidth="1"/>
    <col min="18" max="18" width="8.125" style="482" customWidth="1"/>
    <col min="19" max="19" width="7.875" style="482" hidden="1" customWidth="1"/>
    <col min="20" max="20" width="9.75390625" style="482" customWidth="1"/>
    <col min="21" max="21" width="13.375" style="482" customWidth="1"/>
    <col min="22" max="22" width="10.00390625" style="485" customWidth="1"/>
    <col min="23" max="23" width="11.75390625" style="486" customWidth="1"/>
    <col min="24" max="16384" width="9.125" style="486" customWidth="1"/>
  </cols>
  <sheetData>
    <row r="1" spans="1:22" ht="15.75" customHeight="1">
      <c r="A1" s="584" t="s">
        <v>427</v>
      </c>
      <c r="D1" s="483"/>
      <c r="E1" s="483"/>
      <c r="F1" s="483"/>
      <c r="G1" s="483"/>
      <c r="J1" s="483"/>
      <c r="K1" s="483"/>
      <c r="V1" s="482"/>
    </row>
    <row r="2" ht="13.5" thickBot="1">
      <c r="V2" s="585" t="s">
        <v>338</v>
      </c>
    </row>
    <row r="3" spans="1:22" ht="14.25" customHeight="1" thickBot="1" thickTop="1">
      <c r="A3" s="487"/>
      <c r="B3" s="1657" t="s">
        <v>608</v>
      </c>
      <c r="C3" s="1658"/>
      <c r="D3" s="1659"/>
      <c r="E3" s="586" t="s">
        <v>429</v>
      </c>
      <c r="F3" s="587"/>
      <c r="G3" s="766"/>
      <c r="H3" s="489"/>
      <c r="I3" s="489"/>
      <c r="J3" s="488" t="s">
        <v>430</v>
      </c>
      <c r="K3" s="489"/>
      <c r="L3" s="489"/>
      <c r="M3" s="489"/>
      <c r="N3" s="489"/>
      <c r="O3" s="489"/>
      <c r="P3" s="489"/>
      <c r="Q3" s="489"/>
      <c r="R3" s="489"/>
      <c r="S3" s="489"/>
      <c r="T3" s="596"/>
      <c r="U3" s="490" t="s">
        <v>428</v>
      </c>
      <c r="V3" s="491"/>
    </row>
    <row r="4" spans="1:22" s="494" customFormat="1" ht="13.5" thickTop="1">
      <c r="A4" s="492" t="s">
        <v>609</v>
      </c>
      <c r="B4" s="493" t="s">
        <v>39</v>
      </c>
      <c r="C4" s="493" t="s">
        <v>610</v>
      </c>
      <c r="D4" s="588" t="s">
        <v>611</v>
      </c>
      <c r="E4" s="494" t="s">
        <v>612</v>
      </c>
      <c r="F4" s="588" t="s">
        <v>613</v>
      </c>
      <c r="G4" s="767" t="s">
        <v>43</v>
      </c>
      <c r="H4" s="494" t="s">
        <v>614</v>
      </c>
      <c r="I4" s="493" t="s">
        <v>615</v>
      </c>
      <c r="J4" s="493" t="s">
        <v>616</v>
      </c>
      <c r="K4" s="493" t="s">
        <v>617</v>
      </c>
      <c r="L4" s="493" t="s">
        <v>618</v>
      </c>
      <c r="M4" s="493" t="s">
        <v>619</v>
      </c>
      <c r="N4" s="493" t="s">
        <v>620</v>
      </c>
      <c r="O4" s="493" t="s">
        <v>200</v>
      </c>
      <c r="P4" s="493" t="s">
        <v>621</v>
      </c>
      <c r="Q4" s="493" t="s">
        <v>255</v>
      </c>
      <c r="R4" s="598" t="s">
        <v>644</v>
      </c>
      <c r="S4" s="598" t="s">
        <v>645</v>
      </c>
      <c r="T4" s="1512" t="s">
        <v>48</v>
      </c>
      <c r="U4" s="593" t="s">
        <v>795</v>
      </c>
      <c r="V4" s="581"/>
    </row>
    <row r="5" spans="1:22" s="494" customFormat="1" ht="12.75">
      <c r="A5" s="495" t="s">
        <v>646</v>
      </c>
      <c r="B5" s="496" t="s">
        <v>40</v>
      </c>
      <c r="C5" s="493" t="s">
        <v>647</v>
      </c>
      <c r="D5" s="589" t="s">
        <v>648</v>
      </c>
      <c r="E5" s="551" t="s">
        <v>649</v>
      </c>
      <c r="F5" s="589" t="s">
        <v>650</v>
      </c>
      <c r="G5" s="768" t="s">
        <v>378</v>
      </c>
      <c r="H5" s="551" t="s">
        <v>651</v>
      </c>
      <c r="I5" s="496" t="s">
        <v>652</v>
      </c>
      <c r="J5" s="496" t="s">
        <v>653</v>
      </c>
      <c r="K5" s="493" t="s">
        <v>654</v>
      </c>
      <c r="L5" s="496" t="s">
        <v>654</v>
      </c>
      <c r="M5" s="493" t="s">
        <v>654</v>
      </c>
      <c r="N5" s="493" t="s">
        <v>654</v>
      </c>
      <c r="O5" s="493" t="s">
        <v>654</v>
      </c>
      <c r="P5" s="493" t="s">
        <v>654</v>
      </c>
      <c r="Q5" s="493" t="s">
        <v>654</v>
      </c>
      <c r="R5" s="770" t="s">
        <v>431</v>
      </c>
      <c r="S5" s="770" t="s">
        <v>432</v>
      </c>
      <c r="T5" s="589" t="s">
        <v>49</v>
      </c>
      <c r="U5" s="594" t="s">
        <v>378</v>
      </c>
      <c r="V5" s="582"/>
    </row>
    <row r="6" spans="1:22" s="494" customFormat="1" ht="12.75">
      <c r="A6" s="495"/>
      <c r="B6" s="496" t="s">
        <v>41</v>
      </c>
      <c r="C6" s="493" t="s">
        <v>655</v>
      </c>
      <c r="D6" s="589" t="s">
        <v>656</v>
      </c>
      <c r="E6" s="551" t="s">
        <v>657</v>
      </c>
      <c r="F6" s="589" t="s">
        <v>658</v>
      </c>
      <c r="G6" s="768" t="s">
        <v>41</v>
      </c>
      <c r="H6" s="551" t="s">
        <v>659</v>
      </c>
      <c r="I6" s="496" t="s">
        <v>660</v>
      </c>
      <c r="J6" s="496" t="s">
        <v>661</v>
      </c>
      <c r="K6" s="493" t="s">
        <v>662</v>
      </c>
      <c r="L6" s="496" t="s">
        <v>660</v>
      </c>
      <c r="M6" s="493" t="s">
        <v>663</v>
      </c>
      <c r="N6" s="493" t="s">
        <v>664</v>
      </c>
      <c r="O6" s="493" t="s">
        <v>664</v>
      </c>
      <c r="P6" s="493" t="s">
        <v>665</v>
      </c>
      <c r="Q6" s="493" t="s">
        <v>665</v>
      </c>
      <c r="R6" s="770" t="s">
        <v>433</v>
      </c>
      <c r="S6" s="770" t="s">
        <v>434</v>
      </c>
      <c r="T6" s="589" t="s">
        <v>47</v>
      </c>
      <c r="U6" s="594" t="s">
        <v>417</v>
      </c>
      <c r="V6" s="582"/>
    </row>
    <row r="7" spans="1:22" s="494" customFormat="1" ht="12.75">
      <c r="A7" s="495"/>
      <c r="B7" s="496" t="s">
        <v>42</v>
      </c>
      <c r="C7" s="493" t="s">
        <v>666</v>
      </c>
      <c r="D7" s="589" t="s">
        <v>667</v>
      </c>
      <c r="E7" s="551" t="s">
        <v>668</v>
      </c>
      <c r="F7" s="589" t="s">
        <v>669</v>
      </c>
      <c r="G7" s="768" t="s">
        <v>44</v>
      </c>
      <c r="H7" s="551" t="s">
        <v>670</v>
      </c>
      <c r="I7" s="498" t="s">
        <v>671</v>
      </c>
      <c r="J7" s="496" t="s">
        <v>669</v>
      </c>
      <c r="K7" s="493" t="s">
        <v>672</v>
      </c>
      <c r="L7" s="496" t="s">
        <v>673</v>
      </c>
      <c r="M7" s="493"/>
      <c r="N7" s="496" t="s">
        <v>674</v>
      </c>
      <c r="O7" s="496" t="s">
        <v>201</v>
      </c>
      <c r="P7" s="493" t="s">
        <v>675</v>
      </c>
      <c r="Q7" s="493" t="s">
        <v>256</v>
      </c>
      <c r="R7" s="770" t="s">
        <v>435</v>
      </c>
      <c r="S7" s="770" t="s">
        <v>436</v>
      </c>
      <c r="T7" s="589" t="s">
        <v>50</v>
      </c>
      <c r="U7" s="594" t="s">
        <v>418</v>
      </c>
      <c r="V7" s="581" t="s">
        <v>676</v>
      </c>
    </row>
    <row r="8" spans="1:22" s="494" customFormat="1" ht="12.75">
      <c r="A8" s="499" t="s">
        <v>609</v>
      </c>
      <c r="B8" s="493"/>
      <c r="C8" s="493"/>
      <c r="D8" s="590"/>
      <c r="F8" s="589" t="s">
        <v>677</v>
      </c>
      <c r="G8" s="768" t="s">
        <v>45</v>
      </c>
      <c r="H8" s="506"/>
      <c r="I8" s="498" t="s">
        <v>670</v>
      </c>
      <c r="J8" s="496" t="s">
        <v>678</v>
      </c>
      <c r="K8" s="493" t="s">
        <v>679</v>
      </c>
      <c r="L8" s="496" t="s">
        <v>680</v>
      </c>
      <c r="M8" s="493"/>
      <c r="N8" s="493"/>
      <c r="O8" s="493"/>
      <c r="P8" s="493"/>
      <c r="Q8" s="493" t="s">
        <v>257</v>
      </c>
      <c r="R8" s="770"/>
      <c r="S8" s="770"/>
      <c r="T8" s="589" t="s">
        <v>51</v>
      </c>
      <c r="U8" s="594" t="s">
        <v>419</v>
      </c>
      <c r="V8" s="582"/>
    </row>
    <row r="9" spans="1:22" s="494" customFormat="1" ht="12.75">
      <c r="A9" s="499"/>
      <c r="B9" s="493"/>
      <c r="C9" s="493"/>
      <c r="D9" s="590"/>
      <c r="F9" s="589"/>
      <c r="G9" s="768" t="s">
        <v>46</v>
      </c>
      <c r="H9" s="506"/>
      <c r="I9" s="498"/>
      <c r="J9" s="496" t="s">
        <v>681</v>
      </c>
      <c r="K9" s="493"/>
      <c r="L9" s="498" t="s">
        <v>682</v>
      </c>
      <c r="M9" s="493"/>
      <c r="N9" s="493"/>
      <c r="O9" s="493"/>
      <c r="P9" s="493"/>
      <c r="Q9" s="493" t="s">
        <v>258</v>
      </c>
      <c r="R9" s="770"/>
      <c r="S9" s="770"/>
      <c r="T9" s="589" t="s">
        <v>52</v>
      </c>
      <c r="U9" s="594"/>
      <c r="V9" s="582"/>
    </row>
    <row r="10" spans="1:22" s="494" customFormat="1" ht="12" customHeight="1">
      <c r="A10" s="499" t="s">
        <v>683</v>
      </c>
      <c r="B10" s="500"/>
      <c r="C10" s="500"/>
      <c r="D10" s="591"/>
      <c r="E10" s="552"/>
      <c r="F10" s="592"/>
      <c r="G10" s="769"/>
      <c r="H10" s="599"/>
      <c r="I10" s="502"/>
      <c r="J10" s="501" t="s">
        <v>684</v>
      </c>
      <c r="K10" s="500"/>
      <c r="L10" s="503"/>
      <c r="M10" s="500"/>
      <c r="N10" s="500"/>
      <c r="O10" s="500"/>
      <c r="P10" s="500"/>
      <c r="Q10" s="500"/>
      <c r="R10" s="503"/>
      <c r="S10" s="503"/>
      <c r="T10" s="592" t="s">
        <v>53</v>
      </c>
      <c r="U10" s="595"/>
      <c r="V10" s="583"/>
    </row>
    <row r="11" spans="1:22" s="506" customFormat="1" ht="11.25">
      <c r="A11" s="504">
        <v>1</v>
      </c>
      <c r="B11" s="505">
        <v>2</v>
      </c>
      <c r="C11" s="505">
        <v>3</v>
      </c>
      <c r="D11" s="505">
        <v>3</v>
      </c>
      <c r="E11" s="505">
        <v>4</v>
      </c>
      <c r="F11" s="505">
        <v>5</v>
      </c>
      <c r="G11" s="505">
        <v>6</v>
      </c>
      <c r="H11" s="505">
        <v>7</v>
      </c>
      <c r="I11" s="505">
        <v>8</v>
      </c>
      <c r="J11" s="505">
        <v>9</v>
      </c>
      <c r="K11" s="505">
        <v>10</v>
      </c>
      <c r="L11" s="505">
        <v>11</v>
      </c>
      <c r="M11" s="505">
        <v>12</v>
      </c>
      <c r="N11" s="505">
        <v>13</v>
      </c>
      <c r="O11" s="505">
        <v>14</v>
      </c>
      <c r="P11" s="505">
        <v>15</v>
      </c>
      <c r="Q11" s="505">
        <v>16</v>
      </c>
      <c r="R11" s="505">
        <v>17</v>
      </c>
      <c r="S11" s="505">
        <v>18</v>
      </c>
      <c r="T11" s="505">
        <v>18</v>
      </c>
      <c r="U11" s="505">
        <v>19</v>
      </c>
      <c r="V11" s="505">
        <v>20</v>
      </c>
    </row>
    <row r="12" spans="1:22" s="494" customFormat="1" ht="18" customHeight="1" thickBot="1">
      <c r="A12" s="507" t="s">
        <v>437</v>
      </c>
      <c r="B12" s="643">
        <f>B13</f>
        <v>3539864</v>
      </c>
      <c r="C12" s="643">
        <f aca="true" t="shared" si="0" ref="C12:U12">C13</f>
        <v>0</v>
      </c>
      <c r="D12" s="643">
        <f t="shared" si="0"/>
        <v>7003</v>
      </c>
      <c r="E12" s="643">
        <f t="shared" si="0"/>
        <v>1116803</v>
      </c>
      <c r="F12" s="643">
        <f t="shared" si="0"/>
        <v>156241</v>
      </c>
      <c r="G12" s="643">
        <f t="shared" si="0"/>
        <v>-1900</v>
      </c>
      <c r="H12" s="643">
        <f t="shared" si="0"/>
        <v>640</v>
      </c>
      <c r="I12" s="643">
        <f t="shared" si="0"/>
        <v>2888</v>
      </c>
      <c r="J12" s="643">
        <f t="shared" si="0"/>
        <v>-7250</v>
      </c>
      <c r="K12" s="643">
        <f t="shared" si="0"/>
        <v>68188</v>
      </c>
      <c r="L12" s="643">
        <f t="shared" si="0"/>
        <v>748</v>
      </c>
      <c r="M12" s="643">
        <f t="shared" si="0"/>
        <v>517875</v>
      </c>
      <c r="N12" s="643">
        <f t="shared" si="0"/>
        <v>208502</v>
      </c>
      <c r="O12" s="643">
        <f t="shared" si="0"/>
        <v>2657</v>
      </c>
      <c r="P12" s="643">
        <f t="shared" si="0"/>
        <v>112076</v>
      </c>
      <c r="Q12" s="643">
        <f t="shared" si="0"/>
        <v>-549</v>
      </c>
      <c r="R12" s="643">
        <f t="shared" si="0"/>
        <v>-702</v>
      </c>
      <c r="S12" s="643">
        <f t="shared" si="0"/>
        <v>0</v>
      </c>
      <c r="T12" s="643">
        <f t="shared" si="0"/>
        <v>-35</v>
      </c>
      <c r="U12" s="643">
        <f t="shared" si="0"/>
        <v>40000</v>
      </c>
      <c r="V12" s="644">
        <f aca="true" t="shared" si="1" ref="V12:V76">SUM(B12:U12)</f>
        <v>5763049</v>
      </c>
    </row>
    <row r="13" spans="1:24" s="509" customFormat="1" ht="18" customHeight="1">
      <c r="A13" s="508" t="s">
        <v>360</v>
      </c>
      <c r="B13" s="645">
        <f>B18+B367+B381+B14</f>
        <v>3539864</v>
      </c>
      <c r="C13" s="645">
        <f aca="true" t="shared" si="2" ref="C13:U13">C18+C367+C381+C14</f>
        <v>0</v>
      </c>
      <c r="D13" s="645">
        <f t="shared" si="2"/>
        <v>7003</v>
      </c>
      <c r="E13" s="645">
        <f t="shared" si="2"/>
        <v>1116803</v>
      </c>
      <c r="F13" s="645">
        <f t="shared" si="2"/>
        <v>156241</v>
      </c>
      <c r="G13" s="645">
        <f t="shared" si="2"/>
        <v>-1900</v>
      </c>
      <c r="H13" s="645">
        <f t="shared" si="2"/>
        <v>640</v>
      </c>
      <c r="I13" s="645">
        <f t="shared" si="2"/>
        <v>2888</v>
      </c>
      <c r="J13" s="645">
        <f t="shared" si="2"/>
        <v>-7250</v>
      </c>
      <c r="K13" s="645">
        <f t="shared" si="2"/>
        <v>68188</v>
      </c>
      <c r="L13" s="645">
        <f t="shared" si="2"/>
        <v>748</v>
      </c>
      <c r="M13" s="645">
        <f t="shared" si="2"/>
        <v>517875</v>
      </c>
      <c r="N13" s="645">
        <f t="shared" si="2"/>
        <v>208502</v>
      </c>
      <c r="O13" s="645">
        <f t="shared" si="2"/>
        <v>2657</v>
      </c>
      <c r="P13" s="645">
        <f t="shared" si="2"/>
        <v>112076</v>
      </c>
      <c r="Q13" s="645">
        <f t="shared" si="2"/>
        <v>-549</v>
      </c>
      <c r="R13" s="645">
        <f t="shared" si="2"/>
        <v>-702</v>
      </c>
      <c r="S13" s="645">
        <f t="shared" si="2"/>
        <v>0</v>
      </c>
      <c r="T13" s="645">
        <f t="shared" si="2"/>
        <v>-35</v>
      </c>
      <c r="U13" s="645">
        <f t="shared" si="2"/>
        <v>40000</v>
      </c>
      <c r="V13" s="645">
        <f t="shared" si="1"/>
        <v>5763049</v>
      </c>
      <c r="X13" s="509" t="s">
        <v>1</v>
      </c>
    </row>
    <row r="14" spans="1:22" s="494" customFormat="1" ht="39" thickBot="1">
      <c r="A14" s="1116" t="s">
        <v>793</v>
      </c>
      <c r="B14" s="868"/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>
        <f>U15</f>
        <v>40000</v>
      </c>
      <c r="V14" s="869">
        <f t="shared" si="1"/>
        <v>40000</v>
      </c>
    </row>
    <row r="15" spans="1:22" ht="27.75" customHeight="1" thickBot="1" thickTop="1">
      <c r="A15" s="998" t="s">
        <v>794</v>
      </c>
      <c r="B15" s="646"/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866">
        <f>U16</f>
        <v>40000</v>
      </c>
      <c r="V15" s="852">
        <f>SUM(B15:U15)</f>
        <v>40000</v>
      </c>
    </row>
    <row r="16" spans="1:22" ht="27.75" customHeight="1">
      <c r="A16" s="1486" t="s">
        <v>130</v>
      </c>
      <c r="B16" s="1487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8"/>
      <c r="U16" s="1487">
        <f>U17</f>
        <v>40000</v>
      </c>
      <c r="V16" s="1489">
        <f t="shared" si="1"/>
        <v>40000</v>
      </c>
    </row>
    <row r="17" spans="1:22" ht="18" customHeight="1">
      <c r="A17" s="1484" t="s">
        <v>691</v>
      </c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8"/>
      <c r="U17" s="648">
        <v>40000</v>
      </c>
      <c r="V17" s="1485">
        <f t="shared" si="1"/>
        <v>40000</v>
      </c>
    </row>
    <row r="18" spans="1:22" s="494" customFormat="1" ht="24" customHeight="1" thickBot="1">
      <c r="A18" s="867" t="s">
        <v>685</v>
      </c>
      <c r="B18" s="868">
        <f>B19+B56+B111+B116+B128+B190+B193+B213+B218+B227+B248+B251+B264+B266+B280+B283+B287+B75</f>
        <v>3126782</v>
      </c>
      <c r="C18" s="868">
        <f aca="true" t="shared" si="3" ref="C18:T18">C19+C56+C111+C116+C128+C190+C193+C213+C218+C227+C248+C251+C264+C266+C280+C283+C287+C75</f>
        <v>0</v>
      </c>
      <c r="D18" s="868">
        <f t="shared" si="3"/>
        <v>-4036</v>
      </c>
      <c r="E18" s="868">
        <f t="shared" si="3"/>
        <v>1034560</v>
      </c>
      <c r="F18" s="868">
        <f t="shared" si="3"/>
        <v>136716</v>
      </c>
      <c r="G18" s="868">
        <f t="shared" si="3"/>
        <v>-1900</v>
      </c>
      <c r="H18" s="868"/>
      <c r="I18" s="868"/>
      <c r="J18" s="868">
        <f t="shared" si="3"/>
        <v>-7250</v>
      </c>
      <c r="K18" s="868">
        <f t="shared" si="3"/>
        <v>56008</v>
      </c>
      <c r="L18" s="868">
        <f t="shared" si="3"/>
        <v>450</v>
      </c>
      <c r="M18" s="868">
        <f t="shared" si="3"/>
        <v>395140</v>
      </c>
      <c r="N18" s="868">
        <f t="shared" si="3"/>
        <v>204618</v>
      </c>
      <c r="O18" s="868">
        <f t="shared" si="3"/>
        <v>2657</v>
      </c>
      <c r="P18" s="868">
        <f t="shared" si="3"/>
        <v>112264</v>
      </c>
      <c r="Q18" s="868">
        <f t="shared" si="3"/>
        <v>-549</v>
      </c>
      <c r="R18" s="868">
        <f t="shared" si="3"/>
        <v>-702</v>
      </c>
      <c r="S18" s="868">
        <f t="shared" si="3"/>
        <v>0</v>
      </c>
      <c r="T18" s="868">
        <f t="shared" si="3"/>
        <v>-35</v>
      </c>
      <c r="U18" s="868"/>
      <c r="V18" s="869">
        <f t="shared" si="1"/>
        <v>5054723</v>
      </c>
    </row>
    <row r="19" spans="1:22" ht="27.75" customHeight="1" thickBot="1" thickTop="1">
      <c r="A19" s="998" t="s">
        <v>863</v>
      </c>
      <c r="B19" s="646">
        <f>SUM(B20:B55)</f>
        <v>357344</v>
      </c>
      <c r="C19" s="646"/>
      <c r="D19" s="646"/>
      <c r="E19" s="646">
        <f aca="true" t="shared" si="4" ref="E19:T19">SUM(E20:E55)</f>
        <v>133774</v>
      </c>
      <c r="F19" s="646">
        <f t="shared" si="4"/>
        <v>15271</v>
      </c>
      <c r="G19" s="646">
        <f t="shared" si="4"/>
        <v>-1900</v>
      </c>
      <c r="H19" s="646"/>
      <c r="I19" s="646"/>
      <c r="J19" s="646"/>
      <c r="K19" s="646">
        <f t="shared" si="4"/>
        <v>40000</v>
      </c>
      <c r="L19" s="646"/>
      <c r="M19" s="646">
        <f t="shared" si="4"/>
        <v>70490</v>
      </c>
      <c r="N19" s="646">
        <f t="shared" si="4"/>
        <v>48099</v>
      </c>
      <c r="O19" s="646"/>
      <c r="P19" s="646"/>
      <c r="Q19" s="646">
        <f t="shared" si="4"/>
        <v>-549</v>
      </c>
      <c r="R19" s="646">
        <f t="shared" si="4"/>
        <v>-800</v>
      </c>
      <c r="S19" s="646"/>
      <c r="T19" s="646">
        <f t="shared" si="4"/>
        <v>-35</v>
      </c>
      <c r="U19" s="866"/>
      <c r="V19" s="852">
        <f t="shared" si="1"/>
        <v>661694</v>
      </c>
    </row>
    <row r="20" spans="1:22" ht="18" customHeight="1">
      <c r="A20" s="1265" t="s">
        <v>452</v>
      </c>
      <c r="B20" s="510"/>
      <c r="C20" s="510"/>
      <c r="D20" s="510"/>
      <c r="E20" s="510">
        <v>49000</v>
      </c>
      <c r="F20" s="510">
        <v>4000</v>
      </c>
      <c r="G20" s="510"/>
      <c r="H20" s="510"/>
      <c r="I20" s="510"/>
      <c r="J20" s="510"/>
      <c r="K20" s="510">
        <v>20000</v>
      </c>
      <c r="L20" s="510"/>
      <c r="M20" s="510">
        <v>10000</v>
      </c>
      <c r="N20" s="510"/>
      <c r="O20" s="510"/>
      <c r="P20" s="510"/>
      <c r="Q20" s="510"/>
      <c r="R20" s="510"/>
      <c r="S20" s="510"/>
      <c r="T20" s="648"/>
      <c r="U20" s="648"/>
      <c r="V20" s="642">
        <f t="shared" si="1"/>
        <v>83000</v>
      </c>
    </row>
    <row r="21" spans="1:22" ht="18" customHeight="1">
      <c r="A21" s="1265" t="s">
        <v>453</v>
      </c>
      <c r="B21" s="649">
        <v>89400</v>
      </c>
      <c r="C21" s="649"/>
      <c r="D21" s="649"/>
      <c r="E21" s="649"/>
      <c r="F21" s="649">
        <v>1140</v>
      </c>
      <c r="G21" s="649"/>
      <c r="H21" s="649"/>
      <c r="I21" s="649"/>
      <c r="J21" s="649"/>
      <c r="K21" s="649"/>
      <c r="L21" s="649"/>
      <c r="M21" s="649">
        <v>14660</v>
      </c>
      <c r="N21" s="649"/>
      <c r="O21" s="649"/>
      <c r="P21" s="649"/>
      <c r="Q21" s="649"/>
      <c r="R21" s="649"/>
      <c r="S21" s="649"/>
      <c r="T21" s="648"/>
      <c r="U21" s="648"/>
      <c r="V21" s="642">
        <f t="shared" si="1"/>
        <v>105200</v>
      </c>
    </row>
    <row r="22" spans="1:22" ht="18" customHeight="1">
      <c r="A22" s="1265" t="s">
        <v>454</v>
      </c>
      <c r="B22" s="649">
        <v>121700</v>
      </c>
      <c r="C22" s="649"/>
      <c r="D22" s="649"/>
      <c r="E22" s="649">
        <v>3447</v>
      </c>
      <c r="F22" s="649">
        <v>2000</v>
      </c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8"/>
      <c r="U22" s="648"/>
      <c r="V22" s="642">
        <f t="shared" si="1"/>
        <v>127147</v>
      </c>
    </row>
    <row r="23" spans="1:22" ht="18" customHeight="1">
      <c r="A23" s="1265" t="s">
        <v>455</v>
      </c>
      <c r="B23" s="649">
        <v>100100</v>
      </c>
      <c r="C23" s="649"/>
      <c r="D23" s="649"/>
      <c r="E23" s="649">
        <v>7020</v>
      </c>
      <c r="F23" s="649"/>
      <c r="G23" s="649"/>
      <c r="H23" s="649"/>
      <c r="I23" s="649"/>
      <c r="J23" s="649"/>
      <c r="K23" s="649"/>
      <c r="L23" s="649"/>
      <c r="M23" s="649"/>
      <c r="N23" s="1239"/>
      <c r="O23" s="1239"/>
      <c r="P23" s="649"/>
      <c r="Q23" s="649"/>
      <c r="R23" s="649"/>
      <c r="S23" s="649"/>
      <c r="T23" s="648"/>
      <c r="U23" s="648"/>
      <c r="V23" s="642">
        <f t="shared" si="1"/>
        <v>107120</v>
      </c>
    </row>
    <row r="24" spans="1:22" ht="18" customHeight="1">
      <c r="A24" s="1265" t="s">
        <v>281</v>
      </c>
      <c r="B24" s="649">
        <v>-57090</v>
      </c>
      <c r="C24" s="649"/>
      <c r="D24" s="649"/>
      <c r="E24" s="649">
        <v>-22250</v>
      </c>
      <c r="F24" s="649">
        <v>-2650</v>
      </c>
      <c r="G24" s="649"/>
      <c r="H24" s="649"/>
      <c r="I24" s="649"/>
      <c r="J24" s="649"/>
      <c r="K24" s="649"/>
      <c r="L24" s="649"/>
      <c r="M24" s="649">
        <v>-9700</v>
      </c>
      <c r="N24" s="1239">
        <v>30000</v>
      </c>
      <c r="O24" s="1239"/>
      <c r="P24" s="649"/>
      <c r="Q24" s="649"/>
      <c r="R24" s="649"/>
      <c r="S24" s="649"/>
      <c r="T24" s="648"/>
      <c r="U24" s="648"/>
      <c r="V24" s="642">
        <f t="shared" si="1"/>
        <v>-61690</v>
      </c>
    </row>
    <row r="25" spans="1:22" ht="18" customHeight="1">
      <c r="A25" s="1265" t="s">
        <v>456</v>
      </c>
      <c r="B25" s="649">
        <v>9600</v>
      </c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1239"/>
      <c r="O25" s="1239"/>
      <c r="P25" s="649"/>
      <c r="Q25" s="649"/>
      <c r="R25" s="649"/>
      <c r="S25" s="649"/>
      <c r="T25" s="648"/>
      <c r="U25" s="648"/>
      <c r="V25" s="642">
        <f t="shared" si="1"/>
        <v>9600</v>
      </c>
    </row>
    <row r="26" spans="1:22" ht="25.5">
      <c r="A26" s="1265" t="s">
        <v>206</v>
      </c>
      <c r="B26" s="649">
        <v>16700</v>
      </c>
      <c r="C26" s="649"/>
      <c r="D26" s="649"/>
      <c r="E26" s="649">
        <v>6120</v>
      </c>
      <c r="F26" s="649">
        <v>430</v>
      </c>
      <c r="G26" s="649"/>
      <c r="H26" s="649"/>
      <c r="I26" s="649"/>
      <c r="J26" s="649"/>
      <c r="K26" s="649"/>
      <c r="L26" s="649"/>
      <c r="M26" s="649">
        <v>8000</v>
      </c>
      <c r="N26" s="1239"/>
      <c r="O26" s="1239"/>
      <c r="P26" s="649"/>
      <c r="Q26" s="649"/>
      <c r="R26" s="649"/>
      <c r="S26" s="649"/>
      <c r="T26" s="648"/>
      <c r="U26" s="648"/>
      <c r="V26" s="642">
        <f t="shared" si="1"/>
        <v>31250</v>
      </c>
    </row>
    <row r="27" spans="1:22" ht="18" customHeight="1">
      <c r="A27" s="1265" t="s">
        <v>457</v>
      </c>
      <c r="B27" s="649">
        <v>-38693</v>
      </c>
      <c r="C27" s="649"/>
      <c r="D27" s="649"/>
      <c r="E27" s="649">
        <v>-10310</v>
      </c>
      <c r="F27" s="649">
        <v>-2610</v>
      </c>
      <c r="G27" s="649"/>
      <c r="H27" s="649"/>
      <c r="I27" s="649"/>
      <c r="J27" s="649"/>
      <c r="K27" s="649"/>
      <c r="L27" s="649"/>
      <c r="M27" s="649"/>
      <c r="N27" s="1239"/>
      <c r="O27" s="1239"/>
      <c r="P27" s="649"/>
      <c r="Q27" s="649"/>
      <c r="R27" s="649"/>
      <c r="S27" s="649"/>
      <c r="T27" s="648"/>
      <c r="U27" s="648"/>
      <c r="V27" s="642">
        <f t="shared" si="1"/>
        <v>-51613</v>
      </c>
    </row>
    <row r="28" spans="1:22" ht="25.5">
      <c r="A28" s="1265" t="s">
        <v>186</v>
      </c>
      <c r="B28" s="649"/>
      <c r="C28" s="649"/>
      <c r="D28" s="649"/>
      <c r="E28" s="649">
        <v>-1500</v>
      </c>
      <c r="F28" s="649">
        <v>-300</v>
      </c>
      <c r="G28" s="649"/>
      <c r="H28" s="649"/>
      <c r="I28" s="649"/>
      <c r="J28" s="649"/>
      <c r="K28" s="649"/>
      <c r="L28" s="649"/>
      <c r="M28" s="649"/>
      <c r="N28" s="1239">
        <v>350</v>
      </c>
      <c r="O28" s="1239"/>
      <c r="P28" s="649"/>
      <c r="Q28" s="649"/>
      <c r="R28" s="649"/>
      <c r="S28" s="649"/>
      <c r="T28" s="648"/>
      <c r="U28" s="648"/>
      <c r="V28" s="642">
        <f t="shared" si="1"/>
        <v>-1450</v>
      </c>
    </row>
    <row r="29" spans="1:22" ht="18" customHeight="1">
      <c r="A29" s="1265" t="s">
        <v>458</v>
      </c>
      <c r="B29" s="649">
        <v>43000</v>
      </c>
      <c r="C29" s="649"/>
      <c r="D29" s="649"/>
      <c r="E29" s="649">
        <v>15000</v>
      </c>
      <c r="F29" s="649"/>
      <c r="G29" s="649"/>
      <c r="H29" s="649"/>
      <c r="I29" s="649"/>
      <c r="J29" s="649"/>
      <c r="K29" s="649"/>
      <c r="L29" s="649"/>
      <c r="M29" s="649">
        <v>14000</v>
      </c>
      <c r="N29" s="1239"/>
      <c r="O29" s="1239"/>
      <c r="P29" s="649"/>
      <c r="Q29" s="649"/>
      <c r="R29" s="649"/>
      <c r="S29" s="649"/>
      <c r="T29" s="648"/>
      <c r="U29" s="648"/>
      <c r="V29" s="642">
        <f t="shared" si="1"/>
        <v>72000</v>
      </c>
    </row>
    <row r="30" spans="1:22" ht="18" customHeight="1">
      <c r="A30" s="1265" t="s">
        <v>459</v>
      </c>
      <c r="B30" s="649">
        <v>80000</v>
      </c>
      <c r="C30" s="649"/>
      <c r="D30" s="649"/>
      <c r="E30" s="649">
        <v>3000</v>
      </c>
      <c r="F30" s="649"/>
      <c r="G30" s="649"/>
      <c r="H30" s="649"/>
      <c r="I30" s="649"/>
      <c r="J30" s="649"/>
      <c r="K30" s="649"/>
      <c r="L30" s="649"/>
      <c r="M30" s="649"/>
      <c r="N30" s="1239"/>
      <c r="O30" s="1239"/>
      <c r="P30" s="649"/>
      <c r="Q30" s="649"/>
      <c r="R30" s="649"/>
      <c r="S30" s="649"/>
      <c r="T30" s="648"/>
      <c r="U30" s="648"/>
      <c r="V30" s="642">
        <f t="shared" si="1"/>
        <v>83000</v>
      </c>
    </row>
    <row r="31" spans="1:22" ht="25.5">
      <c r="A31" s="1265" t="s">
        <v>207</v>
      </c>
      <c r="B31" s="649">
        <v>3430</v>
      </c>
      <c r="C31" s="649"/>
      <c r="D31" s="649"/>
      <c r="E31" s="649">
        <v>-13142</v>
      </c>
      <c r="F31" s="649">
        <v>-3124</v>
      </c>
      <c r="G31" s="649"/>
      <c r="H31" s="649"/>
      <c r="I31" s="649"/>
      <c r="J31" s="649"/>
      <c r="K31" s="649"/>
      <c r="L31" s="649"/>
      <c r="M31" s="649"/>
      <c r="N31" s="1239"/>
      <c r="O31" s="1239"/>
      <c r="P31" s="649"/>
      <c r="Q31" s="649"/>
      <c r="R31" s="649"/>
      <c r="S31" s="649"/>
      <c r="T31" s="648"/>
      <c r="U31" s="648"/>
      <c r="V31" s="642">
        <f t="shared" si="1"/>
        <v>-12836</v>
      </c>
    </row>
    <row r="32" spans="1:22" ht="18.75" customHeight="1">
      <c r="A32" s="1265" t="s">
        <v>460</v>
      </c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>
        <v>5000</v>
      </c>
      <c r="N32" s="1239">
        <v>2500</v>
      </c>
      <c r="O32" s="1239"/>
      <c r="P32" s="649"/>
      <c r="Q32" s="649"/>
      <c r="R32" s="649"/>
      <c r="S32" s="649"/>
      <c r="T32" s="648"/>
      <c r="U32" s="648"/>
      <c r="V32" s="642">
        <f t="shared" si="1"/>
        <v>7500</v>
      </c>
    </row>
    <row r="33" spans="1:22" ht="18.75" customHeight="1">
      <c r="A33" s="1265" t="s">
        <v>196</v>
      </c>
      <c r="B33" s="1239">
        <v>53730</v>
      </c>
      <c r="C33" s="1239"/>
      <c r="D33" s="1239"/>
      <c r="E33" s="1239">
        <v>13600</v>
      </c>
      <c r="F33" s="1239">
        <v>1600</v>
      </c>
      <c r="G33" s="1239"/>
      <c r="H33" s="1239"/>
      <c r="I33" s="1239"/>
      <c r="J33" s="1239"/>
      <c r="K33" s="1239"/>
      <c r="L33" s="1239"/>
      <c r="M33" s="1239"/>
      <c r="N33" s="1239"/>
      <c r="O33" s="1239"/>
      <c r="P33" s="649"/>
      <c r="Q33" s="649"/>
      <c r="R33" s="649"/>
      <c r="S33" s="649"/>
      <c r="T33" s="648"/>
      <c r="U33" s="648"/>
      <c r="V33" s="642">
        <f t="shared" si="1"/>
        <v>68930</v>
      </c>
    </row>
    <row r="34" spans="1:22" ht="18.75" customHeight="1">
      <c r="A34" s="1265" t="s">
        <v>479</v>
      </c>
      <c r="B34" s="1239">
        <v>33000</v>
      </c>
      <c r="C34" s="1239"/>
      <c r="D34" s="1239"/>
      <c r="E34" s="1239">
        <v>17000</v>
      </c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649"/>
      <c r="Q34" s="649"/>
      <c r="R34" s="649"/>
      <c r="S34" s="649"/>
      <c r="T34" s="648"/>
      <c r="U34" s="648"/>
      <c r="V34" s="642">
        <f t="shared" si="1"/>
        <v>50000</v>
      </c>
    </row>
    <row r="35" spans="1:22" ht="18.75" customHeight="1">
      <c r="A35" s="1265" t="s">
        <v>480</v>
      </c>
      <c r="B35" s="1239"/>
      <c r="C35" s="1239"/>
      <c r="D35" s="1239"/>
      <c r="E35" s="1239"/>
      <c r="F35" s="1239"/>
      <c r="G35" s="1239"/>
      <c r="H35" s="1239"/>
      <c r="I35" s="1239"/>
      <c r="J35" s="1239"/>
      <c r="K35" s="1239"/>
      <c r="L35" s="1239"/>
      <c r="M35" s="1239"/>
      <c r="N35" s="1239"/>
      <c r="O35" s="1239"/>
      <c r="P35" s="649"/>
      <c r="Q35" s="649"/>
      <c r="R35" s="649"/>
      <c r="S35" s="649"/>
      <c r="T35" s="648">
        <v>-35</v>
      </c>
      <c r="U35" s="648"/>
      <c r="V35" s="642">
        <f t="shared" si="1"/>
        <v>-35</v>
      </c>
    </row>
    <row r="36" spans="1:22" ht="18.75" customHeight="1">
      <c r="A36" s="1265" t="s">
        <v>481</v>
      </c>
      <c r="B36" s="1239"/>
      <c r="C36" s="1239"/>
      <c r="D36" s="1239"/>
      <c r="E36" s="1239">
        <v>2000</v>
      </c>
      <c r="F36" s="1239">
        <v>1000</v>
      </c>
      <c r="G36" s="1239"/>
      <c r="H36" s="1239"/>
      <c r="I36" s="1239"/>
      <c r="J36" s="1239"/>
      <c r="K36" s="1239">
        <v>20000</v>
      </c>
      <c r="L36" s="1239"/>
      <c r="M36" s="1239"/>
      <c r="N36" s="1239">
        <v>-20000</v>
      </c>
      <c r="O36" s="1239"/>
      <c r="P36" s="649"/>
      <c r="Q36" s="649"/>
      <c r="R36" s="649"/>
      <c r="S36" s="649"/>
      <c r="T36" s="648"/>
      <c r="U36" s="648"/>
      <c r="V36" s="642">
        <f t="shared" si="1"/>
        <v>3000</v>
      </c>
    </row>
    <row r="37" spans="1:22" ht="18" customHeight="1">
      <c r="A37" s="1265" t="s">
        <v>438</v>
      </c>
      <c r="B37" s="649">
        <v>45000</v>
      </c>
      <c r="C37" s="649"/>
      <c r="D37" s="649"/>
      <c r="E37" s="649">
        <v>17000</v>
      </c>
      <c r="F37" s="649">
        <v>4000</v>
      </c>
      <c r="G37" s="649"/>
      <c r="H37" s="649"/>
      <c r="I37" s="649"/>
      <c r="J37" s="649"/>
      <c r="K37" s="649"/>
      <c r="L37" s="649"/>
      <c r="M37" s="649"/>
      <c r="N37" s="1239">
        <v>32000</v>
      </c>
      <c r="O37" s="1239"/>
      <c r="P37" s="649"/>
      <c r="Q37" s="649"/>
      <c r="R37" s="649"/>
      <c r="S37" s="649"/>
      <c r="T37" s="648"/>
      <c r="U37" s="648"/>
      <c r="V37" s="642">
        <f t="shared" si="1"/>
        <v>98000</v>
      </c>
    </row>
    <row r="38" spans="1:22" ht="18" customHeight="1">
      <c r="A38" s="1265" t="s">
        <v>482</v>
      </c>
      <c r="B38" s="649">
        <v>99160</v>
      </c>
      <c r="C38" s="649"/>
      <c r="D38" s="649"/>
      <c r="E38" s="649">
        <v>24810</v>
      </c>
      <c r="F38" s="649">
        <v>3300</v>
      </c>
      <c r="G38" s="649"/>
      <c r="H38" s="649"/>
      <c r="I38" s="649"/>
      <c r="J38" s="649"/>
      <c r="K38" s="649"/>
      <c r="L38" s="649"/>
      <c r="M38" s="649"/>
      <c r="N38" s="1239"/>
      <c r="O38" s="1239"/>
      <c r="P38" s="649"/>
      <c r="Q38" s="649"/>
      <c r="R38" s="649"/>
      <c r="S38" s="649"/>
      <c r="T38" s="648"/>
      <c r="U38" s="648"/>
      <c r="V38" s="642">
        <f t="shared" si="1"/>
        <v>127270</v>
      </c>
    </row>
    <row r="39" spans="1:22" ht="18" customHeight="1">
      <c r="A39" s="1265" t="s">
        <v>483</v>
      </c>
      <c r="B39" s="649"/>
      <c r="C39" s="649"/>
      <c r="D39" s="649"/>
      <c r="E39" s="649">
        <v>5600</v>
      </c>
      <c r="F39" s="649">
        <v>1800</v>
      </c>
      <c r="G39" s="649"/>
      <c r="H39" s="649"/>
      <c r="I39" s="649"/>
      <c r="J39" s="649"/>
      <c r="K39" s="649"/>
      <c r="L39" s="649"/>
      <c r="M39" s="649"/>
      <c r="N39" s="1239"/>
      <c r="O39" s="1239"/>
      <c r="P39" s="649"/>
      <c r="Q39" s="649"/>
      <c r="R39" s="649"/>
      <c r="S39" s="649"/>
      <c r="T39" s="648"/>
      <c r="U39" s="648"/>
      <c r="V39" s="642">
        <f t="shared" si="1"/>
        <v>7400</v>
      </c>
    </row>
    <row r="40" spans="1:22" ht="18" customHeight="1">
      <c r="A40" s="1265" t="s">
        <v>484</v>
      </c>
      <c r="B40" s="649"/>
      <c r="C40" s="649"/>
      <c r="D40" s="649"/>
      <c r="E40" s="649"/>
      <c r="F40" s="649"/>
      <c r="G40" s="649">
        <v>-1900</v>
      </c>
      <c r="H40" s="649"/>
      <c r="I40" s="649"/>
      <c r="J40" s="649"/>
      <c r="K40" s="649"/>
      <c r="L40" s="649"/>
      <c r="M40" s="649"/>
      <c r="N40" s="649">
        <v>3249</v>
      </c>
      <c r="O40" s="649"/>
      <c r="P40" s="649"/>
      <c r="Q40" s="649">
        <v>-549</v>
      </c>
      <c r="R40" s="649">
        <v>-800</v>
      </c>
      <c r="S40" s="649"/>
      <c r="T40" s="648"/>
      <c r="U40" s="648"/>
      <c r="V40" s="642">
        <f t="shared" si="1"/>
        <v>0</v>
      </c>
    </row>
    <row r="41" spans="1:22" ht="18" customHeight="1">
      <c r="A41" s="1265" t="s">
        <v>485</v>
      </c>
      <c r="B41" s="649">
        <v>7700</v>
      </c>
      <c r="C41" s="649"/>
      <c r="D41" s="649"/>
      <c r="E41" s="649">
        <v>4000</v>
      </c>
      <c r="F41" s="649">
        <v>500</v>
      </c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8"/>
      <c r="U41" s="648"/>
      <c r="V41" s="642">
        <f t="shared" si="1"/>
        <v>12200</v>
      </c>
    </row>
    <row r="42" spans="1:22" ht="18" customHeight="1">
      <c r="A42" s="1265" t="s">
        <v>486</v>
      </c>
      <c r="B42" s="649">
        <v>82000</v>
      </c>
      <c r="C42" s="649"/>
      <c r="D42" s="649"/>
      <c r="E42" s="649">
        <v>16850</v>
      </c>
      <c r="F42" s="649">
        <v>2050</v>
      </c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8"/>
      <c r="U42" s="648"/>
      <c r="V42" s="642">
        <f t="shared" si="1"/>
        <v>100900</v>
      </c>
    </row>
    <row r="43" spans="1:22" ht="18" customHeight="1">
      <c r="A43" s="1265" t="s">
        <v>277</v>
      </c>
      <c r="B43" s="649">
        <v>-71661</v>
      </c>
      <c r="C43" s="649"/>
      <c r="D43" s="649"/>
      <c r="E43" s="649">
        <v>-19021</v>
      </c>
      <c r="F43" s="649">
        <v>-3420</v>
      </c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8"/>
      <c r="U43" s="648"/>
      <c r="V43" s="642">
        <f t="shared" si="1"/>
        <v>-94102</v>
      </c>
    </row>
    <row r="44" spans="1:22" ht="18" customHeight="1">
      <c r="A44" s="1265" t="s">
        <v>487</v>
      </c>
      <c r="B44" s="510">
        <v>-160000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1"/>
      <c r="U44" s="511"/>
      <c r="V44" s="642">
        <f t="shared" si="1"/>
        <v>-160000</v>
      </c>
    </row>
    <row r="45" spans="1:22" ht="18" customHeight="1">
      <c r="A45" s="1265" t="s">
        <v>488</v>
      </c>
      <c r="B45" s="649">
        <v>177650</v>
      </c>
      <c r="C45" s="649"/>
      <c r="D45" s="649"/>
      <c r="E45" s="649">
        <v>1600</v>
      </c>
      <c r="F45" s="649">
        <v>4830</v>
      </c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8"/>
      <c r="U45" s="648"/>
      <c r="V45" s="642">
        <f t="shared" si="1"/>
        <v>184080</v>
      </c>
    </row>
    <row r="46" spans="1:22" ht="25.5">
      <c r="A46" s="1265" t="s">
        <v>195</v>
      </c>
      <c r="B46" s="649">
        <v>-170000</v>
      </c>
      <c r="C46" s="649"/>
      <c r="D46" s="649"/>
      <c r="E46" s="649">
        <v>-21000</v>
      </c>
      <c r="F46" s="649">
        <v>-2000</v>
      </c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8"/>
      <c r="U46" s="648"/>
      <c r="V46" s="642">
        <f t="shared" si="1"/>
        <v>-193000</v>
      </c>
    </row>
    <row r="47" spans="1:22" ht="25.5">
      <c r="A47" s="1265" t="s">
        <v>253</v>
      </c>
      <c r="B47" s="649">
        <v>-60000</v>
      </c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8"/>
      <c r="U47" s="648"/>
      <c r="V47" s="642">
        <f t="shared" si="1"/>
        <v>-60000</v>
      </c>
    </row>
    <row r="48" spans="1:22" ht="18" customHeight="1">
      <c r="A48" s="1265" t="s">
        <v>194</v>
      </c>
      <c r="B48" s="649">
        <v>-20707</v>
      </c>
      <c r="C48" s="649"/>
      <c r="D48" s="649"/>
      <c r="E48" s="649">
        <v>16700</v>
      </c>
      <c r="F48" s="649">
        <v>4000</v>
      </c>
      <c r="G48" s="649"/>
      <c r="H48" s="649"/>
      <c r="I48" s="649"/>
      <c r="J48" s="649"/>
      <c r="K48" s="649"/>
      <c r="L48" s="649"/>
      <c r="M48" s="649">
        <v>14480</v>
      </c>
      <c r="N48" s="649"/>
      <c r="O48" s="649"/>
      <c r="P48" s="649"/>
      <c r="Q48" s="649"/>
      <c r="R48" s="649"/>
      <c r="S48" s="649"/>
      <c r="T48" s="648"/>
      <c r="U48" s="648"/>
      <c r="V48" s="642">
        <f t="shared" si="1"/>
        <v>14473</v>
      </c>
    </row>
    <row r="49" spans="1:22" ht="18" customHeight="1">
      <c r="A49" s="1265" t="s">
        <v>571</v>
      </c>
      <c r="B49" s="649">
        <v>15200</v>
      </c>
      <c r="C49" s="649"/>
      <c r="D49" s="649"/>
      <c r="E49" s="649">
        <v>1800</v>
      </c>
      <c r="F49" s="649">
        <v>1250</v>
      </c>
      <c r="G49" s="649"/>
      <c r="H49" s="649"/>
      <c r="I49" s="649"/>
      <c r="J49" s="649"/>
      <c r="K49" s="649"/>
      <c r="L49" s="649"/>
      <c r="M49" s="649">
        <v>9050</v>
      </c>
      <c r="N49" s="649"/>
      <c r="O49" s="649"/>
      <c r="P49" s="649"/>
      <c r="Q49" s="649"/>
      <c r="R49" s="649"/>
      <c r="S49" s="649"/>
      <c r="T49" s="648"/>
      <c r="U49" s="648"/>
      <c r="V49" s="642">
        <f t="shared" si="1"/>
        <v>27300</v>
      </c>
    </row>
    <row r="50" spans="1:22" ht="18" customHeight="1">
      <c r="A50" s="1265" t="s">
        <v>572</v>
      </c>
      <c r="B50" s="649">
        <v>-38785</v>
      </c>
      <c r="C50" s="649"/>
      <c r="D50" s="649"/>
      <c r="E50" s="649">
        <v>10000</v>
      </c>
      <c r="F50" s="649"/>
      <c r="G50" s="649"/>
      <c r="H50" s="649"/>
      <c r="I50" s="649"/>
      <c r="J50" s="649"/>
      <c r="K50" s="649"/>
      <c r="L50" s="649"/>
      <c r="M50" s="649">
        <v>5000</v>
      </c>
      <c r="N50" s="649"/>
      <c r="O50" s="649"/>
      <c r="P50" s="649"/>
      <c r="Q50" s="649"/>
      <c r="R50" s="649"/>
      <c r="S50" s="649"/>
      <c r="T50" s="648"/>
      <c r="U50" s="648"/>
      <c r="V50" s="642">
        <f t="shared" si="1"/>
        <v>-23785</v>
      </c>
    </row>
    <row r="51" spans="1:22" ht="17.25" customHeight="1">
      <c r="A51" s="1265" t="s">
        <v>208</v>
      </c>
      <c r="B51" s="649">
        <v>9260</v>
      </c>
      <c r="C51" s="649"/>
      <c r="D51" s="649"/>
      <c r="E51" s="649">
        <v>-10000</v>
      </c>
      <c r="F51" s="649">
        <v>-1200</v>
      </c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8"/>
      <c r="U51" s="648"/>
      <c r="V51" s="642">
        <f t="shared" si="1"/>
        <v>-1940</v>
      </c>
    </row>
    <row r="52" spans="1:22" ht="17.25" customHeight="1">
      <c r="A52" s="1265" t="s">
        <v>573</v>
      </c>
      <c r="B52" s="649">
        <v>-80000</v>
      </c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8"/>
      <c r="U52" s="648"/>
      <c r="V52" s="642">
        <f t="shared" si="1"/>
        <v>-80000</v>
      </c>
    </row>
    <row r="53" spans="1:22" ht="18" customHeight="1">
      <c r="A53" s="1265" t="s">
        <v>574</v>
      </c>
      <c r="B53" s="649">
        <v>119650</v>
      </c>
      <c r="C53" s="649"/>
      <c r="D53" s="649"/>
      <c r="E53" s="649">
        <v>22150</v>
      </c>
      <c r="F53" s="649">
        <v>4700</v>
      </c>
      <c r="G53" s="649"/>
      <c r="H53" s="649"/>
      <c r="I53" s="649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8"/>
      <c r="U53" s="648"/>
      <c r="V53" s="642">
        <f t="shared" si="1"/>
        <v>146500</v>
      </c>
    </row>
    <row r="54" spans="1:22" ht="18" customHeight="1">
      <c r="A54" s="1265" t="s">
        <v>575</v>
      </c>
      <c r="B54" s="510">
        <v>-52000</v>
      </c>
      <c r="C54" s="510"/>
      <c r="D54" s="510"/>
      <c r="E54" s="510">
        <v>-5000</v>
      </c>
      <c r="F54" s="510">
        <v>-6000</v>
      </c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1"/>
      <c r="U54" s="511"/>
      <c r="V54" s="642">
        <f t="shared" si="1"/>
        <v>-63000</v>
      </c>
    </row>
    <row r="55" spans="1:22" ht="18" customHeight="1" thickBot="1">
      <c r="A55" s="1351" t="s">
        <v>254</v>
      </c>
      <c r="B55" s="123"/>
      <c r="C55" s="123"/>
      <c r="D55" s="123"/>
      <c r="E55" s="123">
        <v>-700</v>
      </c>
      <c r="F55" s="123">
        <v>-25</v>
      </c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979"/>
      <c r="U55" s="979"/>
      <c r="V55" s="642">
        <f t="shared" si="1"/>
        <v>-725</v>
      </c>
    </row>
    <row r="56" spans="1:22" ht="42" customHeight="1" thickBot="1">
      <c r="A56" s="515" t="s">
        <v>54</v>
      </c>
      <c r="B56" s="650">
        <f>SUM(B57:B74)</f>
        <v>-2116</v>
      </c>
      <c r="C56" s="650"/>
      <c r="D56" s="650"/>
      <c r="E56" s="650">
        <f>SUM(E57:E74)</f>
        <v>830</v>
      </c>
      <c r="F56" s="650">
        <f>SUM(F57:F74)</f>
        <v>195</v>
      </c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1">
        <f t="shared" si="1"/>
        <v>-1091</v>
      </c>
    </row>
    <row r="57" spans="1:22" ht="18" customHeight="1">
      <c r="A57" s="1265" t="s">
        <v>452</v>
      </c>
      <c r="B57" s="510"/>
      <c r="C57" s="510"/>
      <c r="D57" s="510"/>
      <c r="E57" s="510">
        <v>390</v>
      </c>
      <c r="F57" s="510">
        <v>70</v>
      </c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648"/>
      <c r="U57" s="648"/>
      <c r="V57" s="642">
        <f t="shared" si="1"/>
        <v>460</v>
      </c>
    </row>
    <row r="58" spans="1:22" ht="18" customHeight="1">
      <c r="A58" s="1265" t="s">
        <v>453</v>
      </c>
      <c r="B58" s="849">
        <v>-52</v>
      </c>
      <c r="C58" s="849"/>
      <c r="D58" s="849"/>
      <c r="E58" s="849">
        <v>30</v>
      </c>
      <c r="F58" s="849">
        <v>20</v>
      </c>
      <c r="G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979"/>
      <c r="U58" s="979"/>
      <c r="V58" s="642">
        <f t="shared" si="1"/>
        <v>-2</v>
      </c>
    </row>
    <row r="59" spans="1:22" ht="18" customHeight="1">
      <c r="A59" s="1265" t="s">
        <v>454</v>
      </c>
      <c r="B59" s="849">
        <v>-1000</v>
      </c>
      <c r="C59" s="849"/>
      <c r="D59" s="849"/>
      <c r="E59" s="849">
        <v>810</v>
      </c>
      <c r="F59" s="849"/>
      <c r="G59" s="849"/>
      <c r="H59" s="849"/>
      <c r="I59" s="849"/>
      <c r="J59" s="849"/>
      <c r="K59" s="849"/>
      <c r="L59" s="849"/>
      <c r="M59" s="849"/>
      <c r="N59" s="849"/>
      <c r="O59" s="849"/>
      <c r="P59" s="849"/>
      <c r="Q59" s="849"/>
      <c r="R59" s="849"/>
      <c r="S59" s="849"/>
      <c r="T59" s="511"/>
      <c r="U59" s="510"/>
      <c r="V59" s="642">
        <f t="shared" si="1"/>
        <v>-190</v>
      </c>
    </row>
    <row r="60" spans="1:22" ht="18" customHeight="1">
      <c r="A60" s="1265" t="s">
        <v>455</v>
      </c>
      <c r="B60" s="849">
        <v>1450</v>
      </c>
      <c r="C60" s="849"/>
      <c r="D60" s="849"/>
      <c r="E60" s="849">
        <v>430</v>
      </c>
      <c r="F60" s="849">
        <v>40</v>
      </c>
      <c r="G60" s="849"/>
      <c r="H60" s="849"/>
      <c r="I60" s="849"/>
      <c r="J60" s="849"/>
      <c r="K60" s="849"/>
      <c r="L60" s="849"/>
      <c r="M60" s="849"/>
      <c r="N60" s="849"/>
      <c r="O60" s="849"/>
      <c r="P60" s="849"/>
      <c r="Q60" s="849"/>
      <c r="R60" s="849"/>
      <c r="S60" s="849"/>
      <c r="T60" s="511"/>
      <c r="U60" s="510"/>
      <c r="V60" s="642">
        <f t="shared" si="1"/>
        <v>1920</v>
      </c>
    </row>
    <row r="61" spans="1:22" ht="18" customHeight="1">
      <c r="A61" s="1265" t="s">
        <v>281</v>
      </c>
      <c r="B61" s="849"/>
      <c r="C61" s="849"/>
      <c r="D61" s="849"/>
      <c r="E61" s="849">
        <v>60</v>
      </c>
      <c r="F61" s="849"/>
      <c r="G61" s="849"/>
      <c r="H61" s="849"/>
      <c r="I61" s="849"/>
      <c r="J61" s="849"/>
      <c r="K61" s="849"/>
      <c r="L61" s="849"/>
      <c r="M61" s="849"/>
      <c r="N61" s="849"/>
      <c r="O61" s="849"/>
      <c r="P61" s="849"/>
      <c r="Q61" s="849"/>
      <c r="R61" s="849"/>
      <c r="S61" s="849"/>
      <c r="T61" s="979"/>
      <c r="U61" s="979"/>
      <c r="V61" s="642">
        <f t="shared" si="1"/>
        <v>60</v>
      </c>
    </row>
    <row r="62" spans="1:22" ht="25.5">
      <c r="A62" s="1362" t="s">
        <v>206</v>
      </c>
      <c r="B62" s="849">
        <v>1380</v>
      </c>
      <c r="C62" s="849"/>
      <c r="D62" s="849"/>
      <c r="E62" s="849">
        <v>300</v>
      </c>
      <c r="F62" s="849">
        <v>50</v>
      </c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1240"/>
      <c r="U62" s="1240"/>
      <c r="V62" s="642">
        <f t="shared" si="1"/>
        <v>1730</v>
      </c>
    </row>
    <row r="63" spans="1:22" ht="18" customHeight="1">
      <c r="A63" s="1265" t="s">
        <v>457</v>
      </c>
      <c r="B63" s="510">
        <v>1200</v>
      </c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1"/>
      <c r="U63" s="511"/>
      <c r="V63" s="642">
        <f t="shared" si="1"/>
        <v>1200</v>
      </c>
    </row>
    <row r="64" spans="1:22" ht="25.5">
      <c r="A64" s="1265" t="s">
        <v>207</v>
      </c>
      <c r="B64" s="849"/>
      <c r="C64" s="849"/>
      <c r="D64" s="849"/>
      <c r="E64" s="849">
        <v>-300</v>
      </c>
      <c r="F64" s="849"/>
      <c r="G64" s="849"/>
      <c r="H64" s="849"/>
      <c r="I64" s="849"/>
      <c r="J64" s="849"/>
      <c r="K64" s="849"/>
      <c r="L64" s="849"/>
      <c r="M64" s="849"/>
      <c r="N64" s="849"/>
      <c r="O64" s="849"/>
      <c r="P64" s="849"/>
      <c r="Q64" s="849"/>
      <c r="R64" s="849"/>
      <c r="S64" s="849"/>
      <c r="T64" s="511"/>
      <c r="U64" s="511"/>
      <c r="V64" s="642">
        <f t="shared" si="1"/>
        <v>-300</v>
      </c>
    </row>
    <row r="65" spans="1:22" ht="18.75" customHeight="1">
      <c r="A65" s="1265" t="s">
        <v>461</v>
      </c>
      <c r="B65" s="849">
        <v>-1100</v>
      </c>
      <c r="C65" s="849"/>
      <c r="D65" s="849"/>
      <c r="E65" s="849">
        <v>-510</v>
      </c>
      <c r="F65" s="849">
        <v>-50</v>
      </c>
      <c r="G65" s="849"/>
      <c r="H65" s="849"/>
      <c r="I65" s="849"/>
      <c r="J65" s="849"/>
      <c r="K65" s="849"/>
      <c r="L65" s="849"/>
      <c r="M65" s="849"/>
      <c r="N65" s="849"/>
      <c r="O65" s="849"/>
      <c r="P65" s="849"/>
      <c r="Q65" s="849"/>
      <c r="R65" s="849"/>
      <c r="S65" s="849"/>
      <c r="T65" s="511"/>
      <c r="U65" s="511"/>
      <c r="V65" s="642">
        <f t="shared" si="1"/>
        <v>-1660</v>
      </c>
    </row>
    <row r="66" spans="1:22" ht="18.75" customHeight="1">
      <c r="A66" s="1265" t="s">
        <v>480</v>
      </c>
      <c r="B66" s="849">
        <v>-8624</v>
      </c>
      <c r="C66" s="849"/>
      <c r="D66" s="849"/>
      <c r="E66" s="849">
        <v>-1550</v>
      </c>
      <c r="F66" s="849">
        <v>-165</v>
      </c>
      <c r="G66" s="849"/>
      <c r="H66" s="849"/>
      <c r="I66" s="849"/>
      <c r="J66" s="849"/>
      <c r="K66" s="849"/>
      <c r="L66" s="849"/>
      <c r="M66" s="849"/>
      <c r="N66" s="849"/>
      <c r="O66" s="849"/>
      <c r="P66" s="849"/>
      <c r="Q66" s="849"/>
      <c r="R66" s="849"/>
      <c r="S66" s="849"/>
      <c r="T66" s="511"/>
      <c r="U66" s="511"/>
      <c r="V66" s="642">
        <f t="shared" si="1"/>
        <v>-10339</v>
      </c>
    </row>
    <row r="67" spans="1:22" ht="18" customHeight="1">
      <c r="A67" s="1265" t="s">
        <v>482</v>
      </c>
      <c r="B67" s="849">
        <v>1030</v>
      </c>
      <c r="C67" s="849"/>
      <c r="D67" s="849"/>
      <c r="E67" s="849">
        <v>130</v>
      </c>
      <c r="F67" s="849">
        <v>50</v>
      </c>
      <c r="G67" s="849"/>
      <c r="H67" s="849"/>
      <c r="I67" s="849"/>
      <c r="J67" s="849"/>
      <c r="K67" s="849"/>
      <c r="L67" s="849"/>
      <c r="M67" s="849"/>
      <c r="N67" s="849"/>
      <c r="O67" s="849"/>
      <c r="P67" s="849"/>
      <c r="Q67" s="849"/>
      <c r="R67" s="849"/>
      <c r="S67" s="849"/>
      <c r="T67" s="511"/>
      <c r="U67" s="510"/>
      <c r="V67" s="642">
        <f t="shared" si="1"/>
        <v>1210</v>
      </c>
    </row>
    <row r="68" spans="1:22" ht="18" customHeight="1">
      <c r="A68" s="1265" t="s">
        <v>483</v>
      </c>
      <c r="B68" s="849">
        <v>610</v>
      </c>
      <c r="C68" s="849"/>
      <c r="D68" s="849"/>
      <c r="E68" s="849">
        <v>300</v>
      </c>
      <c r="F68" s="849">
        <v>90</v>
      </c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511"/>
      <c r="U68" s="510"/>
      <c r="V68" s="642">
        <f t="shared" si="1"/>
        <v>1000</v>
      </c>
    </row>
    <row r="69" spans="1:22" ht="18" customHeight="1">
      <c r="A69" s="1265" t="s">
        <v>484</v>
      </c>
      <c r="B69" s="849"/>
      <c r="C69" s="849"/>
      <c r="D69" s="849"/>
      <c r="E69" s="849"/>
      <c r="F69" s="849">
        <v>20</v>
      </c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511"/>
      <c r="U69" s="510"/>
      <c r="V69" s="642">
        <f t="shared" si="1"/>
        <v>20</v>
      </c>
    </row>
    <row r="70" spans="1:22" ht="18" customHeight="1">
      <c r="A70" s="1265" t="s">
        <v>277</v>
      </c>
      <c r="B70" s="849"/>
      <c r="C70" s="849"/>
      <c r="D70" s="849"/>
      <c r="E70" s="849">
        <v>160</v>
      </c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511"/>
      <c r="U70" s="510"/>
      <c r="V70" s="642">
        <f t="shared" si="1"/>
        <v>160</v>
      </c>
    </row>
    <row r="71" spans="1:22" ht="18" customHeight="1">
      <c r="A71" s="1265" t="s">
        <v>488</v>
      </c>
      <c r="B71" s="510">
        <v>1790</v>
      </c>
      <c r="C71" s="510"/>
      <c r="D71" s="510"/>
      <c r="E71" s="510">
        <v>200</v>
      </c>
      <c r="F71" s="510">
        <v>50</v>
      </c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1"/>
      <c r="U71" s="511"/>
      <c r="V71" s="642">
        <f t="shared" si="1"/>
        <v>2040</v>
      </c>
    </row>
    <row r="72" spans="1:22" ht="25.5">
      <c r="A72" s="1265" t="s">
        <v>195</v>
      </c>
      <c r="B72" s="510"/>
      <c r="C72" s="510"/>
      <c r="D72" s="510"/>
      <c r="E72" s="510">
        <v>30</v>
      </c>
      <c r="F72" s="510">
        <v>20</v>
      </c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1"/>
      <c r="U72" s="511"/>
      <c r="V72" s="642">
        <f t="shared" si="1"/>
        <v>50</v>
      </c>
    </row>
    <row r="73" spans="1:22" ht="18" customHeight="1">
      <c r="A73" s="1265" t="s">
        <v>573</v>
      </c>
      <c r="B73" s="849"/>
      <c r="C73" s="849"/>
      <c r="D73" s="849"/>
      <c r="E73" s="849">
        <v>350</v>
      </c>
      <c r="F73" s="849"/>
      <c r="G73" s="849"/>
      <c r="H73" s="849"/>
      <c r="I73" s="849"/>
      <c r="J73" s="849"/>
      <c r="K73" s="849"/>
      <c r="L73" s="849"/>
      <c r="M73" s="849"/>
      <c r="N73" s="849"/>
      <c r="O73" s="849"/>
      <c r="P73" s="849"/>
      <c r="Q73" s="849"/>
      <c r="R73" s="849"/>
      <c r="S73" s="849"/>
      <c r="T73" s="511"/>
      <c r="U73" s="510"/>
      <c r="V73" s="642">
        <f t="shared" si="1"/>
        <v>350</v>
      </c>
    </row>
    <row r="74" spans="1:22" ht="18" customHeight="1" thickBot="1">
      <c r="A74" s="1362" t="s">
        <v>209</v>
      </c>
      <c r="B74" s="849">
        <v>1200</v>
      </c>
      <c r="C74" s="849"/>
      <c r="D74" s="849"/>
      <c r="E74" s="849"/>
      <c r="F74" s="849"/>
      <c r="G74" s="849"/>
      <c r="H74" s="849"/>
      <c r="I74" s="849"/>
      <c r="J74" s="849"/>
      <c r="K74" s="849"/>
      <c r="L74" s="849"/>
      <c r="M74" s="849"/>
      <c r="N74" s="849"/>
      <c r="O74" s="849"/>
      <c r="P74" s="849"/>
      <c r="Q74" s="849"/>
      <c r="R74" s="849"/>
      <c r="S74" s="849"/>
      <c r="T74" s="1240"/>
      <c r="U74" s="849"/>
      <c r="V74" s="642">
        <f t="shared" si="1"/>
        <v>1200</v>
      </c>
    </row>
    <row r="75" spans="1:22" ht="51.75" thickBot="1">
      <c r="A75" s="515" t="s">
        <v>131</v>
      </c>
      <c r="B75" s="650">
        <f>SUM(B76:B110)</f>
        <v>153614</v>
      </c>
      <c r="C75" s="650"/>
      <c r="D75" s="650"/>
      <c r="E75" s="650">
        <f>SUM(E76:E110)</f>
        <v>26837</v>
      </c>
      <c r="F75" s="650">
        <f>SUM(F76:F110)</f>
        <v>3761</v>
      </c>
      <c r="G75" s="650"/>
      <c r="H75" s="650"/>
      <c r="I75" s="650"/>
      <c r="J75" s="650"/>
      <c r="K75" s="650"/>
      <c r="L75" s="650"/>
      <c r="M75" s="650"/>
      <c r="N75" s="650"/>
      <c r="O75" s="650"/>
      <c r="P75" s="650"/>
      <c r="Q75" s="650"/>
      <c r="R75" s="650"/>
      <c r="S75" s="650"/>
      <c r="T75" s="650"/>
      <c r="U75" s="650"/>
      <c r="V75" s="651">
        <f t="shared" si="1"/>
        <v>184212</v>
      </c>
    </row>
    <row r="76" spans="1:22" ht="18" customHeight="1">
      <c r="A76" s="1265" t="s">
        <v>452</v>
      </c>
      <c r="B76" s="510">
        <v>6096</v>
      </c>
      <c r="C76" s="510"/>
      <c r="D76" s="510"/>
      <c r="E76" s="510">
        <v>1065</v>
      </c>
      <c r="F76" s="510">
        <v>149</v>
      </c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648"/>
      <c r="U76" s="648"/>
      <c r="V76" s="642">
        <f t="shared" si="1"/>
        <v>7310</v>
      </c>
    </row>
    <row r="77" spans="1:22" ht="18" customHeight="1">
      <c r="A77" s="1265" t="s">
        <v>453</v>
      </c>
      <c r="B77" s="849">
        <v>3658</v>
      </c>
      <c r="C77" s="849"/>
      <c r="D77" s="849"/>
      <c r="E77" s="849">
        <v>639</v>
      </c>
      <c r="F77" s="849">
        <v>90</v>
      </c>
      <c r="G77" s="849"/>
      <c r="H77" s="1242"/>
      <c r="I77" s="849"/>
      <c r="J77" s="849"/>
      <c r="K77" s="849"/>
      <c r="L77" s="849"/>
      <c r="M77" s="849"/>
      <c r="N77" s="849"/>
      <c r="O77" s="849"/>
      <c r="P77" s="849"/>
      <c r="Q77" s="849"/>
      <c r="R77" s="849"/>
      <c r="S77" s="849"/>
      <c r="T77" s="979"/>
      <c r="U77" s="979"/>
      <c r="V77" s="642">
        <f aca="true" t="shared" si="5" ref="V77:V140">SUM(B77:U77)</f>
        <v>4387</v>
      </c>
    </row>
    <row r="78" spans="1:22" ht="18" customHeight="1">
      <c r="A78" s="1265" t="s">
        <v>454</v>
      </c>
      <c r="B78" s="510">
        <v>4877</v>
      </c>
      <c r="C78" s="510"/>
      <c r="D78" s="510"/>
      <c r="E78" s="510">
        <v>852</v>
      </c>
      <c r="F78" s="510">
        <v>119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1"/>
      <c r="U78" s="510"/>
      <c r="V78" s="642">
        <f t="shared" si="5"/>
        <v>5848</v>
      </c>
    </row>
    <row r="79" spans="1:22" ht="18" customHeight="1">
      <c r="A79" s="1265" t="s">
        <v>455</v>
      </c>
      <c r="B79" s="849">
        <v>6096</v>
      </c>
      <c r="C79" s="849"/>
      <c r="D79" s="849"/>
      <c r="E79" s="849">
        <v>1065</v>
      </c>
      <c r="F79" s="849">
        <v>149</v>
      </c>
      <c r="G79" s="849"/>
      <c r="H79" s="510"/>
      <c r="I79" s="849"/>
      <c r="J79" s="849"/>
      <c r="K79" s="849"/>
      <c r="L79" s="849"/>
      <c r="M79" s="849"/>
      <c r="N79" s="849"/>
      <c r="O79" s="849"/>
      <c r="P79" s="849"/>
      <c r="Q79" s="849"/>
      <c r="R79" s="849"/>
      <c r="S79" s="849"/>
      <c r="T79" s="511"/>
      <c r="U79" s="510"/>
      <c r="V79" s="642">
        <f t="shared" si="5"/>
        <v>7310</v>
      </c>
    </row>
    <row r="80" spans="1:22" ht="18" customHeight="1">
      <c r="A80" s="1265" t="s">
        <v>281</v>
      </c>
      <c r="B80" s="849">
        <v>3657</v>
      </c>
      <c r="C80" s="849"/>
      <c r="D80" s="849"/>
      <c r="E80" s="849">
        <v>639</v>
      </c>
      <c r="F80" s="849">
        <v>90</v>
      </c>
      <c r="G80" s="849"/>
      <c r="H80" s="510"/>
      <c r="I80" s="849"/>
      <c r="J80" s="849"/>
      <c r="K80" s="849"/>
      <c r="L80" s="849"/>
      <c r="M80" s="849"/>
      <c r="N80" s="849"/>
      <c r="O80" s="849"/>
      <c r="P80" s="849"/>
      <c r="Q80" s="849"/>
      <c r="R80" s="849"/>
      <c r="S80" s="849"/>
      <c r="T80" s="979"/>
      <c r="U80" s="979"/>
      <c r="V80" s="642">
        <f t="shared" si="5"/>
        <v>4386</v>
      </c>
    </row>
    <row r="81" spans="1:22" ht="18" customHeight="1">
      <c r="A81" s="1265" t="s">
        <v>456</v>
      </c>
      <c r="B81" s="849">
        <v>3657</v>
      </c>
      <c r="C81" s="849"/>
      <c r="D81" s="849"/>
      <c r="E81" s="849">
        <v>639</v>
      </c>
      <c r="F81" s="849">
        <v>90</v>
      </c>
      <c r="G81" s="849"/>
      <c r="H81" s="510"/>
      <c r="I81" s="849"/>
      <c r="J81" s="849"/>
      <c r="K81" s="849"/>
      <c r="L81" s="849"/>
      <c r="M81" s="849"/>
      <c r="N81" s="849"/>
      <c r="O81" s="849"/>
      <c r="P81" s="849"/>
      <c r="Q81" s="849"/>
      <c r="R81" s="849"/>
      <c r="S81" s="849"/>
      <c r="T81" s="511"/>
      <c r="U81" s="510"/>
      <c r="V81" s="642">
        <f t="shared" si="5"/>
        <v>4386</v>
      </c>
    </row>
    <row r="82" spans="1:22" ht="18" customHeight="1">
      <c r="A82" s="1265" t="s">
        <v>457</v>
      </c>
      <c r="B82" s="1358">
        <v>3657</v>
      </c>
      <c r="C82" s="1358"/>
      <c r="D82" s="1358"/>
      <c r="E82" s="1358">
        <v>639</v>
      </c>
      <c r="F82" s="1358">
        <v>90</v>
      </c>
      <c r="G82" s="1358"/>
      <c r="H82" s="1242"/>
      <c r="I82" s="1358"/>
      <c r="J82" s="1358"/>
      <c r="K82" s="1358"/>
      <c r="L82" s="1358"/>
      <c r="M82" s="1358"/>
      <c r="N82" s="849"/>
      <c r="O82" s="849"/>
      <c r="P82" s="849"/>
      <c r="Q82" s="849"/>
      <c r="R82" s="849"/>
      <c r="S82" s="849"/>
      <c r="T82" s="511"/>
      <c r="U82" s="510"/>
      <c r="V82" s="642">
        <f t="shared" si="5"/>
        <v>4386</v>
      </c>
    </row>
    <row r="83" spans="1:22" ht="18" customHeight="1">
      <c r="A83" s="1265" t="s">
        <v>458</v>
      </c>
      <c r="B83" s="1358">
        <v>2438</v>
      </c>
      <c r="C83" s="1358"/>
      <c r="D83" s="1358"/>
      <c r="E83" s="1358">
        <v>426</v>
      </c>
      <c r="F83" s="1358">
        <v>60</v>
      </c>
      <c r="G83" s="1358"/>
      <c r="H83" s="1242"/>
      <c r="I83" s="1358"/>
      <c r="J83" s="1358"/>
      <c r="K83" s="1358"/>
      <c r="L83" s="1358"/>
      <c r="M83" s="1358"/>
      <c r="N83" s="849"/>
      <c r="O83" s="849"/>
      <c r="P83" s="849"/>
      <c r="Q83" s="849"/>
      <c r="R83" s="849"/>
      <c r="S83" s="849"/>
      <c r="T83" s="979"/>
      <c r="U83" s="979"/>
      <c r="V83" s="642">
        <f t="shared" si="5"/>
        <v>2924</v>
      </c>
    </row>
    <row r="84" spans="1:22" ht="18" customHeight="1">
      <c r="A84" s="1265" t="s">
        <v>459</v>
      </c>
      <c r="B84" s="1358">
        <v>4877</v>
      </c>
      <c r="C84" s="1358"/>
      <c r="D84" s="1358"/>
      <c r="E84" s="1358">
        <v>852</v>
      </c>
      <c r="F84" s="1358">
        <v>119</v>
      </c>
      <c r="G84" s="1358"/>
      <c r="H84" s="1242"/>
      <c r="I84" s="1358"/>
      <c r="J84" s="1358"/>
      <c r="K84" s="1358"/>
      <c r="L84" s="1358"/>
      <c r="M84" s="1358"/>
      <c r="N84" s="849"/>
      <c r="O84" s="849"/>
      <c r="P84" s="849"/>
      <c r="Q84" s="849"/>
      <c r="R84" s="849"/>
      <c r="S84" s="849"/>
      <c r="T84" s="511"/>
      <c r="U84" s="510"/>
      <c r="V84" s="642">
        <f t="shared" si="5"/>
        <v>5848</v>
      </c>
    </row>
    <row r="85" spans="1:22" ht="18" customHeight="1">
      <c r="A85" s="1265" t="s">
        <v>460</v>
      </c>
      <c r="B85" s="1358">
        <v>4877</v>
      </c>
      <c r="C85" s="1358"/>
      <c r="D85" s="1358"/>
      <c r="E85" s="1358">
        <v>852</v>
      </c>
      <c r="F85" s="1358">
        <v>119</v>
      </c>
      <c r="G85" s="1358"/>
      <c r="H85" s="1242"/>
      <c r="I85" s="1358"/>
      <c r="J85" s="1358"/>
      <c r="K85" s="1358"/>
      <c r="L85" s="1358"/>
      <c r="M85" s="1358"/>
      <c r="N85" s="849"/>
      <c r="O85" s="849"/>
      <c r="P85" s="849"/>
      <c r="Q85" s="849"/>
      <c r="R85" s="849"/>
      <c r="S85" s="849"/>
      <c r="T85" s="511"/>
      <c r="U85" s="510"/>
      <c r="V85" s="642">
        <f t="shared" si="5"/>
        <v>5848</v>
      </c>
    </row>
    <row r="86" spans="1:22" ht="18" customHeight="1">
      <c r="A86" s="1265" t="s">
        <v>461</v>
      </c>
      <c r="B86" s="1358">
        <v>4877</v>
      </c>
      <c r="C86" s="1358"/>
      <c r="D86" s="1358"/>
      <c r="E86" s="1358">
        <v>852</v>
      </c>
      <c r="F86" s="1358">
        <v>119</v>
      </c>
      <c r="G86" s="1358"/>
      <c r="H86" s="1242"/>
      <c r="I86" s="1358"/>
      <c r="J86" s="1358"/>
      <c r="K86" s="1358"/>
      <c r="L86" s="1358"/>
      <c r="M86" s="1358"/>
      <c r="N86" s="849"/>
      <c r="O86" s="849"/>
      <c r="P86" s="849"/>
      <c r="Q86" s="849"/>
      <c r="R86" s="849"/>
      <c r="S86" s="849"/>
      <c r="T86" s="979"/>
      <c r="U86" s="979"/>
      <c r="V86" s="642">
        <f t="shared" si="5"/>
        <v>5848</v>
      </c>
    </row>
    <row r="87" spans="1:22" ht="18" customHeight="1">
      <c r="A87" s="1265" t="s">
        <v>196</v>
      </c>
      <c r="B87" s="1358">
        <v>2438</v>
      </c>
      <c r="C87" s="1358"/>
      <c r="D87" s="1358"/>
      <c r="E87" s="1358">
        <v>426</v>
      </c>
      <c r="F87" s="1358">
        <v>60</v>
      </c>
      <c r="G87" s="1358"/>
      <c r="H87" s="1242"/>
      <c r="I87" s="1358"/>
      <c r="J87" s="1358"/>
      <c r="K87" s="1358"/>
      <c r="L87" s="1358"/>
      <c r="M87" s="1358"/>
      <c r="N87" s="849"/>
      <c r="O87" s="849"/>
      <c r="P87" s="849"/>
      <c r="Q87" s="849"/>
      <c r="R87" s="849"/>
      <c r="S87" s="849"/>
      <c r="T87" s="511"/>
      <c r="U87" s="510"/>
      <c r="V87" s="642">
        <f t="shared" si="5"/>
        <v>2924</v>
      </c>
    </row>
    <row r="88" spans="1:22" ht="18" customHeight="1">
      <c r="A88" s="1265" t="s">
        <v>479</v>
      </c>
      <c r="B88" s="1358">
        <v>4877</v>
      </c>
      <c r="C88" s="1358"/>
      <c r="D88" s="1358"/>
      <c r="E88" s="1358">
        <v>851</v>
      </c>
      <c r="F88" s="1358">
        <v>119</v>
      </c>
      <c r="G88" s="1358"/>
      <c r="H88" s="1242"/>
      <c r="I88" s="1358"/>
      <c r="J88" s="1358"/>
      <c r="K88" s="1358"/>
      <c r="L88" s="1358"/>
      <c r="M88" s="1358"/>
      <c r="N88" s="849"/>
      <c r="O88" s="849"/>
      <c r="P88" s="849"/>
      <c r="Q88" s="849"/>
      <c r="R88" s="849"/>
      <c r="S88" s="849"/>
      <c r="T88" s="511"/>
      <c r="U88" s="510"/>
      <c r="V88" s="642">
        <f t="shared" si="5"/>
        <v>5847</v>
      </c>
    </row>
    <row r="89" spans="1:22" ht="18" customHeight="1">
      <c r="A89" s="1265" t="s">
        <v>480</v>
      </c>
      <c r="B89" s="1358">
        <v>6096</v>
      </c>
      <c r="C89" s="1358"/>
      <c r="D89" s="1358"/>
      <c r="E89" s="1358">
        <v>1065</v>
      </c>
      <c r="F89" s="1358">
        <v>149</v>
      </c>
      <c r="G89" s="1358"/>
      <c r="H89" s="1242"/>
      <c r="I89" s="1358"/>
      <c r="J89" s="1358"/>
      <c r="K89" s="1358"/>
      <c r="L89" s="1358"/>
      <c r="M89" s="1358"/>
      <c r="N89" s="849"/>
      <c r="O89" s="849"/>
      <c r="P89" s="849"/>
      <c r="Q89" s="849"/>
      <c r="R89" s="849"/>
      <c r="S89" s="849"/>
      <c r="T89" s="979"/>
      <c r="U89" s="979"/>
      <c r="V89" s="642">
        <f t="shared" si="5"/>
        <v>7310</v>
      </c>
    </row>
    <row r="90" spans="1:22" ht="18" customHeight="1">
      <c r="A90" s="1265" t="s">
        <v>481</v>
      </c>
      <c r="B90" s="1358">
        <v>4877</v>
      </c>
      <c r="C90" s="1358"/>
      <c r="D90" s="1358"/>
      <c r="E90" s="1358">
        <v>851</v>
      </c>
      <c r="F90" s="1358">
        <v>119</v>
      </c>
      <c r="G90" s="1358"/>
      <c r="H90" s="1242"/>
      <c r="I90" s="1358"/>
      <c r="J90" s="1358"/>
      <c r="K90" s="1358"/>
      <c r="L90" s="1358"/>
      <c r="M90" s="1358"/>
      <c r="N90" s="849"/>
      <c r="O90" s="849"/>
      <c r="P90" s="849"/>
      <c r="Q90" s="849"/>
      <c r="R90" s="849"/>
      <c r="S90" s="849"/>
      <c r="T90" s="511"/>
      <c r="U90" s="510"/>
      <c r="V90" s="642">
        <f t="shared" si="5"/>
        <v>5847</v>
      </c>
    </row>
    <row r="91" spans="1:22" ht="18" customHeight="1">
      <c r="A91" s="1265" t="s">
        <v>438</v>
      </c>
      <c r="B91" s="1358">
        <v>6096</v>
      </c>
      <c r="C91" s="1358"/>
      <c r="D91" s="1358"/>
      <c r="E91" s="1358">
        <v>1065</v>
      </c>
      <c r="F91" s="1358">
        <v>149</v>
      </c>
      <c r="G91" s="1358"/>
      <c r="H91" s="1242"/>
      <c r="I91" s="1358"/>
      <c r="J91" s="1358"/>
      <c r="K91" s="1358"/>
      <c r="L91" s="1358"/>
      <c r="M91" s="1358"/>
      <c r="N91" s="849"/>
      <c r="O91" s="849"/>
      <c r="P91" s="849"/>
      <c r="Q91" s="849"/>
      <c r="R91" s="849"/>
      <c r="S91" s="849"/>
      <c r="T91" s="511"/>
      <c r="U91" s="510"/>
      <c r="V91" s="642">
        <f t="shared" si="5"/>
        <v>7310</v>
      </c>
    </row>
    <row r="92" spans="1:22" ht="18" customHeight="1">
      <c r="A92" s="1265" t="s">
        <v>482</v>
      </c>
      <c r="B92" s="1358">
        <v>3657</v>
      </c>
      <c r="C92" s="1358"/>
      <c r="D92" s="1358"/>
      <c r="E92" s="1358">
        <v>639</v>
      </c>
      <c r="F92" s="1358">
        <v>90</v>
      </c>
      <c r="G92" s="1358"/>
      <c r="H92" s="1242"/>
      <c r="I92" s="1358"/>
      <c r="J92" s="1358"/>
      <c r="K92" s="1358"/>
      <c r="L92" s="1358"/>
      <c r="M92" s="1358"/>
      <c r="N92" s="849"/>
      <c r="O92" s="849"/>
      <c r="P92" s="849"/>
      <c r="Q92" s="849"/>
      <c r="R92" s="849"/>
      <c r="S92" s="849"/>
      <c r="T92" s="979"/>
      <c r="U92" s="979"/>
      <c r="V92" s="642">
        <f t="shared" si="5"/>
        <v>4386</v>
      </c>
    </row>
    <row r="93" spans="1:22" ht="18" customHeight="1">
      <c r="A93" s="1265" t="s">
        <v>483</v>
      </c>
      <c r="B93" s="1358">
        <v>7315</v>
      </c>
      <c r="C93" s="1358"/>
      <c r="D93" s="1358"/>
      <c r="E93" s="1358">
        <v>1278</v>
      </c>
      <c r="F93" s="1358">
        <v>179</v>
      </c>
      <c r="G93" s="1358"/>
      <c r="H93" s="1242"/>
      <c r="I93" s="1358"/>
      <c r="J93" s="1358"/>
      <c r="K93" s="1358"/>
      <c r="L93" s="1358"/>
      <c r="M93" s="1358"/>
      <c r="N93" s="849"/>
      <c r="O93" s="849"/>
      <c r="P93" s="849"/>
      <c r="Q93" s="849"/>
      <c r="R93" s="849"/>
      <c r="S93" s="849"/>
      <c r="T93" s="511"/>
      <c r="U93" s="510"/>
      <c r="V93" s="642">
        <f t="shared" si="5"/>
        <v>8772</v>
      </c>
    </row>
    <row r="94" spans="1:22" ht="18" customHeight="1">
      <c r="A94" s="1265" t="s">
        <v>484</v>
      </c>
      <c r="B94" s="1358">
        <v>6096</v>
      </c>
      <c r="C94" s="1358"/>
      <c r="D94" s="1358"/>
      <c r="E94" s="1358">
        <v>1065</v>
      </c>
      <c r="F94" s="1358">
        <v>149</v>
      </c>
      <c r="G94" s="1358"/>
      <c r="H94" s="1242"/>
      <c r="I94" s="1358"/>
      <c r="J94" s="1358"/>
      <c r="K94" s="1358"/>
      <c r="L94" s="1358"/>
      <c r="M94" s="1358"/>
      <c r="N94" s="849"/>
      <c r="O94" s="849"/>
      <c r="P94" s="849"/>
      <c r="Q94" s="849"/>
      <c r="R94" s="849"/>
      <c r="S94" s="849"/>
      <c r="T94" s="511"/>
      <c r="U94" s="510"/>
      <c r="V94" s="642">
        <f t="shared" si="5"/>
        <v>7310</v>
      </c>
    </row>
    <row r="95" spans="1:22" ht="18" customHeight="1">
      <c r="A95" s="1265" t="s">
        <v>485</v>
      </c>
      <c r="B95" s="1358">
        <v>4877</v>
      </c>
      <c r="C95" s="1358"/>
      <c r="D95" s="1358"/>
      <c r="E95" s="1358">
        <v>852</v>
      </c>
      <c r="F95" s="1358">
        <v>119</v>
      </c>
      <c r="G95" s="1358"/>
      <c r="H95" s="1242"/>
      <c r="I95" s="1358"/>
      <c r="J95" s="1358"/>
      <c r="K95" s="1358"/>
      <c r="L95" s="1358"/>
      <c r="M95" s="1358"/>
      <c r="N95" s="849"/>
      <c r="O95" s="849"/>
      <c r="P95" s="849"/>
      <c r="Q95" s="849"/>
      <c r="R95" s="849"/>
      <c r="S95" s="849"/>
      <c r="T95" s="979"/>
      <c r="U95" s="979"/>
      <c r="V95" s="642">
        <f t="shared" si="5"/>
        <v>5848</v>
      </c>
    </row>
    <row r="96" spans="1:22" ht="18" customHeight="1">
      <c r="A96" s="1265" t="s">
        <v>486</v>
      </c>
      <c r="B96" s="1358">
        <v>2438</v>
      </c>
      <c r="C96" s="1358"/>
      <c r="D96" s="1358"/>
      <c r="E96" s="1358">
        <v>426</v>
      </c>
      <c r="F96" s="1358">
        <v>60</v>
      </c>
      <c r="G96" s="1358"/>
      <c r="H96" s="1242"/>
      <c r="I96" s="1358"/>
      <c r="J96" s="1358"/>
      <c r="K96" s="1358"/>
      <c r="L96" s="1358"/>
      <c r="M96" s="1358"/>
      <c r="N96" s="849"/>
      <c r="O96" s="849"/>
      <c r="P96" s="849"/>
      <c r="Q96" s="849"/>
      <c r="R96" s="849"/>
      <c r="S96" s="849"/>
      <c r="T96" s="511"/>
      <c r="U96" s="510"/>
      <c r="V96" s="642">
        <f t="shared" si="5"/>
        <v>2924</v>
      </c>
    </row>
    <row r="97" spans="1:22" ht="18" customHeight="1">
      <c r="A97" s="1265" t="s">
        <v>277</v>
      </c>
      <c r="B97" s="1358">
        <v>4877</v>
      </c>
      <c r="C97" s="1358"/>
      <c r="D97" s="1358"/>
      <c r="E97" s="1358">
        <v>852</v>
      </c>
      <c r="F97" s="1358">
        <v>119</v>
      </c>
      <c r="G97" s="1358"/>
      <c r="H97" s="1242"/>
      <c r="I97" s="1358"/>
      <c r="J97" s="1358"/>
      <c r="K97" s="1358"/>
      <c r="L97" s="1358"/>
      <c r="M97" s="1358"/>
      <c r="N97" s="849"/>
      <c r="O97" s="849"/>
      <c r="P97" s="849"/>
      <c r="Q97" s="849"/>
      <c r="R97" s="849"/>
      <c r="S97" s="849"/>
      <c r="T97" s="979"/>
      <c r="U97" s="979"/>
      <c r="V97" s="642">
        <f t="shared" si="5"/>
        <v>5848</v>
      </c>
    </row>
    <row r="98" spans="1:22" ht="18" customHeight="1">
      <c r="A98" s="1265" t="s">
        <v>487</v>
      </c>
      <c r="B98" s="1358">
        <v>2438</v>
      </c>
      <c r="C98" s="1358"/>
      <c r="D98" s="1358"/>
      <c r="E98" s="1358">
        <v>426</v>
      </c>
      <c r="F98" s="1358">
        <v>60</v>
      </c>
      <c r="G98" s="1358"/>
      <c r="H98" s="1242"/>
      <c r="I98" s="1358"/>
      <c r="J98" s="1358"/>
      <c r="K98" s="1358"/>
      <c r="L98" s="1358"/>
      <c r="M98" s="1358"/>
      <c r="N98" s="849"/>
      <c r="O98" s="849"/>
      <c r="P98" s="849"/>
      <c r="Q98" s="849"/>
      <c r="R98" s="849"/>
      <c r="S98" s="849"/>
      <c r="T98" s="511"/>
      <c r="U98" s="510"/>
      <c r="V98" s="642">
        <f t="shared" si="5"/>
        <v>2924</v>
      </c>
    </row>
    <row r="99" spans="1:22" ht="18" customHeight="1">
      <c r="A99" s="1265" t="s">
        <v>488</v>
      </c>
      <c r="B99" s="1358">
        <v>8534</v>
      </c>
      <c r="C99" s="1358"/>
      <c r="D99" s="1358"/>
      <c r="E99" s="1358">
        <v>1493</v>
      </c>
      <c r="F99" s="1358">
        <v>209</v>
      </c>
      <c r="G99" s="1358"/>
      <c r="H99" s="1242"/>
      <c r="I99" s="1358"/>
      <c r="J99" s="1358"/>
      <c r="K99" s="1358"/>
      <c r="L99" s="1358"/>
      <c r="M99" s="1358"/>
      <c r="N99" s="849"/>
      <c r="O99" s="849"/>
      <c r="P99" s="849"/>
      <c r="Q99" s="849"/>
      <c r="R99" s="849"/>
      <c r="S99" s="849"/>
      <c r="T99" s="511"/>
      <c r="U99" s="510"/>
      <c r="V99" s="642">
        <f t="shared" si="5"/>
        <v>10236</v>
      </c>
    </row>
    <row r="100" spans="1:22" ht="18" customHeight="1">
      <c r="A100" s="1265" t="s">
        <v>194</v>
      </c>
      <c r="B100" s="1358">
        <v>2438</v>
      </c>
      <c r="C100" s="1358"/>
      <c r="D100" s="1358"/>
      <c r="E100" s="1358">
        <v>426</v>
      </c>
      <c r="F100" s="1358">
        <v>60</v>
      </c>
      <c r="G100" s="1358"/>
      <c r="H100" s="1242"/>
      <c r="I100" s="1358"/>
      <c r="J100" s="1358"/>
      <c r="K100" s="1358"/>
      <c r="L100" s="1358"/>
      <c r="M100" s="1358"/>
      <c r="N100" s="849"/>
      <c r="O100" s="849"/>
      <c r="P100" s="849"/>
      <c r="Q100" s="849"/>
      <c r="R100" s="849"/>
      <c r="S100" s="849"/>
      <c r="T100" s="979"/>
      <c r="U100" s="979"/>
      <c r="V100" s="642">
        <f t="shared" si="5"/>
        <v>2924</v>
      </c>
    </row>
    <row r="101" spans="1:22" ht="18" customHeight="1">
      <c r="A101" s="1265" t="s">
        <v>571</v>
      </c>
      <c r="B101" s="1358">
        <v>2438</v>
      </c>
      <c r="C101" s="1358"/>
      <c r="D101" s="1358"/>
      <c r="E101" s="1358">
        <v>426</v>
      </c>
      <c r="F101" s="1358">
        <v>60</v>
      </c>
      <c r="G101" s="1358"/>
      <c r="H101" s="1242"/>
      <c r="I101" s="1358"/>
      <c r="J101" s="1358"/>
      <c r="K101" s="1358"/>
      <c r="L101" s="1358"/>
      <c r="M101" s="1358"/>
      <c r="N101" s="849"/>
      <c r="O101" s="849"/>
      <c r="P101" s="849"/>
      <c r="Q101" s="849"/>
      <c r="R101" s="849"/>
      <c r="S101" s="849"/>
      <c r="T101" s="511"/>
      <c r="U101" s="510"/>
      <c r="V101" s="642">
        <f t="shared" si="5"/>
        <v>2924</v>
      </c>
    </row>
    <row r="102" spans="1:22" ht="18" customHeight="1">
      <c r="A102" s="1265" t="s">
        <v>572</v>
      </c>
      <c r="B102" s="1358">
        <v>2438</v>
      </c>
      <c r="C102" s="1358"/>
      <c r="D102" s="1358"/>
      <c r="E102" s="1358">
        <v>426</v>
      </c>
      <c r="F102" s="1358">
        <v>60</v>
      </c>
      <c r="G102" s="1358"/>
      <c r="H102" s="1242"/>
      <c r="I102" s="1358"/>
      <c r="J102" s="1358"/>
      <c r="K102" s="1358"/>
      <c r="L102" s="1358"/>
      <c r="M102" s="1358"/>
      <c r="N102" s="849"/>
      <c r="O102" s="849"/>
      <c r="P102" s="849"/>
      <c r="Q102" s="849"/>
      <c r="R102" s="849"/>
      <c r="S102" s="849"/>
      <c r="T102" s="511"/>
      <c r="U102" s="510"/>
      <c r="V102" s="642">
        <f t="shared" si="5"/>
        <v>2924</v>
      </c>
    </row>
    <row r="103" spans="1:22" ht="18" customHeight="1">
      <c r="A103" s="1265" t="s">
        <v>573</v>
      </c>
      <c r="B103" s="849">
        <v>4877</v>
      </c>
      <c r="C103" s="849"/>
      <c r="D103" s="849"/>
      <c r="E103" s="849">
        <v>852</v>
      </c>
      <c r="F103" s="849">
        <v>119</v>
      </c>
      <c r="G103" s="849"/>
      <c r="H103" s="510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979"/>
      <c r="U103" s="979"/>
      <c r="V103" s="642">
        <f t="shared" si="5"/>
        <v>5848</v>
      </c>
    </row>
    <row r="104" spans="1:22" ht="18" customHeight="1">
      <c r="A104" s="1265" t="s">
        <v>574</v>
      </c>
      <c r="B104" s="1358">
        <v>8534</v>
      </c>
      <c r="C104" s="1358"/>
      <c r="D104" s="1358"/>
      <c r="E104" s="1358">
        <v>1491</v>
      </c>
      <c r="F104" s="1358">
        <v>209</v>
      </c>
      <c r="G104" s="1358"/>
      <c r="H104" s="1242"/>
      <c r="I104" s="1358"/>
      <c r="J104" s="1358"/>
      <c r="K104" s="1358"/>
      <c r="L104" s="849"/>
      <c r="M104" s="849"/>
      <c r="N104" s="849"/>
      <c r="O104" s="849"/>
      <c r="P104" s="849"/>
      <c r="Q104" s="849"/>
      <c r="R104" s="849"/>
      <c r="S104" s="849"/>
      <c r="T104" s="511"/>
      <c r="U104" s="510"/>
      <c r="V104" s="642">
        <f t="shared" si="5"/>
        <v>10234</v>
      </c>
    </row>
    <row r="105" spans="1:22" ht="18" customHeight="1">
      <c r="A105" s="1265" t="s">
        <v>575</v>
      </c>
      <c r="B105" s="1358">
        <v>2438</v>
      </c>
      <c r="C105" s="1358"/>
      <c r="D105" s="1358"/>
      <c r="E105" s="1358">
        <v>426</v>
      </c>
      <c r="F105" s="1358">
        <v>60</v>
      </c>
      <c r="G105" s="1358"/>
      <c r="H105" s="1242"/>
      <c r="I105" s="1358"/>
      <c r="J105" s="1358"/>
      <c r="K105" s="1358"/>
      <c r="L105" s="849"/>
      <c r="M105" s="849"/>
      <c r="N105" s="849"/>
      <c r="O105" s="849"/>
      <c r="P105" s="849"/>
      <c r="Q105" s="849"/>
      <c r="R105" s="849"/>
      <c r="S105" s="849"/>
      <c r="T105" s="511"/>
      <c r="U105" s="510"/>
      <c r="V105" s="642">
        <f t="shared" si="5"/>
        <v>2924</v>
      </c>
    </row>
    <row r="106" spans="1:22" ht="25.5">
      <c r="A106" s="1265" t="s">
        <v>253</v>
      </c>
      <c r="B106" s="1358">
        <v>3657</v>
      </c>
      <c r="C106" s="1358"/>
      <c r="D106" s="1358"/>
      <c r="E106" s="1358">
        <v>639</v>
      </c>
      <c r="F106" s="1358">
        <v>90</v>
      </c>
      <c r="G106" s="1358"/>
      <c r="H106" s="1242"/>
      <c r="I106" s="1358"/>
      <c r="J106" s="1358"/>
      <c r="K106" s="1358"/>
      <c r="L106" s="849"/>
      <c r="M106" s="849"/>
      <c r="N106" s="849"/>
      <c r="O106" s="849"/>
      <c r="P106" s="849"/>
      <c r="Q106" s="849"/>
      <c r="R106" s="849"/>
      <c r="S106" s="849"/>
      <c r="T106" s="979"/>
      <c r="U106" s="979"/>
      <c r="V106" s="642">
        <f t="shared" si="5"/>
        <v>4386</v>
      </c>
    </row>
    <row r="107" spans="1:22" ht="25.5">
      <c r="A107" s="1265" t="s">
        <v>206</v>
      </c>
      <c r="B107" s="1358">
        <v>2438</v>
      </c>
      <c r="C107" s="1358"/>
      <c r="D107" s="1358"/>
      <c r="E107" s="1358">
        <v>426</v>
      </c>
      <c r="F107" s="1358">
        <v>60</v>
      </c>
      <c r="G107" s="1358"/>
      <c r="H107" s="1242"/>
      <c r="I107" s="1358"/>
      <c r="J107" s="1358"/>
      <c r="K107" s="1358"/>
      <c r="L107" s="849"/>
      <c r="M107" s="849"/>
      <c r="N107" s="849"/>
      <c r="O107" s="849"/>
      <c r="P107" s="849"/>
      <c r="Q107" s="849"/>
      <c r="R107" s="849"/>
      <c r="S107" s="849"/>
      <c r="T107" s="511"/>
      <c r="U107" s="510"/>
      <c r="V107" s="642">
        <f t="shared" si="5"/>
        <v>2924</v>
      </c>
    </row>
    <row r="108" spans="1:22" ht="25.5">
      <c r="A108" s="1265" t="s">
        <v>195</v>
      </c>
      <c r="B108" s="1358">
        <v>4877</v>
      </c>
      <c r="C108" s="1358"/>
      <c r="D108" s="1358"/>
      <c r="E108" s="1358">
        <v>852</v>
      </c>
      <c r="F108" s="1358">
        <v>119</v>
      </c>
      <c r="G108" s="1358"/>
      <c r="H108" s="1242"/>
      <c r="I108" s="1358"/>
      <c r="J108" s="1358"/>
      <c r="K108" s="1358"/>
      <c r="L108" s="849"/>
      <c r="M108" s="849"/>
      <c r="N108" s="849"/>
      <c r="O108" s="849"/>
      <c r="P108" s="849"/>
      <c r="Q108" s="849"/>
      <c r="R108" s="849"/>
      <c r="S108" s="849"/>
      <c r="T108" s="511"/>
      <c r="U108" s="510"/>
      <c r="V108" s="642">
        <f t="shared" si="5"/>
        <v>5848</v>
      </c>
    </row>
    <row r="109" spans="1:22" ht="25.5">
      <c r="A109" s="1265" t="s">
        <v>207</v>
      </c>
      <c r="B109" s="1358">
        <v>4877</v>
      </c>
      <c r="C109" s="1358"/>
      <c r="D109" s="1358"/>
      <c r="E109" s="1358">
        <v>851</v>
      </c>
      <c r="F109" s="1358">
        <v>119</v>
      </c>
      <c r="G109" s="1358"/>
      <c r="H109" s="1242"/>
      <c r="I109" s="1358"/>
      <c r="J109" s="1358"/>
      <c r="K109" s="1358"/>
      <c r="L109" s="849"/>
      <c r="M109" s="849"/>
      <c r="N109" s="849"/>
      <c r="O109" s="849"/>
      <c r="P109" s="849"/>
      <c r="Q109" s="849"/>
      <c r="R109" s="849"/>
      <c r="S109" s="849"/>
      <c r="T109" s="979"/>
      <c r="U109" s="979"/>
      <c r="V109" s="642">
        <f t="shared" si="5"/>
        <v>5847</v>
      </c>
    </row>
    <row r="110" spans="1:22" ht="26.25" thickBot="1">
      <c r="A110" s="1265" t="s">
        <v>186</v>
      </c>
      <c r="B110" s="1358">
        <v>1219</v>
      </c>
      <c r="C110" s="1358"/>
      <c r="D110" s="1358"/>
      <c r="E110" s="1358">
        <v>213</v>
      </c>
      <c r="F110" s="1358">
        <v>30</v>
      </c>
      <c r="G110" s="1358"/>
      <c r="H110" s="1242"/>
      <c r="I110" s="1358"/>
      <c r="J110" s="1358"/>
      <c r="K110" s="1358"/>
      <c r="L110" s="849"/>
      <c r="M110" s="849"/>
      <c r="N110" s="849"/>
      <c r="O110" s="849"/>
      <c r="P110" s="849"/>
      <c r="Q110" s="849"/>
      <c r="R110" s="849"/>
      <c r="S110" s="849"/>
      <c r="T110" s="511"/>
      <c r="U110" s="510"/>
      <c r="V110" s="642">
        <f t="shared" si="5"/>
        <v>1462</v>
      </c>
    </row>
    <row r="111" spans="1:22" ht="39.75" customHeight="1" thickBot="1">
      <c r="A111" s="1341" t="s">
        <v>213</v>
      </c>
      <c r="B111" s="1352">
        <f>SUM(B112:B115)</f>
        <v>494640</v>
      </c>
      <c r="C111" s="1352"/>
      <c r="D111" s="1352"/>
      <c r="E111" s="1352">
        <f>SUM(E112:E115)</f>
        <v>119700</v>
      </c>
      <c r="F111" s="1352">
        <f>SUM(F112:F115)</f>
        <v>11860</v>
      </c>
      <c r="G111" s="1352"/>
      <c r="H111" s="1352"/>
      <c r="I111" s="1352"/>
      <c r="J111" s="1352"/>
      <c r="K111" s="1352"/>
      <c r="L111" s="650"/>
      <c r="M111" s="650">
        <f>SUM(M112:M115)</f>
        <v>6500</v>
      </c>
      <c r="N111" s="650"/>
      <c r="O111" s="650"/>
      <c r="P111" s="650"/>
      <c r="Q111" s="650"/>
      <c r="R111" s="650"/>
      <c r="S111" s="650"/>
      <c r="T111" s="650"/>
      <c r="U111" s="650"/>
      <c r="V111" s="651">
        <f t="shared" si="5"/>
        <v>632700</v>
      </c>
    </row>
    <row r="112" spans="1:22" ht="18" customHeight="1">
      <c r="A112" s="1359" t="s">
        <v>210</v>
      </c>
      <c r="B112" s="1242">
        <v>126300</v>
      </c>
      <c r="C112" s="1242"/>
      <c r="D112" s="1242"/>
      <c r="E112" s="1242">
        <v>38000</v>
      </c>
      <c r="F112" s="1242">
        <v>2000</v>
      </c>
      <c r="G112" s="1242"/>
      <c r="H112" s="1242"/>
      <c r="I112" s="1242"/>
      <c r="J112" s="1242"/>
      <c r="K112" s="1242"/>
      <c r="L112" s="510"/>
      <c r="M112" s="510">
        <v>3000</v>
      </c>
      <c r="N112" s="510"/>
      <c r="O112" s="510"/>
      <c r="P112" s="510"/>
      <c r="Q112" s="649"/>
      <c r="R112" s="649"/>
      <c r="S112" s="510"/>
      <c r="T112" s="511"/>
      <c r="U112" s="511"/>
      <c r="V112" s="642">
        <f t="shared" si="5"/>
        <v>169300</v>
      </c>
    </row>
    <row r="113" spans="1:22" ht="25.5">
      <c r="A113" s="1360" t="s">
        <v>211</v>
      </c>
      <c r="B113" s="1242">
        <v>137200</v>
      </c>
      <c r="C113" s="1242"/>
      <c r="D113" s="1242"/>
      <c r="E113" s="1242">
        <v>29000</v>
      </c>
      <c r="F113" s="1242">
        <v>3300</v>
      </c>
      <c r="G113" s="1242"/>
      <c r="H113" s="1242"/>
      <c r="I113" s="1242"/>
      <c r="J113" s="1242"/>
      <c r="K113" s="1242"/>
      <c r="L113" s="510"/>
      <c r="M113" s="510">
        <v>3500</v>
      </c>
      <c r="N113" s="510"/>
      <c r="O113" s="510"/>
      <c r="P113" s="510"/>
      <c r="Q113" s="510"/>
      <c r="R113" s="510"/>
      <c r="S113" s="510"/>
      <c r="T113" s="511"/>
      <c r="U113" s="511"/>
      <c r="V113" s="642">
        <f t="shared" si="5"/>
        <v>173000</v>
      </c>
    </row>
    <row r="114" spans="1:22" ht="51">
      <c r="A114" s="1355" t="s">
        <v>132</v>
      </c>
      <c r="B114" s="1242">
        <v>132340</v>
      </c>
      <c r="C114" s="1242"/>
      <c r="D114" s="1242"/>
      <c r="E114" s="1242">
        <v>24700</v>
      </c>
      <c r="F114" s="1242">
        <v>1560</v>
      </c>
      <c r="G114" s="1242"/>
      <c r="H114" s="1242"/>
      <c r="I114" s="1242"/>
      <c r="J114" s="1242"/>
      <c r="K114" s="1242"/>
      <c r="L114" s="510"/>
      <c r="M114" s="510"/>
      <c r="N114" s="510"/>
      <c r="O114" s="510"/>
      <c r="P114" s="510"/>
      <c r="Q114" s="649"/>
      <c r="R114" s="649"/>
      <c r="S114" s="510"/>
      <c r="T114" s="511"/>
      <c r="U114" s="511"/>
      <c r="V114" s="642">
        <f t="shared" si="5"/>
        <v>158600</v>
      </c>
    </row>
    <row r="115" spans="1:22" ht="51.75" thickBot="1">
      <c r="A115" s="1361" t="s">
        <v>212</v>
      </c>
      <c r="B115" s="1242">
        <v>98800</v>
      </c>
      <c r="C115" s="1242"/>
      <c r="D115" s="1242"/>
      <c r="E115" s="1242">
        <v>28000</v>
      </c>
      <c r="F115" s="1242">
        <v>5000</v>
      </c>
      <c r="G115" s="1242"/>
      <c r="H115" s="1242"/>
      <c r="I115" s="1242"/>
      <c r="J115" s="1242"/>
      <c r="K115" s="1242"/>
      <c r="L115" s="510"/>
      <c r="M115" s="510"/>
      <c r="N115" s="510"/>
      <c r="O115" s="510"/>
      <c r="P115" s="510"/>
      <c r="Q115" s="649"/>
      <c r="R115" s="649"/>
      <c r="S115" s="510"/>
      <c r="T115" s="511"/>
      <c r="U115" s="511"/>
      <c r="V115" s="642">
        <f t="shared" si="5"/>
        <v>131800</v>
      </c>
    </row>
    <row r="116" spans="1:22" ht="39" customHeight="1" thickBot="1">
      <c r="A116" s="1341" t="s">
        <v>58</v>
      </c>
      <c r="B116" s="1352">
        <f>SUM(B117:B127)</f>
        <v>30474</v>
      </c>
      <c r="C116" s="1352"/>
      <c r="D116" s="1352"/>
      <c r="E116" s="1352">
        <f>SUM(E117:E127)</f>
        <v>11803</v>
      </c>
      <c r="F116" s="1352">
        <f>SUM(F117:F127)</f>
        <v>179</v>
      </c>
      <c r="G116" s="1352"/>
      <c r="H116" s="1352"/>
      <c r="I116" s="1352"/>
      <c r="J116" s="1352"/>
      <c r="K116" s="1352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851">
        <f t="shared" si="5"/>
        <v>42456</v>
      </c>
    </row>
    <row r="117" spans="1:22" ht="18" customHeight="1">
      <c r="A117" s="1265" t="s">
        <v>454</v>
      </c>
      <c r="B117" s="1239">
        <v>19830</v>
      </c>
      <c r="C117" s="1239"/>
      <c r="D117" s="1239"/>
      <c r="E117" s="1239">
        <v>4900</v>
      </c>
      <c r="F117" s="1239">
        <v>550</v>
      </c>
      <c r="G117" s="1239"/>
      <c r="H117" s="1239"/>
      <c r="I117" s="1239"/>
      <c r="J117" s="1239"/>
      <c r="K117" s="1239"/>
      <c r="L117" s="649"/>
      <c r="M117" s="649"/>
      <c r="N117" s="649"/>
      <c r="O117" s="649"/>
      <c r="P117" s="649"/>
      <c r="Q117" s="649"/>
      <c r="R117" s="649"/>
      <c r="S117" s="649"/>
      <c r="T117" s="648"/>
      <c r="U117" s="648"/>
      <c r="V117" s="642">
        <f t="shared" si="5"/>
        <v>25280</v>
      </c>
    </row>
    <row r="118" spans="1:22" ht="18" customHeight="1">
      <c r="A118" s="1265" t="s">
        <v>281</v>
      </c>
      <c r="B118" s="1242">
        <v>3770</v>
      </c>
      <c r="C118" s="1242"/>
      <c r="D118" s="1242"/>
      <c r="E118" s="1242">
        <v>200</v>
      </c>
      <c r="F118" s="1242">
        <v>30</v>
      </c>
      <c r="G118" s="1242"/>
      <c r="H118" s="1242"/>
      <c r="I118" s="1242"/>
      <c r="J118" s="1242"/>
      <c r="K118" s="1242"/>
      <c r="L118" s="510"/>
      <c r="M118" s="510"/>
      <c r="N118" s="510"/>
      <c r="O118" s="510"/>
      <c r="P118" s="510"/>
      <c r="Q118" s="510"/>
      <c r="R118" s="510"/>
      <c r="S118" s="510"/>
      <c r="T118" s="511"/>
      <c r="U118" s="511"/>
      <c r="V118" s="642">
        <f t="shared" si="5"/>
        <v>4000</v>
      </c>
    </row>
    <row r="119" spans="1:22" ht="18" customHeight="1">
      <c r="A119" s="1265" t="s">
        <v>457</v>
      </c>
      <c r="B119" s="1242">
        <v>-10176</v>
      </c>
      <c r="C119" s="1242"/>
      <c r="D119" s="1242"/>
      <c r="E119" s="1242">
        <v>-2137</v>
      </c>
      <c r="F119" s="1242">
        <v>-321</v>
      </c>
      <c r="G119" s="1242"/>
      <c r="H119" s="1242"/>
      <c r="I119" s="1242"/>
      <c r="J119" s="1242"/>
      <c r="K119" s="1242"/>
      <c r="L119" s="510"/>
      <c r="M119" s="510"/>
      <c r="N119" s="510"/>
      <c r="O119" s="510"/>
      <c r="P119" s="510"/>
      <c r="Q119" s="510"/>
      <c r="R119" s="510"/>
      <c r="S119" s="510"/>
      <c r="T119" s="511"/>
      <c r="U119" s="511"/>
      <c r="V119" s="642">
        <f t="shared" si="5"/>
        <v>-12634</v>
      </c>
    </row>
    <row r="120" spans="1:22" ht="25.5">
      <c r="A120" s="1265" t="s">
        <v>186</v>
      </c>
      <c r="B120" s="1242"/>
      <c r="C120" s="1242"/>
      <c r="D120" s="1242"/>
      <c r="E120" s="1242"/>
      <c r="F120" s="1242">
        <v>-100</v>
      </c>
      <c r="G120" s="1242"/>
      <c r="H120" s="1242"/>
      <c r="I120" s="1242"/>
      <c r="J120" s="1242"/>
      <c r="K120" s="1242"/>
      <c r="L120" s="510"/>
      <c r="M120" s="510"/>
      <c r="N120" s="510"/>
      <c r="O120" s="510"/>
      <c r="P120" s="510"/>
      <c r="Q120" s="510"/>
      <c r="R120" s="510"/>
      <c r="S120" s="510"/>
      <c r="T120" s="511"/>
      <c r="U120" s="511"/>
      <c r="V120" s="642">
        <f t="shared" si="5"/>
        <v>-100</v>
      </c>
    </row>
    <row r="121" spans="1:22" ht="18" customHeight="1">
      <c r="A121" s="1265" t="s">
        <v>196</v>
      </c>
      <c r="B121" s="1242">
        <v>2500</v>
      </c>
      <c r="C121" s="1242"/>
      <c r="D121" s="1242"/>
      <c r="E121" s="1242">
        <v>530</v>
      </c>
      <c r="F121" s="1242"/>
      <c r="G121" s="1242"/>
      <c r="H121" s="1242"/>
      <c r="I121" s="1242"/>
      <c r="J121" s="1242"/>
      <c r="K121" s="1242"/>
      <c r="L121" s="510"/>
      <c r="M121" s="510"/>
      <c r="N121" s="510"/>
      <c r="O121" s="510"/>
      <c r="P121" s="510"/>
      <c r="Q121" s="510"/>
      <c r="R121" s="510"/>
      <c r="S121" s="510"/>
      <c r="T121" s="511"/>
      <c r="U121" s="511"/>
      <c r="V121" s="642">
        <f t="shared" si="5"/>
        <v>3030</v>
      </c>
    </row>
    <row r="122" spans="1:22" ht="18" customHeight="1">
      <c r="A122" s="1265" t="s">
        <v>277</v>
      </c>
      <c r="B122" s="1242">
        <v>-2385</v>
      </c>
      <c r="C122" s="1242"/>
      <c r="D122" s="1242"/>
      <c r="E122" s="1242">
        <v>-990</v>
      </c>
      <c r="F122" s="1242">
        <v>-250</v>
      </c>
      <c r="G122" s="1242"/>
      <c r="H122" s="1242"/>
      <c r="I122" s="1242"/>
      <c r="J122" s="1242"/>
      <c r="K122" s="1242"/>
      <c r="L122" s="510"/>
      <c r="M122" s="510"/>
      <c r="N122" s="510"/>
      <c r="O122" s="510"/>
      <c r="P122" s="510"/>
      <c r="Q122" s="510"/>
      <c r="R122" s="510"/>
      <c r="S122" s="510"/>
      <c r="T122" s="511"/>
      <c r="U122" s="511"/>
      <c r="V122" s="642">
        <f t="shared" si="5"/>
        <v>-3625</v>
      </c>
    </row>
    <row r="123" spans="1:22" ht="18" customHeight="1">
      <c r="A123" s="1265" t="s">
        <v>571</v>
      </c>
      <c r="B123" s="1242">
        <v>-3465</v>
      </c>
      <c r="C123" s="1242"/>
      <c r="D123" s="1242"/>
      <c r="E123" s="1242"/>
      <c r="F123" s="1242"/>
      <c r="G123" s="1242"/>
      <c r="H123" s="1242"/>
      <c r="I123" s="1242"/>
      <c r="J123" s="1242"/>
      <c r="K123" s="1242"/>
      <c r="L123" s="510"/>
      <c r="M123" s="510"/>
      <c r="N123" s="510"/>
      <c r="O123" s="510"/>
      <c r="P123" s="510"/>
      <c r="Q123" s="510"/>
      <c r="R123" s="510"/>
      <c r="S123" s="510"/>
      <c r="T123" s="511"/>
      <c r="U123" s="511"/>
      <c r="V123" s="642">
        <f t="shared" si="5"/>
        <v>-3465</v>
      </c>
    </row>
    <row r="124" spans="1:22" ht="18" customHeight="1">
      <c r="A124" s="1265" t="s">
        <v>572</v>
      </c>
      <c r="B124" s="1242">
        <v>-10000</v>
      </c>
      <c r="C124" s="1242"/>
      <c r="D124" s="1242"/>
      <c r="E124" s="1242">
        <v>-1000</v>
      </c>
      <c r="F124" s="1242">
        <v>-200</v>
      </c>
      <c r="G124" s="1242"/>
      <c r="H124" s="1242"/>
      <c r="I124" s="1242"/>
      <c r="J124" s="1242"/>
      <c r="K124" s="1242"/>
      <c r="L124" s="510"/>
      <c r="M124" s="510"/>
      <c r="N124" s="510"/>
      <c r="O124" s="510"/>
      <c r="P124" s="510"/>
      <c r="Q124" s="510"/>
      <c r="R124" s="510"/>
      <c r="S124" s="510"/>
      <c r="T124" s="511"/>
      <c r="U124" s="511"/>
      <c r="V124" s="642">
        <f t="shared" si="5"/>
        <v>-11200</v>
      </c>
    </row>
    <row r="125" spans="1:22" ht="18" customHeight="1">
      <c r="A125" s="1265" t="s">
        <v>573</v>
      </c>
      <c r="B125" s="510">
        <v>5500</v>
      </c>
      <c r="C125" s="510"/>
      <c r="D125" s="510"/>
      <c r="E125" s="510">
        <v>770</v>
      </c>
      <c r="F125" s="510"/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  <c r="Q125" s="510"/>
      <c r="R125" s="510"/>
      <c r="S125" s="510"/>
      <c r="T125" s="511"/>
      <c r="U125" s="511"/>
      <c r="V125" s="642">
        <f t="shared" si="5"/>
        <v>6270</v>
      </c>
    </row>
    <row r="126" spans="1:22" ht="18" customHeight="1">
      <c r="A126" s="1265" t="s">
        <v>574</v>
      </c>
      <c r="B126" s="510"/>
      <c r="C126" s="510"/>
      <c r="D126" s="510"/>
      <c r="E126" s="510">
        <v>530</v>
      </c>
      <c r="F126" s="510">
        <v>470</v>
      </c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1"/>
      <c r="U126" s="511"/>
      <c r="V126" s="642">
        <f t="shared" si="5"/>
        <v>1000</v>
      </c>
    </row>
    <row r="127" spans="1:22" ht="18" customHeight="1" thickBot="1">
      <c r="A127" s="1265" t="s">
        <v>575</v>
      </c>
      <c r="B127" s="123">
        <v>24900</v>
      </c>
      <c r="C127" s="123"/>
      <c r="D127" s="123"/>
      <c r="E127" s="123">
        <v>9000</v>
      </c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979"/>
      <c r="U127" s="979"/>
      <c r="V127" s="642">
        <f t="shared" si="5"/>
        <v>33900</v>
      </c>
    </row>
    <row r="128" spans="1:22" s="497" customFormat="1" ht="18" customHeight="1" thickBot="1">
      <c r="A128" s="1341" t="s">
        <v>686</v>
      </c>
      <c r="B128" s="650">
        <f>SUM(B129:B189)</f>
        <v>545411</v>
      </c>
      <c r="C128" s="650"/>
      <c r="D128" s="650"/>
      <c r="E128" s="650"/>
      <c r="F128" s="650"/>
      <c r="G128" s="650"/>
      <c r="H128" s="650"/>
      <c r="I128" s="650"/>
      <c r="J128" s="650">
        <f aca="true" t="shared" si="6" ref="J128:P128">SUM(J129:J189)</f>
        <v>-9050</v>
      </c>
      <c r="K128" s="650">
        <f t="shared" si="6"/>
        <v>15459</v>
      </c>
      <c r="L128" s="650">
        <f t="shared" si="6"/>
        <v>450</v>
      </c>
      <c r="M128" s="650">
        <f t="shared" si="6"/>
        <v>95000</v>
      </c>
      <c r="N128" s="650">
        <f t="shared" si="6"/>
        <v>30869</v>
      </c>
      <c r="O128" s="650">
        <f t="shared" si="6"/>
        <v>2657</v>
      </c>
      <c r="P128" s="650">
        <f t="shared" si="6"/>
        <v>75102</v>
      </c>
      <c r="Q128" s="650"/>
      <c r="R128" s="650">
        <f>SUM(R129:R189)</f>
        <v>98</v>
      </c>
      <c r="S128" s="650"/>
      <c r="T128" s="650"/>
      <c r="U128" s="650"/>
      <c r="V128" s="651">
        <f t="shared" si="5"/>
        <v>755996</v>
      </c>
    </row>
    <row r="129" spans="1:22" ht="18" customHeight="1">
      <c r="A129" s="1265" t="s">
        <v>156</v>
      </c>
      <c r="B129" s="510">
        <v>25000</v>
      </c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>
        <v>3117</v>
      </c>
      <c r="N129" s="510"/>
      <c r="O129" s="510"/>
      <c r="P129" s="510">
        <v>-2000</v>
      </c>
      <c r="Q129" s="649"/>
      <c r="R129" s="649"/>
      <c r="S129" s="510"/>
      <c r="T129" s="511"/>
      <c r="U129" s="511"/>
      <c r="V129" s="642">
        <f t="shared" si="5"/>
        <v>26117</v>
      </c>
    </row>
    <row r="130" spans="1:22" ht="18" customHeight="1">
      <c r="A130" s="1265" t="s">
        <v>80</v>
      </c>
      <c r="B130" s="510">
        <v>23000</v>
      </c>
      <c r="C130" s="510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>
        <v>1547</v>
      </c>
      <c r="N130" s="1242"/>
      <c r="O130" s="510"/>
      <c r="P130" s="510">
        <v>500</v>
      </c>
      <c r="Q130" s="649"/>
      <c r="R130" s="649"/>
      <c r="S130" s="510"/>
      <c r="T130" s="511"/>
      <c r="U130" s="511"/>
      <c r="V130" s="642">
        <f t="shared" si="5"/>
        <v>25047</v>
      </c>
    </row>
    <row r="131" spans="1:22" ht="18" customHeight="1">
      <c r="A131" s="1265" t="s">
        <v>188</v>
      </c>
      <c r="B131" s="510">
        <v>13000</v>
      </c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>
        <v>240</v>
      </c>
      <c r="N131" s="1242">
        <v>2000</v>
      </c>
      <c r="O131" s="510"/>
      <c r="P131" s="510">
        <v>3000</v>
      </c>
      <c r="Q131" s="649"/>
      <c r="R131" s="649"/>
      <c r="S131" s="510"/>
      <c r="T131" s="511"/>
      <c r="U131" s="511"/>
      <c r="V131" s="642">
        <f t="shared" si="5"/>
        <v>18240</v>
      </c>
    </row>
    <row r="132" spans="1:22" ht="18" customHeight="1">
      <c r="A132" s="1265" t="s">
        <v>81</v>
      </c>
      <c r="B132" s="510">
        <v>41000</v>
      </c>
      <c r="C132" s="510"/>
      <c r="D132" s="510"/>
      <c r="E132" s="510"/>
      <c r="F132" s="510"/>
      <c r="G132" s="510"/>
      <c r="H132" s="510"/>
      <c r="I132" s="510"/>
      <c r="J132" s="510">
        <v>-150</v>
      </c>
      <c r="K132" s="510"/>
      <c r="L132" s="510"/>
      <c r="M132" s="510">
        <v>2478</v>
      </c>
      <c r="N132" s="1242"/>
      <c r="O132" s="510">
        <v>114</v>
      </c>
      <c r="P132" s="510">
        <v>600</v>
      </c>
      <c r="Q132" s="649"/>
      <c r="R132" s="649"/>
      <c r="S132" s="510"/>
      <c r="T132" s="511"/>
      <c r="U132" s="511"/>
      <c r="V132" s="642">
        <f t="shared" si="5"/>
        <v>44042</v>
      </c>
    </row>
    <row r="133" spans="1:22" ht="18" customHeight="1">
      <c r="A133" s="1265" t="s">
        <v>82</v>
      </c>
      <c r="B133" s="510">
        <v>22000</v>
      </c>
      <c r="C133" s="510"/>
      <c r="D133" s="510"/>
      <c r="E133" s="510"/>
      <c r="F133" s="510"/>
      <c r="G133" s="510"/>
      <c r="H133" s="510"/>
      <c r="I133" s="510"/>
      <c r="J133" s="510"/>
      <c r="K133" s="510">
        <v>3000</v>
      </c>
      <c r="L133" s="510"/>
      <c r="M133" s="510">
        <v>867</v>
      </c>
      <c r="N133" s="1242"/>
      <c r="O133" s="510"/>
      <c r="P133" s="510"/>
      <c r="Q133" s="649"/>
      <c r="R133" s="649"/>
      <c r="S133" s="510"/>
      <c r="T133" s="511"/>
      <c r="U133" s="511"/>
      <c r="V133" s="642">
        <f t="shared" si="5"/>
        <v>25867</v>
      </c>
    </row>
    <row r="134" spans="1:22" ht="18" customHeight="1">
      <c r="A134" s="1265" t="s">
        <v>83</v>
      </c>
      <c r="B134" s="510">
        <v>60000</v>
      </c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>
        <v>2548</v>
      </c>
      <c r="N134" s="1242"/>
      <c r="O134" s="510"/>
      <c r="P134" s="510">
        <v>500</v>
      </c>
      <c r="Q134" s="649"/>
      <c r="R134" s="649"/>
      <c r="S134" s="510"/>
      <c r="T134" s="511"/>
      <c r="U134" s="511"/>
      <c r="V134" s="642">
        <f t="shared" si="5"/>
        <v>63048</v>
      </c>
    </row>
    <row r="135" spans="1:22" ht="18" customHeight="1">
      <c r="A135" s="1265" t="s">
        <v>84</v>
      </c>
      <c r="B135" s="510">
        <v>-32000</v>
      </c>
      <c r="C135" s="510"/>
      <c r="D135" s="510"/>
      <c r="E135" s="510"/>
      <c r="F135" s="510"/>
      <c r="G135" s="510"/>
      <c r="H135" s="510"/>
      <c r="I135" s="510"/>
      <c r="J135" s="510">
        <v>-2000</v>
      </c>
      <c r="K135" s="510"/>
      <c r="L135" s="510"/>
      <c r="M135" s="510">
        <v>2158</v>
      </c>
      <c r="N135" s="1242"/>
      <c r="O135" s="510">
        <v>135</v>
      </c>
      <c r="P135" s="510">
        <v>1000</v>
      </c>
      <c r="Q135" s="649"/>
      <c r="R135" s="649"/>
      <c r="S135" s="510"/>
      <c r="T135" s="511"/>
      <c r="U135" s="511"/>
      <c r="V135" s="642">
        <f t="shared" si="5"/>
        <v>-30707</v>
      </c>
    </row>
    <row r="136" spans="1:22" ht="18" customHeight="1">
      <c r="A136" s="1265" t="s">
        <v>189</v>
      </c>
      <c r="B136" s="510">
        <v>-8000</v>
      </c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>
        <v>599</v>
      </c>
      <c r="N136" s="1242">
        <v>8000</v>
      </c>
      <c r="O136" s="510"/>
      <c r="P136" s="510">
        <v>-2800</v>
      </c>
      <c r="Q136" s="649"/>
      <c r="R136" s="649"/>
      <c r="S136" s="510"/>
      <c r="T136" s="511"/>
      <c r="U136" s="511"/>
      <c r="V136" s="642">
        <f t="shared" si="5"/>
        <v>-2201</v>
      </c>
    </row>
    <row r="137" spans="1:22" ht="18" customHeight="1">
      <c r="A137" s="1265" t="s">
        <v>85</v>
      </c>
      <c r="B137" s="510">
        <v>7000</v>
      </c>
      <c r="C137" s="510"/>
      <c r="D137" s="510"/>
      <c r="E137" s="510"/>
      <c r="F137" s="510"/>
      <c r="G137" s="510"/>
      <c r="H137" s="510"/>
      <c r="I137" s="510"/>
      <c r="J137" s="510"/>
      <c r="K137" s="510"/>
      <c r="L137" s="510"/>
      <c r="M137" s="510">
        <v>655</v>
      </c>
      <c r="N137" s="1242"/>
      <c r="O137" s="510"/>
      <c r="P137" s="510"/>
      <c r="Q137" s="649"/>
      <c r="R137" s="649"/>
      <c r="S137" s="510"/>
      <c r="T137" s="511"/>
      <c r="U137" s="511"/>
      <c r="V137" s="642">
        <f t="shared" si="5"/>
        <v>7655</v>
      </c>
    </row>
    <row r="138" spans="1:22" ht="18" customHeight="1">
      <c r="A138" s="1265" t="s">
        <v>86</v>
      </c>
      <c r="B138" s="510">
        <v>-3000</v>
      </c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>
        <v>2118</v>
      </c>
      <c r="N138" s="1242"/>
      <c r="O138" s="510"/>
      <c r="P138" s="510"/>
      <c r="Q138" s="649"/>
      <c r="R138" s="649"/>
      <c r="S138" s="510"/>
      <c r="T138" s="511"/>
      <c r="U138" s="511"/>
      <c r="V138" s="642">
        <f t="shared" si="5"/>
        <v>-882</v>
      </c>
    </row>
    <row r="139" spans="1:22" ht="18" customHeight="1">
      <c r="A139" s="1265" t="s">
        <v>87</v>
      </c>
      <c r="B139" s="510">
        <v>-32000</v>
      </c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>
        <v>1798</v>
      </c>
      <c r="N139" s="1242"/>
      <c r="O139" s="510">
        <v>380</v>
      </c>
      <c r="P139" s="510">
        <v>900</v>
      </c>
      <c r="Q139" s="649"/>
      <c r="R139" s="649"/>
      <c r="S139" s="510"/>
      <c r="T139" s="511"/>
      <c r="U139" s="511"/>
      <c r="V139" s="642">
        <f t="shared" si="5"/>
        <v>-28922</v>
      </c>
    </row>
    <row r="140" spans="1:22" ht="18" customHeight="1">
      <c r="A140" s="1265" t="s">
        <v>88</v>
      </c>
      <c r="B140" s="510">
        <v>21000</v>
      </c>
      <c r="C140" s="510"/>
      <c r="D140" s="510"/>
      <c r="E140" s="510"/>
      <c r="F140" s="510"/>
      <c r="G140" s="510"/>
      <c r="H140" s="510"/>
      <c r="I140" s="510"/>
      <c r="J140" s="510"/>
      <c r="K140" s="510">
        <v>2200</v>
      </c>
      <c r="L140" s="510"/>
      <c r="M140" s="510">
        <v>490</v>
      </c>
      <c r="N140" s="1242"/>
      <c r="O140" s="510"/>
      <c r="P140" s="510">
        <v>2197</v>
      </c>
      <c r="Q140" s="649"/>
      <c r="R140" s="649"/>
      <c r="S140" s="510"/>
      <c r="T140" s="511"/>
      <c r="U140" s="511"/>
      <c r="V140" s="642">
        <f t="shared" si="5"/>
        <v>25887</v>
      </c>
    </row>
    <row r="141" spans="1:22" ht="18" customHeight="1">
      <c r="A141" s="1265" t="s">
        <v>815</v>
      </c>
      <c r="B141" s="510">
        <v>-34000</v>
      </c>
      <c r="C141" s="510"/>
      <c r="D141" s="510"/>
      <c r="E141" s="510"/>
      <c r="F141" s="510"/>
      <c r="G141" s="510"/>
      <c r="H141" s="510"/>
      <c r="I141" s="510"/>
      <c r="J141" s="510"/>
      <c r="K141" s="510">
        <v>134</v>
      </c>
      <c r="L141" s="510"/>
      <c r="M141" s="510"/>
      <c r="N141" s="1242"/>
      <c r="O141" s="510"/>
      <c r="P141" s="510">
        <v>2100</v>
      </c>
      <c r="Q141" s="649"/>
      <c r="R141" s="649"/>
      <c r="S141" s="510"/>
      <c r="T141" s="511"/>
      <c r="U141" s="511"/>
      <c r="V141" s="642">
        <f aca="true" t="shared" si="7" ref="V141:V204">SUM(B141:U141)</f>
        <v>-31766</v>
      </c>
    </row>
    <row r="142" spans="1:22" ht="18" customHeight="1">
      <c r="A142" s="1265" t="s">
        <v>89</v>
      </c>
      <c r="B142" s="510">
        <v>-31000</v>
      </c>
      <c r="C142" s="510"/>
      <c r="D142" s="510"/>
      <c r="E142" s="510"/>
      <c r="F142" s="510"/>
      <c r="G142" s="510"/>
      <c r="H142" s="510"/>
      <c r="I142" s="510"/>
      <c r="J142" s="510"/>
      <c r="K142" s="510">
        <v>740</v>
      </c>
      <c r="L142" s="510"/>
      <c r="M142" s="510">
        <v>3051</v>
      </c>
      <c r="N142" s="1242"/>
      <c r="O142" s="510"/>
      <c r="P142" s="510"/>
      <c r="Q142" s="649"/>
      <c r="R142" s="649"/>
      <c r="S142" s="510"/>
      <c r="T142" s="511"/>
      <c r="U142" s="511"/>
      <c r="V142" s="642">
        <f t="shared" si="7"/>
        <v>-27209</v>
      </c>
    </row>
    <row r="143" spans="1:22" ht="18" customHeight="1">
      <c r="A143" s="1265" t="s">
        <v>90</v>
      </c>
      <c r="B143" s="510">
        <v>-17000</v>
      </c>
      <c r="C143" s="510"/>
      <c r="D143" s="510"/>
      <c r="E143" s="510"/>
      <c r="F143" s="510"/>
      <c r="G143" s="510"/>
      <c r="H143" s="510"/>
      <c r="I143" s="510"/>
      <c r="J143" s="510"/>
      <c r="K143" s="510"/>
      <c r="L143" s="510"/>
      <c r="M143" s="510">
        <v>1559</v>
      </c>
      <c r="N143" s="1242"/>
      <c r="O143" s="510"/>
      <c r="P143" s="510">
        <v>600</v>
      </c>
      <c r="Q143" s="649"/>
      <c r="R143" s="649"/>
      <c r="S143" s="510"/>
      <c r="T143" s="511"/>
      <c r="U143" s="511"/>
      <c r="V143" s="642">
        <f t="shared" si="7"/>
        <v>-14841</v>
      </c>
    </row>
    <row r="144" spans="1:22" ht="18" customHeight="1">
      <c r="A144" s="1265" t="s">
        <v>91</v>
      </c>
      <c r="B144" s="510">
        <v>12000</v>
      </c>
      <c r="C144" s="510"/>
      <c r="D144" s="510"/>
      <c r="E144" s="510"/>
      <c r="F144" s="510"/>
      <c r="G144" s="510"/>
      <c r="H144" s="510"/>
      <c r="I144" s="510"/>
      <c r="J144" s="510"/>
      <c r="K144" s="510"/>
      <c r="L144" s="510"/>
      <c r="M144" s="510">
        <v>1079</v>
      </c>
      <c r="N144" s="1242"/>
      <c r="O144" s="510"/>
      <c r="P144" s="510">
        <v>700</v>
      </c>
      <c r="Q144" s="649"/>
      <c r="R144" s="649"/>
      <c r="S144" s="510"/>
      <c r="T144" s="511"/>
      <c r="U144" s="511"/>
      <c r="V144" s="642">
        <f t="shared" si="7"/>
        <v>13779</v>
      </c>
    </row>
    <row r="145" spans="1:22" ht="18" customHeight="1">
      <c r="A145" s="1265" t="s">
        <v>190</v>
      </c>
      <c r="B145" s="510">
        <v>28000</v>
      </c>
      <c r="C145" s="510"/>
      <c r="D145" s="510"/>
      <c r="E145" s="510"/>
      <c r="F145" s="510"/>
      <c r="G145" s="510"/>
      <c r="H145" s="510"/>
      <c r="I145" s="510"/>
      <c r="J145" s="510"/>
      <c r="K145" s="510">
        <v>180</v>
      </c>
      <c r="L145" s="510"/>
      <c r="M145" s="510">
        <v>839</v>
      </c>
      <c r="N145" s="1242">
        <v>10000</v>
      </c>
      <c r="O145" s="510">
        <v>469</v>
      </c>
      <c r="P145" s="510">
        <v>1700</v>
      </c>
      <c r="Q145" s="649"/>
      <c r="R145" s="649"/>
      <c r="S145" s="510"/>
      <c r="T145" s="511"/>
      <c r="U145" s="511"/>
      <c r="V145" s="642">
        <f t="shared" si="7"/>
        <v>41188</v>
      </c>
    </row>
    <row r="146" spans="1:22" ht="18" customHeight="1">
      <c r="A146" s="1265" t="s">
        <v>92</v>
      </c>
      <c r="B146" s="510">
        <v>-9000</v>
      </c>
      <c r="C146" s="510"/>
      <c r="D146" s="510"/>
      <c r="E146" s="510"/>
      <c r="F146" s="510"/>
      <c r="G146" s="510"/>
      <c r="H146" s="510"/>
      <c r="I146" s="510"/>
      <c r="J146" s="510"/>
      <c r="K146" s="510"/>
      <c r="L146" s="510"/>
      <c r="M146" s="510">
        <v>1350</v>
      </c>
      <c r="N146" s="1242"/>
      <c r="O146" s="510"/>
      <c r="P146" s="510">
        <v>-23500</v>
      </c>
      <c r="Q146" s="649"/>
      <c r="R146" s="649"/>
      <c r="S146" s="510"/>
      <c r="T146" s="511"/>
      <c r="U146" s="511"/>
      <c r="V146" s="642">
        <f t="shared" si="7"/>
        <v>-31150</v>
      </c>
    </row>
    <row r="147" spans="1:22" ht="18" customHeight="1">
      <c r="A147" s="1265" t="s">
        <v>93</v>
      </c>
      <c r="B147" s="510">
        <v>-44000</v>
      </c>
      <c r="C147" s="510"/>
      <c r="D147" s="510"/>
      <c r="E147" s="510"/>
      <c r="F147" s="510"/>
      <c r="G147" s="510"/>
      <c r="H147" s="510"/>
      <c r="I147" s="510"/>
      <c r="J147" s="510"/>
      <c r="K147" s="510">
        <v>118</v>
      </c>
      <c r="L147" s="510">
        <v>350</v>
      </c>
      <c r="M147" s="510">
        <v>1910</v>
      </c>
      <c r="N147" s="1242">
        <v>1000</v>
      </c>
      <c r="O147" s="510">
        <v>320</v>
      </c>
      <c r="P147" s="510">
        <v>13450</v>
      </c>
      <c r="Q147" s="510"/>
      <c r="R147" s="510"/>
      <c r="S147" s="510"/>
      <c r="T147" s="511"/>
      <c r="U147" s="511"/>
      <c r="V147" s="642">
        <f t="shared" si="7"/>
        <v>-26852</v>
      </c>
    </row>
    <row r="148" spans="1:22" ht="18" customHeight="1">
      <c r="A148" s="1265" t="s">
        <v>153</v>
      </c>
      <c r="B148" s="510"/>
      <c r="C148" s="510"/>
      <c r="D148" s="510"/>
      <c r="E148" s="510"/>
      <c r="F148" s="510"/>
      <c r="G148" s="510"/>
      <c r="H148" s="510"/>
      <c r="I148" s="510"/>
      <c r="J148" s="510"/>
      <c r="K148" s="510">
        <v>700</v>
      </c>
      <c r="L148" s="510"/>
      <c r="M148" s="510">
        <v>4396</v>
      </c>
      <c r="N148" s="1242"/>
      <c r="O148" s="510"/>
      <c r="P148" s="510">
        <v>-900</v>
      </c>
      <c r="Q148" s="649"/>
      <c r="R148" s="649"/>
      <c r="S148" s="510"/>
      <c r="T148" s="511"/>
      <c r="U148" s="511"/>
      <c r="V148" s="642">
        <f t="shared" si="7"/>
        <v>4196</v>
      </c>
    </row>
    <row r="149" spans="1:22" ht="18" customHeight="1">
      <c r="A149" s="1265" t="s">
        <v>157</v>
      </c>
      <c r="B149" s="510">
        <v>21000</v>
      </c>
      <c r="C149" s="510"/>
      <c r="D149" s="510"/>
      <c r="E149" s="510"/>
      <c r="F149" s="510"/>
      <c r="G149" s="510"/>
      <c r="H149" s="510"/>
      <c r="I149" s="510"/>
      <c r="J149" s="510">
        <v>-1600</v>
      </c>
      <c r="K149" s="510"/>
      <c r="L149" s="510"/>
      <c r="M149" s="510">
        <v>3477</v>
      </c>
      <c r="N149" s="1242"/>
      <c r="O149" s="510"/>
      <c r="P149" s="510">
        <v>19000</v>
      </c>
      <c r="Q149" s="649"/>
      <c r="R149" s="649"/>
      <c r="S149" s="510"/>
      <c r="T149" s="511"/>
      <c r="U149" s="511"/>
      <c r="V149" s="642">
        <f t="shared" si="7"/>
        <v>41877</v>
      </c>
    </row>
    <row r="150" spans="1:22" ht="18" customHeight="1">
      <c r="A150" s="1265" t="s">
        <v>94</v>
      </c>
      <c r="B150" s="510">
        <v>31000</v>
      </c>
      <c r="C150" s="510"/>
      <c r="D150" s="510"/>
      <c r="E150" s="510"/>
      <c r="F150" s="510"/>
      <c r="G150" s="510"/>
      <c r="H150" s="510"/>
      <c r="I150" s="510"/>
      <c r="J150" s="510"/>
      <c r="K150" s="510"/>
      <c r="L150" s="510"/>
      <c r="M150" s="510">
        <v>1719</v>
      </c>
      <c r="N150" s="1242"/>
      <c r="O150" s="510"/>
      <c r="P150" s="510">
        <v>700</v>
      </c>
      <c r="Q150" s="649"/>
      <c r="R150" s="649"/>
      <c r="S150" s="510"/>
      <c r="T150" s="511"/>
      <c r="U150" s="511"/>
      <c r="V150" s="642">
        <f t="shared" si="7"/>
        <v>33419</v>
      </c>
    </row>
    <row r="151" spans="1:22" ht="18" customHeight="1">
      <c r="A151" s="1265" t="s">
        <v>95</v>
      </c>
      <c r="B151" s="510"/>
      <c r="C151" s="510"/>
      <c r="D151" s="510"/>
      <c r="E151" s="510"/>
      <c r="F151" s="510"/>
      <c r="G151" s="510"/>
      <c r="H151" s="510"/>
      <c r="I151" s="510"/>
      <c r="J151" s="510"/>
      <c r="K151" s="510">
        <v>2492</v>
      </c>
      <c r="L151" s="510"/>
      <c r="M151" s="510">
        <v>2038</v>
      </c>
      <c r="N151" s="1242"/>
      <c r="O151" s="510"/>
      <c r="P151" s="510">
        <v>1758</v>
      </c>
      <c r="Q151" s="649"/>
      <c r="R151" s="649"/>
      <c r="S151" s="510"/>
      <c r="T151" s="511"/>
      <c r="U151" s="511"/>
      <c r="V151" s="642">
        <f t="shared" si="7"/>
        <v>6288</v>
      </c>
    </row>
    <row r="152" spans="1:22" ht="18" customHeight="1">
      <c r="A152" s="1265" t="s">
        <v>96</v>
      </c>
      <c r="B152" s="510">
        <v>-2200</v>
      </c>
      <c r="C152" s="510"/>
      <c r="D152" s="510"/>
      <c r="E152" s="510"/>
      <c r="F152" s="510"/>
      <c r="G152" s="510"/>
      <c r="H152" s="510"/>
      <c r="I152" s="510"/>
      <c r="J152" s="510"/>
      <c r="K152" s="510"/>
      <c r="L152" s="510"/>
      <c r="M152" s="510">
        <v>2878</v>
      </c>
      <c r="N152" s="1242"/>
      <c r="O152" s="510"/>
      <c r="P152" s="510">
        <v>983</v>
      </c>
      <c r="Q152" s="649"/>
      <c r="R152" s="649"/>
      <c r="S152" s="510"/>
      <c r="T152" s="511"/>
      <c r="U152" s="511"/>
      <c r="V152" s="642">
        <f t="shared" si="7"/>
        <v>1661</v>
      </c>
    </row>
    <row r="153" spans="1:22" ht="18" customHeight="1">
      <c r="A153" s="1265" t="s">
        <v>816</v>
      </c>
      <c r="B153" s="510">
        <v>28000</v>
      </c>
      <c r="C153" s="510"/>
      <c r="D153" s="510"/>
      <c r="E153" s="510"/>
      <c r="F153" s="510"/>
      <c r="G153" s="510"/>
      <c r="H153" s="510"/>
      <c r="I153" s="510"/>
      <c r="J153" s="510"/>
      <c r="K153" s="510"/>
      <c r="L153" s="510"/>
      <c r="M153" s="510">
        <v>1415</v>
      </c>
      <c r="N153" s="1242"/>
      <c r="O153" s="510"/>
      <c r="P153" s="510">
        <v>-3000</v>
      </c>
      <c r="Q153" s="649"/>
      <c r="R153" s="649"/>
      <c r="S153" s="510"/>
      <c r="T153" s="511"/>
      <c r="U153" s="511"/>
      <c r="V153" s="642">
        <f t="shared" si="7"/>
        <v>26415</v>
      </c>
    </row>
    <row r="154" spans="1:22" ht="18" customHeight="1">
      <c r="A154" s="1265" t="s">
        <v>97</v>
      </c>
      <c r="B154" s="510">
        <v>26611</v>
      </c>
      <c r="C154" s="510"/>
      <c r="D154" s="510"/>
      <c r="E154" s="510"/>
      <c r="F154" s="510"/>
      <c r="G154" s="510"/>
      <c r="H154" s="510"/>
      <c r="I154" s="510"/>
      <c r="J154" s="510"/>
      <c r="K154" s="510">
        <v>189</v>
      </c>
      <c r="L154" s="510"/>
      <c r="M154" s="510">
        <v>2318</v>
      </c>
      <c r="N154" s="1242"/>
      <c r="O154" s="510">
        <v>115</v>
      </c>
      <c r="P154" s="510">
        <v>1566</v>
      </c>
      <c r="Q154" s="649"/>
      <c r="R154" s="649">
        <v>98</v>
      </c>
      <c r="S154" s="510"/>
      <c r="T154" s="511"/>
      <c r="U154" s="511"/>
      <c r="V154" s="642">
        <f t="shared" si="7"/>
        <v>30897</v>
      </c>
    </row>
    <row r="155" spans="1:22" ht="18" customHeight="1">
      <c r="A155" s="1265" t="s">
        <v>817</v>
      </c>
      <c r="B155" s="510">
        <v>55000</v>
      </c>
      <c r="C155" s="510"/>
      <c r="D155" s="510"/>
      <c r="E155" s="510"/>
      <c r="F155" s="510"/>
      <c r="G155" s="510"/>
      <c r="H155" s="510"/>
      <c r="I155" s="510"/>
      <c r="J155" s="510"/>
      <c r="K155" s="510"/>
      <c r="L155" s="510"/>
      <c r="M155" s="510">
        <v>1279</v>
      </c>
      <c r="N155" s="1242"/>
      <c r="O155" s="510"/>
      <c r="P155" s="510">
        <v>-1000</v>
      </c>
      <c r="Q155" s="649"/>
      <c r="R155" s="649"/>
      <c r="S155" s="510"/>
      <c r="T155" s="511"/>
      <c r="U155" s="511"/>
      <c r="V155" s="642">
        <f t="shared" si="7"/>
        <v>55279</v>
      </c>
    </row>
    <row r="156" spans="1:22" ht="18" customHeight="1">
      <c r="A156" s="1265" t="s">
        <v>98</v>
      </c>
      <c r="B156" s="510">
        <v>-32000</v>
      </c>
      <c r="C156" s="510"/>
      <c r="D156" s="510"/>
      <c r="E156" s="510"/>
      <c r="F156" s="510"/>
      <c r="G156" s="510"/>
      <c r="H156" s="510"/>
      <c r="I156" s="510"/>
      <c r="J156" s="510"/>
      <c r="K156" s="510"/>
      <c r="L156" s="510"/>
      <c r="M156" s="510">
        <v>959</v>
      </c>
      <c r="N156" s="1242"/>
      <c r="O156" s="510"/>
      <c r="P156" s="510"/>
      <c r="Q156" s="649"/>
      <c r="R156" s="649"/>
      <c r="S156" s="510"/>
      <c r="T156" s="511"/>
      <c r="U156" s="511"/>
      <c r="V156" s="642">
        <f t="shared" si="7"/>
        <v>-31041</v>
      </c>
    </row>
    <row r="157" spans="1:22" ht="18" customHeight="1">
      <c r="A157" s="1265" t="s">
        <v>99</v>
      </c>
      <c r="B157" s="510"/>
      <c r="C157" s="510"/>
      <c r="D157" s="510"/>
      <c r="E157" s="510"/>
      <c r="F157" s="510"/>
      <c r="G157" s="510"/>
      <c r="H157" s="510"/>
      <c r="I157" s="510"/>
      <c r="J157" s="510"/>
      <c r="K157" s="510"/>
      <c r="L157" s="510"/>
      <c r="M157" s="510">
        <v>679</v>
      </c>
      <c r="N157" s="1242"/>
      <c r="O157" s="510"/>
      <c r="P157" s="510"/>
      <c r="Q157" s="649"/>
      <c r="R157" s="649"/>
      <c r="S157" s="510"/>
      <c r="T157" s="511"/>
      <c r="U157" s="511"/>
      <c r="V157" s="642">
        <f t="shared" si="7"/>
        <v>679</v>
      </c>
    </row>
    <row r="158" spans="1:22" ht="18" customHeight="1">
      <c r="A158" s="1265" t="s">
        <v>100</v>
      </c>
      <c r="B158" s="510">
        <v>-11000</v>
      </c>
      <c r="C158" s="510"/>
      <c r="D158" s="510"/>
      <c r="E158" s="510"/>
      <c r="F158" s="510"/>
      <c r="G158" s="510"/>
      <c r="H158" s="510"/>
      <c r="I158" s="510"/>
      <c r="J158" s="510"/>
      <c r="K158" s="1242"/>
      <c r="L158" s="1242"/>
      <c r="M158" s="1242"/>
      <c r="N158" s="1242"/>
      <c r="O158" s="1242"/>
      <c r="P158" s="1242">
        <v>-500</v>
      </c>
      <c r="Q158" s="649"/>
      <c r="R158" s="649"/>
      <c r="S158" s="510"/>
      <c r="T158" s="511"/>
      <c r="U158" s="511"/>
      <c r="V158" s="642">
        <f t="shared" si="7"/>
        <v>-11500</v>
      </c>
    </row>
    <row r="159" spans="1:22" ht="18" customHeight="1">
      <c r="A159" s="1265" t="s">
        <v>101</v>
      </c>
      <c r="B159" s="510"/>
      <c r="C159" s="510"/>
      <c r="D159" s="510"/>
      <c r="E159" s="510"/>
      <c r="F159" s="510"/>
      <c r="G159" s="510"/>
      <c r="H159" s="510"/>
      <c r="I159" s="510"/>
      <c r="J159" s="510"/>
      <c r="K159" s="1242"/>
      <c r="L159" s="1242"/>
      <c r="M159" s="1242">
        <v>560</v>
      </c>
      <c r="N159" s="1242"/>
      <c r="O159" s="1242"/>
      <c r="P159" s="1242">
        <v>1993</v>
      </c>
      <c r="Q159" s="649"/>
      <c r="R159" s="649"/>
      <c r="S159" s="510"/>
      <c r="T159" s="511"/>
      <c r="U159" s="511"/>
      <c r="V159" s="642">
        <f t="shared" si="7"/>
        <v>2553</v>
      </c>
    </row>
    <row r="160" spans="1:22" ht="18" customHeight="1">
      <c r="A160" s="1265" t="s">
        <v>102</v>
      </c>
      <c r="B160" s="510">
        <v>-30000</v>
      </c>
      <c r="C160" s="510"/>
      <c r="D160" s="510"/>
      <c r="E160" s="510"/>
      <c r="F160" s="510"/>
      <c r="G160" s="510"/>
      <c r="H160" s="510"/>
      <c r="I160" s="510"/>
      <c r="J160" s="510"/>
      <c r="K160" s="1242"/>
      <c r="L160" s="1242"/>
      <c r="M160" s="1242">
        <v>759</v>
      </c>
      <c r="N160" s="1242"/>
      <c r="O160" s="1242"/>
      <c r="P160" s="1242">
        <v>400</v>
      </c>
      <c r="Q160" s="649"/>
      <c r="R160" s="649"/>
      <c r="S160" s="510"/>
      <c r="T160" s="511"/>
      <c r="U160" s="511"/>
      <c r="V160" s="642">
        <f t="shared" si="7"/>
        <v>-28841</v>
      </c>
    </row>
    <row r="161" spans="1:22" ht="18" customHeight="1">
      <c r="A161" s="1265" t="s">
        <v>103</v>
      </c>
      <c r="B161" s="510">
        <v>16000</v>
      </c>
      <c r="C161" s="510"/>
      <c r="D161" s="510"/>
      <c r="E161" s="510"/>
      <c r="F161" s="510"/>
      <c r="G161" s="510"/>
      <c r="H161" s="510"/>
      <c r="I161" s="510"/>
      <c r="J161" s="510">
        <v>-1000</v>
      </c>
      <c r="K161" s="1242"/>
      <c r="L161" s="1242"/>
      <c r="M161" s="1242">
        <v>639</v>
      </c>
      <c r="N161" s="1242"/>
      <c r="O161" s="1242"/>
      <c r="P161" s="1242">
        <v>3850</v>
      </c>
      <c r="Q161" s="649"/>
      <c r="R161" s="649"/>
      <c r="S161" s="510"/>
      <c r="T161" s="511"/>
      <c r="U161" s="511"/>
      <c r="V161" s="642">
        <f t="shared" si="7"/>
        <v>19489</v>
      </c>
    </row>
    <row r="162" spans="1:22" ht="18" customHeight="1">
      <c r="A162" s="1265" t="s">
        <v>818</v>
      </c>
      <c r="B162" s="510">
        <v>7000</v>
      </c>
      <c r="C162" s="510"/>
      <c r="D162" s="510"/>
      <c r="E162" s="510"/>
      <c r="F162" s="510"/>
      <c r="G162" s="510"/>
      <c r="H162" s="510"/>
      <c r="I162" s="510"/>
      <c r="J162" s="510"/>
      <c r="K162" s="1242"/>
      <c r="L162" s="1242"/>
      <c r="M162" s="1242">
        <v>120</v>
      </c>
      <c r="N162" s="1242"/>
      <c r="O162" s="1242"/>
      <c r="P162" s="1242"/>
      <c r="Q162" s="649"/>
      <c r="R162" s="649"/>
      <c r="S162" s="510"/>
      <c r="T162" s="511"/>
      <c r="U162" s="511"/>
      <c r="V162" s="642">
        <f t="shared" si="7"/>
        <v>7120</v>
      </c>
    </row>
    <row r="163" spans="1:22" ht="18" customHeight="1">
      <c r="A163" s="1265" t="s">
        <v>819</v>
      </c>
      <c r="B163" s="510"/>
      <c r="C163" s="510"/>
      <c r="D163" s="510"/>
      <c r="E163" s="510"/>
      <c r="F163" s="510"/>
      <c r="G163" s="510"/>
      <c r="H163" s="510"/>
      <c r="I163" s="510"/>
      <c r="J163" s="510"/>
      <c r="K163" s="1242"/>
      <c r="L163" s="1242"/>
      <c r="M163" s="1242">
        <v>2718</v>
      </c>
      <c r="N163" s="1242"/>
      <c r="O163" s="1242"/>
      <c r="P163" s="1242">
        <v>400</v>
      </c>
      <c r="Q163" s="649"/>
      <c r="R163" s="649"/>
      <c r="S163" s="510"/>
      <c r="T163" s="511"/>
      <c r="U163" s="511"/>
      <c r="V163" s="642">
        <f t="shared" si="7"/>
        <v>3118</v>
      </c>
    </row>
    <row r="164" spans="1:22" ht="18" customHeight="1">
      <c r="A164" s="1265" t="s">
        <v>104</v>
      </c>
      <c r="B164" s="510">
        <v>10000</v>
      </c>
      <c r="C164" s="510"/>
      <c r="D164" s="510"/>
      <c r="E164" s="510"/>
      <c r="F164" s="510"/>
      <c r="G164" s="510"/>
      <c r="H164" s="510"/>
      <c r="I164" s="510"/>
      <c r="J164" s="510"/>
      <c r="K164" s="1242"/>
      <c r="L164" s="1242"/>
      <c r="M164" s="1242">
        <v>1439</v>
      </c>
      <c r="N164" s="1242"/>
      <c r="O164" s="1242"/>
      <c r="P164" s="1242">
        <v>12000</v>
      </c>
      <c r="Q164" s="649"/>
      <c r="R164" s="649"/>
      <c r="S164" s="510"/>
      <c r="T164" s="511"/>
      <c r="U164" s="511"/>
      <c r="V164" s="642">
        <f t="shared" si="7"/>
        <v>23439</v>
      </c>
    </row>
    <row r="165" spans="1:22" ht="18" customHeight="1">
      <c r="A165" s="1265" t="s">
        <v>158</v>
      </c>
      <c r="B165" s="510">
        <v>16000</v>
      </c>
      <c r="C165" s="510"/>
      <c r="D165" s="510"/>
      <c r="E165" s="510"/>
      <c r="F165" s="510"/>
      <c r="G165" s="510"/>
      <c r="H165" s="510"/>
      <c r="I165" s="510"/>
      <c r="J165" s="510"/>
      <c r="K165" s="1242">
        <v>22</v>
      </c>
      <c r="L165" s="1242"/>
      <c r="M165" s="1242">
        <v>2798</v>
      </c>
      <c r="N165" s="1242"/>
      <c r="O165" s="1242">
        <v>25</v>
      </c>
      <c r="P165" s="1242">
        <v>900</v>
      </c>
      <c r="Q165" s="649"/>
      <c r="R165" s="649"/>
      <c r="S165" s="510"/>
      <c r="T165" s="511"/>
      <c r="U165" s="511"/>
      <c r="V165" s="642">
        <f t="shared" si="7"/>
        <v>19745</v>
      </c>
    </row>
    <row r="166" spans="1:22" ht="18" customHeight="1">
      <c r="A166" s="1265" t="s">
        <v>154</v>
      </c>
      <c r="B166" s="510">
        <v>-16000</v>
      </c>
      <c r="C166" s="510"/>
      <c r="D166" s="510"/>
      <c r="E166" s="510"/>
      <c r="F166" s="510"/>
      <c r="G166" s="510"/>
      <c r="H166" s="510"/>
      <c r="I166" s="510"/>
      <c r="J166" s="510">
        <v>-1400</v>
      </c>
      <c r="K166" s="1242">
        <v>187</v>
      </c>
      <c r="L166" s="1242"/>
      <c r="M166" s="1242">
        <v>280</v>
      </c>
      <c r="N166" s="1242"/>
      <c r="O166" s="1242"/>
      <c r="P166" s="1242"/>
      <c r="Q166" s="649"/>
      <c r="R166" s="649"/>
      <c r="S166" s="510"/>
      <c r="T166" s="511"/>
      <c r="U166" s="511"/>
      <c r="V166" s="642">
        <f t="shared" si="7"/>
        <v>-16933</v>
      </c>
    </row>
    <row r="167" spans="1:22" ht="18" customHeight="1">
      <c r="A167" s="1265" t="s">
        <v>105</v>
      </c>
      <c r="B167" s="510">
        <v>-5000</v>
      </c>
      <c r="C167" s="510"/>
      <c r="D167" s="510"/>
      <c r="E167" s="510"/>
      <c r="F167" s="510"/>
      <c r="G167" s="510"/>
      <c r="H167" s="510"/>
      <c r="I167" s="510"/>
      <c r="J167" s="510"/>
      <c r="K167" s="1242"/>
      <c r="L167" s="1242"/>
      <c r="M167" s="1242">
        <v>1319</v>
      </c>
      <c r="N167" s="1242"/>
      <c r="O167" s="1242">
        <v>288</v>
      </c>
      <c r="P167" s="1242">
        <v>2000</v>
      </c>
      <c r="Q167" s="649"/>
      <c r="R167" s="649"/>
      <c r="S167" s="510"/>
      <c r="T167" s="511"/>
      <c r="U167" s="511"/>
      <c r="V167" s="642">
        <f t="shared" si="7"/>
        <v>-1393</v>
      </c>
    </row>
    <row r="168" spans="1:22" ht="18" customHeight="1">
      <c r="A168" s="1265" t="s">
        <v>159</v>
      </c>
      <c r="B168" s="510">
        <v>21000</v>
      </c>
      <c r="C168" s="510"/>
      <c r="D168" s="510"/>
      <c r="E168" s="510"/>
      <c r="F168" s="510"/>
      <c r="G168" s="510"/>
      <c r="H168" s="510"/>
      <c r="I168" s="510"/>
      <c r="J168" s="510"/>
      <c r="K168" s="1242"/>
      <c r="L168" s="1242"/>
      <c r="M168" s="1242">
        <v>2678</v>
      </c>
      <c r="N168" s="1242">
        <v>3569</v>
      </c>
      <c r="O168" s="1242">
        <v>302</v>
      </c>
      <c r="P168" s="1242">
        <v>-1100</v>
      </c>
      <c r="Q168" s="649"/>
      <c r="R168" s="649"/>
      <c r="S168" s="510"/>
      <c r="T168" s="511"/>
      <c r="U168" s="511"/>
      <c r="V168" s="642">
        <f t="shared" si="7"/>
        <v>26449</v>
      </c>
    </row>
    <row r="169" spans="1:22" ht="18" customHeight="1">
      <c r="A169" s="1265" t="s">
        <v>160</v>
      </c>
      <c r="B169" s="510">
        <v>62000</v>
      </c>
      <c r="C169" s="510"/>
      <c r="D169" s="510"/>
      <c r="E169" s="510"/>
      <c r="F169" s="510"/>
      <c r="G169" s="510"/>
      <c r="H169" s="510"/>
      <c r="I169" s="510"/>
      <c r="J169" s="510"/>
      <c r="K169" s="1242">
        <v>500</v>
      </c>
      <c r="L169" s="1242"/>
      <c r="M169" s="1242">
        <v>1998</v>
      </c>
      <c r="N169" s="1242"/>
      <c r="O169" s="1242"/>
      <c r="P169" s="1242">
        <v>2532</v>
      </c>
      <c r="Q169" s="649"/>
      <c r="R169" s="649"/>
      <c r="S169" s="510"/>
      <c r="T169" s="511"/>
      <c r="U169" s="511"/>
      <c r="V169" s="642">
        <f t="shared" si="7"/>
        <v>67030</v>
      </c>
    </row>
    <row r="170" spans="1:22" ht="18" customHeight="1">
      <c r="A170" s="1265" t="s">
        <v>106</v>
      </c>
      <c r="B170" s="510">
        <v>-32000</v>
      </c>
      <c r="C170" s="510"/>
      <c r="D170" s="510"/>
      <c r="E170" s="510"/>
      <c r="F170" s="510"/>
      <c r="G170" s="510"/>
      <c r="H170" s="510"/>
      <c r="I170" s="510"/>
      <c r="J170" s="510">
        <v>-650</v>
      </c>
      <c r="K170" s="1242"/>
      <c r="L170" s="1242"/>
      <c r="M170" s="1242">
        <v>1319</v>
      </c>
      <c r="N170" s="1242"/>
      <c r="O170" s="1242"/>
      <c r="P170" s="1242">
        <v>700</v>
      </c>
      <c r="Q170" s="649"/>
      <c r="R170" s="649"/>
      <c r="S170" s="510"/>
      <c r="T170" s="511"/>
      <c r="U170" s="511"/>
      <c r="V170" s="642">
        <f t="shared" si="7"/>
        <v>-30631</v>
      </c>
    </row>
    <row r="171" spans="1:22" ht="18" customHeight="1">
      <c r="A171" s="1265" t="s">
        <v>820</v>
      </c>
      <c r="B171" s="510">
        <v>28000</v>
      </c>
      <c r="C171" s="510"/>
      <c r="D171" s="510"/>
      <c r="E171" s="510"/>
      <c r="F171" s="510"/>
      <c r="G171" s="510"/>
      <c r="H171" s="510"/>
      <c r="I171" s="510"/>
      <c r="J171" s="510">
        <v>-100</v>
      </c>
      <c r="K171" s="1242"/>
      <c r="L171" s="1242"/>
      <c r="M171" s="1242">
        <v>2718</v>
      </c>
      <c r="N171" s="1242">
        <v>1300</v>
      </c>
      <c r="O171" s="1242"/>
      <c r="P171" s="1242">
        <v>-1100</v>
      </c>
      <c r="Q171" s="649"/>
      <c r="R171" s="649"/>
      <c r="S171" s="510"/>
      <c r="T171" s="511"/>
      <c r="U171" s="511"/>
      <c r="V171" s="642">
        <f t="shared" si="7"/>
        <v>30818</v>
      </c>
    </row>
    <row r="172" spans="1:22" ht="18" customHeight="1">
      <c r="A172" s="1265" t="s">
        <v>107</v>
      </c>
      <c r="B172" s="510">
        <v>64000</v>
      </c>
      <c r="C172" s="510"/>
      <c r="D172" s="510"/>
      <c r="E172" s="510"/>
      <c r="F172" s="510"/>
      <c r="G172" s="510"/>
      <c r="H172" s="510"/>
      <c r="I172" s="510"/>
      <c r="J172" s="510"/>
      <c r="K172" s="1242"/>
      <c r="L172" s="1242">
        <v>100</v>
      </c>
      <c r="M172" s="1242">
        <v>1599</v>
      </c>
      <c r="N172" s="1242"/>
      <c r="O172" s="1242">
        <v>54</v>
      </c>
      <c r="P172" s="1242"/>
      <c r="Q172" s="649"/>
      <c r="R172" s="649"/>
      <c r="S172" s="510"/>
      <c r="T172" s="511"/>
      <c r="U172" s="511"/>
      <c r="V172" s="642">
        <f t="shared" si="7"/>
        <v>65753</v>
      </c>
    </row>
    <row r="173" spans="1:22" ht="18" customHeight="1">
      <c r="A173" s="1265" t="s">
        <v>108</v>
      </c>
      <c r="B173" s="510">
        <v>56000</v>
      </c>
      <c r="C173" s="510"/>
      <c r="D173" s="510"/>
      <c r="E173" s="510"/>
      <c r="F173" s="510"/>
      <c r="G173" s="510"/>
      <c r="H173" s="510"/>
      <c r="I173" s="510"/>
      <c r="J173" s="510"/>
      <c r="K173" s="1242">
        <v>1000</v>
      </c>
      <c r="L173" s="1242"/>
      <c r="M173" s="1242">
        <v>5275</v>
      </c>
      <c r="N173" s="1242"/>
      <c r="O173" s="1242"/>
      <c r="P173" s="1242">
        <v>-500</v>
      </c>
      <c r="Q173" s="649"/>
      <c r="R173" s="649"/>
      <c r="S173" s="510"/>
      <c r="T173" s="511"/>
      <c r="U173" s="511"/>
      <c r="V173" s="642">
        <f t="shared" si="7"/>
        <v>61775</v>
      </c>
    </row>
    <row r="174" spans="1:22" ht="18" customHeight="1">
      <c r="A174" s="1265" t="s">
        <v>109</v>
      </c>
      <c r="B174" s="510"/>
      <c r="C174" s="510"/>
      <c r="D174" s="510"/>
      <c r="E174" s="510"/>
      <c r="F174" s="510"/>
      <c r="G174" s="510"/>
      <c r="H174" s="510"/>
      <c r="I174" s="510"/>
      <c r="J174" s="510"/>
      <c r="K174" s="1242">
        <v>1007</v>
      </c>
      <c r="L174" s="1242"/>
      <c r="M174" s="1242">
        <v>-3000</v>
      </c>
      <c r="N174" s="1242"/>
      <c r="O174" s="1242">
        <v>455</v>
      </c>
      <c r="P174" s="1242">
        <v>10000</v>
      </c>
      <c r="Q174" s="649"/>
      <c r="R174" s="649"/>
      <c r="S174" s="510"/>
      <c r="T174" s="511"/>
      <c r="U174" s="511"/>
      <c r="V174" s="642">
        <f t="shared" si="7"/>
        <v>8462</v>
      </c>
    </row>
    <row r="175" spans="1:22" ht="18" customHeight="1">
      <c r="A175" s="513" t="s">
        <v>110</v>
      </c>
      <c r="B175" s="510">
        <v>11000</v>
      </c>
      <c r="C175" s="510"/>
      <c r="D175" s="510"/>
      <c r="E175" s="510"/>
      <c r="F175" s="510"/>
      <c r="G175" s="510"/>
      <c r="H175" s="510"/>
      <c r="I175" s="510"/>
      <c r="J175" s="510"/>
      <c r="K175" s="1242"/>
      <c r="L175" s="1242"/>
      <c r="M175" s="1242">
        <v>400</v>
      </c>
      <c r="N175" s="1242"/>
      <c r="O175" s="1242"/>
      <c r="P175" s="1242">
        <v>14367</v>
      </c>
      <c r="Q175" s="649"/>
      <c r="R175" s="649"/>
      <c r="S175" s="510"/>
      <c r="T175" s="511"/>
      <c r="U175" s="511"/>
      <c r="V175" s="642">
        <f t="shared" si="7"/>
        <v>25767</v>
      </c>
    </row>
    <row r="176" spans="1:22" ht="18" customHeight="1">
      <c r="A176" s="513" t="s">
        <v>111</v>
      </c>
      <c r="B176" s="510">
        <v>35000</v>
      </c>
      <c r="C176" s="510"/>
      <c r="D176" s="510"/>
      <c r="E176" s="510"/>
      <c r="F176" s="510"/>
      <c r="G176" s="510"/>
      <c r="H176" s="510"/>
      <c r="I176" s="510"/>
      <c r="J176" s="510">
        <v>-2150</v>
      </c>
      <c r="K176" s="1242"/>
      <c r="L176" s="1242"/>
      <c r="M176" s="1242">
        <v>2878</v>
      </c>
      <c r="N176" s="1242"/>
      <c r="O176" s="1242"/>
      <c r="P176" s="1242">
        <v>1255</v>
      </c>
      <c r="Q176" s="649"/>
      <c r="R176" s="649"/>
      <c r="S176" s="510"/>
      <c r="T176" s="511"/>
      <c r="U176" s="511"/>
      <c r="V176" s="642">
        <f t="shared" si="7"/>
        <v>36983</v>
      </c>
    </row>
    <row r="177" spans="1:22" ht="18" customHeight="1">
      <c r="A177" s="513" t="s">
        <v>112</v>
      </c>
      <c r="B177" s="510"/>
      <c r="C177" s="510"/>
      <c r="D177" s="510"/>
      <c r="E177" s="510"/>
      <c r="F177" s="510"/>
      <c r="G177" s="510"/>
      <c r="H177" s="510"/>
      <c r="I177" s="510"/>
      <c r="J177" s="510"/>
      <c r="K177" s="1242"/>
      <c r="L177" s="1242"/>
      <c r="M177" s="1242">
        <v>-2000</v>
      </c>
      <c r="N177" s="1242"/>
      <c r="O177" s="1242"/>
      <c r="P177" s="1242">
        <v>3000</v>
      </c>
      <c r="Q177" s="649"/>
      <c r="R177" s="649"/>
      <c r="S177" s="510"/>
      <c r="T177" s="511"/>
      <c r="U177" s="511"/>
      <c r="V177" s="642">
        <f t="shared" si="7"/>
        <v>1000</v>
      </c>
    </row>
    <row r="178" spans="1:22" ht="18" customHeight="1">
      <c r="A178" s="513" t="s">
        <v>735</v>
      </c>
      <c r="B178" s="510">
        <v>8000</v>
      </c>
      <c r="C178" s="510"/>
      <c r="D178" s="510"/>
      <c r="E178" s="510"/>
      <c r="F178" s="510"/>
      <c r="G178" s="510"/>
      <c r="H178" s="510"/>
      <c r="I178" s="510"/>
      <c r="J178" s="510"/>
      <c r="K178" s="1242"/>
      <c r="L178" s="1242"/>
      <c r="M178" s="1242">
        <v>3877</v>
      </c>
      <c r="N178" s="1242"/>
      <c r="O178" s="1242"/>
      <c r="P178" s="1242">
        <v>1566</v>
      </c>
      <c r="Q178" s="649"/>
      <c r="R178" s="649"/>
      <c r="S178" s="510"/>
      <c r="T178" s="511"/>
      <c r="U178" s="511"/>
      <c r="V178" s="642">
        <f t="shared" si="7"/>
        <v>13443</v>
      </c>
    </row>
    <row r="179" spans="1:22" ht="18" customHeight="1">
      <c r="A179" s="513" t="s">
        <v>113</v>
      </c>
      <c r="B179" s="510">
        <v>-41000</v>
      </c>
      <c r="C179" s="510"/>
      <c r="D179" s="510"/>
      <c r="E179" s="510"/>
      <c r="F179" s="510"/>
      <c r="G179" s="510"/>
      <c r="H179" s="510"/>
      <c r="I179" s="510"/>
      <c r="J179" s="510"/>
      <c r="K179" s="510">
        <v>1900</v>
      </c>
      <c r="L179" s="510"/>
      <c r="M179" s="510">
        <v>799</v>
      </c>
      <c r="N179" s="510"/>
      <c r="O179" s="510"/>
      <c r="P179" s="510"/>
      <c r="Q179" s="649"/>
      <c r="R179" s="649"/>
      <c r="S179" s="510"/>
      <c r="T179" s="511"/>
      <c r="U179" s="511"/>
      <c r="V179" s="642">
        <f t="shared" si="7"/>
        <v>-38301</v>
      </c>
    </row>
    <row r="180" spans="1:22" ht="18" customHeight="1">
      <c r="A180" s="513" t="s">
        <v>155</v>
      </c>
      <c r="B180" s="510">
        <v>21000</v>
      </c>
      <c r="C180" s="510"/>
      <c r="D180" s="510"/>
      <c r="E180" s="510"/>
      <c r="F180" s="510"/>
      <c r="G180" s="510"/>
      <c r="H180" s="510"/>
      <c r="I180" s="510"/>
      <c r="J180" s="510"/>
      <c r="K180" s="510"/>
      <c r="L180" s="510"/>
      <c r="M180" s="510">
        <v>3557</v>
      </c>
      <c r="N180" s="510"/>
      <c r="O180" s="510"/>
      <c r="P180" s="510">
        <v>1679</v>
      </c>
      <c r="Q180" s="649"/>
      <c r="R180" s="649"/>
      <c r="S180" s="510"/>
      <c r="T180" s="511"/>
      <c r="U180" s="511"/>
      <c r="V180" s="642">
        <f t="shared" si="7"/>
        <v>26236</v>
      </c>
    </row>
    <row r="181" spans="1:22" ht="18" customHeight="1">
      <c r="A181" s="513" t="s">
        <v>114</v>
      </c>
      <c r="B181" s="510"/>
      <c r="C181" s="510"/>
      <c r="D181" s="510"/>
      <c r="E181" s="510"/>
      <c r="F181" s="510"/>
      <c r="G181" s="510"/>
      <c r="H181" s="510"/>
      <c r="I181" s="510"/>
      <c r="J181" s="510"/>
      <c r="K181" s="510"/>
      <c r="L181" s="510"/>
      <c r="M181" s="510">
        <v>2917</v>
      </c>
      <c r="N181" s="510"/>
      <c r="O181" s="510"/>
      <c r="P181" s="510">
        <v>300</v>
      </c>
      <c r="Q181" s="649"/>
      <c r="R181" s="649"/>
      <c r="S181" s="510"/>
      <c r="T181" s="511"/>
      <c r="U181" s="511"/>
      <c r="V181" s="642">
        <f t="shared" si="7"/>
        <v>3217</v>
      </c>
    </row>
    <row r="182" spans="1:22" ht="18" customHeight="1">
      <c r="A182" s="513" t="s">
        <v>115</v>
      </c>
      <c r="B182" s="510">
        <v>11000</v>
      </c>
      <c r="C182" s="510"/>
      <c r="D182" s="510"/>
      <c r="E182" s="510"/>
      <c r="F182" s="510"/>
      <c r="G182" s="510"/>
      <c r="H182" s="510"/>
      <c r="I182" s="510"/>
      <c r="J182" s="510"/>
      <c r="K182" s="510">
        <v>1090</v>
      </c>
      <c r="L182" s="510"/>
      <c r="M182" s="510">
        <v>1599</v>
      </c>
      <c r="N182" s="510"/>
      <c r="O182" s="510"/>
      <c r="P182" s="510">
        <v>2906</v>
      </c>
      <c r="Q182" s="649"/>
      <c r="R182" s="649"/>
      <c r="S182" s="510"/>
      <c r="T182" s="511"/>
      <c r="U182" s="511"/>
      <c r="V182" s="642">
        <f t="shared" si="7"/>
        <v>16595</v>
      </c>
    </row>
    <row r="183" spans="1:22" ht="18" customHeight="1">
      <c r="A183" s="1265" t="s">
        <v>116</v>
      </c>
      <c r="B183" s="1242">
        <v>36000</v>
      </c>
      <c r="C183" s="1242"/>
      <c r="D183" s="1242"/>
      <c r="E183" s="1242"/>
      <c r="F183" s="1242"/>
      <c r="G183" s="510"/>
      <c r="H183" s="510"/>
      <c r="I183" s="510"/>
      <c r="J183" s="510"/>
      <c r="K183" s="510"/>
      <c r="L183" s="1242"/>
      <c r="M183" s="1242">
        <v>3197</v>
      </c>
      <c r="N183" s="1242"/>
      <c r="O183" s="1242"/>
      <c r="P183" s="510"/>
      <c r="Q183" s="649"/>
      <c r="R183" s="649"/>
      <c r="S183" s="510"/>
      <c r="T183" s="511"/>
      <c r="U183" s="511"/>
      <c r="V183" s="642">
        <f t="shared" si="7"/>
        <v>39197</v>
      </c>
    </row>
    <row r="184" spans="1:22" ht="18" customHeight="1">
      <c r="A184" s="1265" t="s">
        <v>117</v>
      </c>
      <c r="B184" s="1242">
        <v>30000</v>
      </c>
      <c r="C184" s="1242"/>
      <c r="D184" s="1242"/>
      <c r="E184" s="1242"/>
      <c r="F184" s="1242"/>
      <c r="G184" s="510"/>
      <c r="H184" s="510"/>
      <c r="I184" s="510"/>
      <c r="J184" s="510"/>
      <c r="K184" s="510"/>
      <c r="L184" s="1242"/>
      <c r="M184" s="1242">
        <v>1798</v>
      </c>
      <c r="N184" s="1242"/>
      <c r="O184" s="1242"/>
      <c r="P184" s="510">
        <v>-3000</v>
      </c>
      <c r="Q184" s="649"/>
      <c r="R184" s="649"/>
      <c r="S184" s="510"/>
      <c r="T184" s="511"/>
      <c r="U184" s="511"/>
      <c r="V184" s="642">
        <f t="shared" si="7"/>
        <v>28798</v>
      </c>
    </row>
    <row r="185" spans="1:22" ht="18" customHeight="1">
      <c r="A185" s="1265" t="s">
        <v>118</v>
      </c>
      <c r="B185" s="1242">
        <v>-3000</v>
      </c>
      <c r="C185" s="1242"/>
      <c r="D185" s="1242"/>
      <c r="E185" s="1242"/>
      <c r="F185" s="1242"/>
      <c r="G185" s="510"/>
      <c r="H185" s="510"/>
      <c r="I185" s="510"/>
      <c r="J185" s="510"/>
      <c r="K185" s="510"/>
      <c r="L185" s="1242"/>
      <c r="M185" s="1242"/>
      <c r="N185" s="1242"/>
      <c r="O185" s="1242"/>
      <c r="P185" s="510">
        <v>400</v>
      </c>
      <c r="Q185" s="649"/>
      <c r="R185" s="649"/>
      <c r="S185" s="510"/>
      <c r="T185" s="511"/>
      <c r="U185" s="511"/>
      <c r="V185" s="642">
        <f t="shared" si="7"/>
        <v>-2600</v>
      </c>
    </row>
    <row r="186" spans="1:22" ht="18" customHeight="1">
      <c r="A186" s="1265" t="s">
        <v>191</v>
      </c>
      <c r="B186" s="1242">
        <v>19000</v>
      </c>
      <c r="C186" s="1242"/>
      <c r="D186" s="1242"/>
      <c r="E186" s="1242"/>
      <c r="F186" s="1242"/>
      <c r="G186" s="510"/>
      <c r="H186" s="510"/>
      <c r="I186" s="510"/>
      <c r="J186" s="510"/>
      <c r="K186" s="510"/>
      <c r="L186" s="1242"/>
      <c r="M186" s="1242">
        <v>1599</v>
      </c>
      <c r="N186" s="1242">
        <v>5000</v>
      </c>
      <c r="O186" s="1242"/>
      <c r="P186" s="510"/>
      <c r="Q186" s="510"/>
      <c r="R186" s="510"/>
      <c r="S186" s="510"/>
      <c r="T186" s="511"/>
      <c r="U186" s="511"/>
      <c r="V186" s="642">
        <f t="shared" si="7"/>
        <v>25599</v>
      </c>
    </row>
    <row r="187" spans="1:22" ht="18" customHeight="1">
      <c r="A187" s="1265" t="s">
        <v>119</v>
      </c>
      <c r="B187" s="1242">
        <v>32000</v>
      </c>
      <c r="C187" s="1242"/>
      <c r="D187" s="1242"/>
      <c r="E187" s="1242"/>
      <c r="F187" s="1242"/>
      <c r="G187" s="510"/>
      <c r="H187" s="510"/>
      <c r="I187" s="510"/>
      <c r="J187" s="510"/>
      <c r="K187" s="510"/>
      <c r="L187" s="1242"/>
      <c r="M187" s="1242">
        <v>1599</v>
      </c>
      <c r="N187" s="1242"/>
      <c r="O187" s="1242"/>
      <c r="P187" s="510">
        <v>400</v>
      </c>
      <c r="Q187" s="510"/>
      <c r="R187" s="510"/>
      <c r="S187" s="510"/>
      <c r="T187" s="511"/>
      <c r="U187" s="511"/>
      <c r="V187" s="642">
        <f t="shared" si="7"/>
        <v>33999</v>
      </c>
    </row>
    <row r="188" spans="1:22" ht="18" customHeight="1">
      <c r="A188" s="1265" t="s">
        <v>120</v>
      </c>
      <c r="B188" s="1242">
        <v>-2000</v>
      </c>
      <c r="C188" s="1242"/>
      <c r="D188" s="1242"/>
      <c r="E188" s="1242"/>
      <c r="F188" s="1242"/>
      <c r="G188" s="510"/>
      <c r="H188" s="510"/>
      <c r="I188" s="510"/>
      <c r="J188" s="510"/>
      <c r="K188" s="510"/>
      <c r="L188" s="1242"/>
      <c r="M188" s="1242"/>
      <c r="N188" s="1242"/>
      <c r="O188" s="1242"/>
      <c r="P188" s="510">
        <v>1900</v>
      </c>
      <c r="Q188" s="649"/>
      <c r="R188" s="649"/>
      <c r="S188" s="510"/>
      <c r="T188" s="511"/>
      <c r="U188" s="511"/>
      <c r="V188" s="642">
        <f t="shared" si="7"/>
        <v>-100</v>
      </c>
    </row>
    <row r="189" spans="1:22" ht="18" customHeight="1" thickBot="1">
      <c r="A189" s="1265" t="s">
        <v>121</v>
      </c>
      <c r="B189" s="1242">
        <v>33000</v>
      </c>
      <c r="C189" s="1242"/>
      <c r="D189" s="1242"/>
      <c r="E189" s="1242"/>
      <c r="F189" s="1242"/>
      <c r="G189" s="510"/>
      <c r="H189" s="510"/>
      <c r="I189" s="510"/>
      <c r="J189" s="510"/>
      <c r="K189" s="510"/>
      <c r="L189" s="510"/>
      <c r="M189" s="510"/>
      <c r="N189" s="510"/>
      <c r="O189" s="510"/>
      <c r="P189" s="510">
        <v>700</v>
      </c>
      <c r="Q189" s="649"/>
      <c r="R189" s="649"/>
      <c r="S189" s="510"/>
      <c r="T189" s="511"/>
      <c r="U189" s="511"/>
      <c r="V189" s="642">
        <f t="shared" si="7"/>
        <v>33700</v>
      </c>
    </row>
    <row r="190" spans="1:22" s="497" customFormat="1" ht="26.25" thickBot="1">
      <c r="A190" s="1341" t="s">
        <v>214</v>
      </c>
      <c r="B190" s="1352">
        <f>SUM(B191:B192)</f>
        <v>49000</v>
      </c>
      <c r="C190" s="1352"/>
      <c r="D190" s="1352"/>
      <c r="E190" s="1352">
        <f>SUM(E191:E192)</f>
        <v>27860</v>
      </c>
      <c r="F190" s="1352">
        <f>SUM(F191:F192)</f>
        <v>1400</v>
      </c>
      <c r="G190" s="650"/>
      <c r="H190" s="650"/>
      <c r="I190" s="650"/>
      <c r="J190" s="650"/>
      <c r="K190" s="650"/>
      <c r="L190" s="650"/>
      <c r="M190" s="650">
        <f>SUM(M191:M192)</f>
        <v>-100</v>
      </c>
      <c r="N190" s="650"/>
      <c r="O190" s="650"/>
      <c r="P190" s="650"/>
      <c r="Q190" s="650"/>
      <c r="R190" s="650"/>
      <c r="S190" s="650"/>
      <c r="T190" s="650"/>
      <c r="U190" s="650"/>
      <c r="V190" s="651">
        <f t="shared" si="7"/>
        <v>78160</v>
      </c>
    </row>
    <row r="191" spans="1:22" s="975" customFormat="1" ht="18" customHeight="1">
      <c r="A191" s="1353" t="s">
        <v>215</v>
      </c>
      <c r="B191" s="1354">
        <v>60000</v>
      </c>
      <c r="C191" s="1354"/>
      <c r="D191" s="1354"/>
      <c r="E191" s="1354">
        <v>28500</v>
      </c>
      <c r="F191" s="1354">
        <v>1800</v>
      </c>
      <c r="G191" s="1250"/>
      <c r="H191" s="1250"/>
      <c r="I191" s="1250"/>
      <c r="J191" s="1250"/>
      <c r="K191" s="1250"/>
      <c r="L191" s="1250"/>
      <c r="M191" s="1250"/>
      <c r="N191" s="1250"/>
      <c r="O191" s="1250"/>
      <c r="P191" s="1250"/>
      <c r="Q191" s="1250"/>
      <c r="R191" s="1250"/>
      <c r="S191" s="1250"/>
      <c r="T191" s="1251"/>
      <c r="U191" s="1251"/>
      <c r="V191" s="1252">
        <f t="shared" si="7"/>
        <v>90300</v>
      </c>
    </row>
    <row r="192" spans="1:22" s="975" customFormat="1" ht="39" thickBot="1">
      <c r="A192" s="1355" t="s">
        <v>259</v>
      </c>
      <c r="B192" s="1356">
        <v>-11000</v>
      </c>
      <c r="C192" s="1356"/>
      <c r="D192" s="1356"/>
      <c r="E192" s="1356">
        <v>-640</v>
      </c>
      <c r="F192" s="1356">
        <v>-400</v>
      </c>
      <c r="G192" s="1253"/>
      <c r="H192" s="1253"/>
      <c r="I192" s="1253"/>
      <c r="J192" s="1253"/>
      <c r="K192" s="1253"/>
      <c r="L192" s="1253"/>
      <c r="M192" s="1253">
        <v>-100</v>
      </c>
      <c r="N192" s="1253"/>
      <c r="O192" s="1253"/>
      <c r="P192" s="1253"/>
      <c r="Q192" s="1253"/>
      <c r="R192" s="1253"/>
      <c r="S192" s="1253"/>
      <c r="T192" s="1254"/>
      <c r="U192" s="1254"/>
      <c r="V192" s="929">
        <f t="shared" si="7"/>
        <v>-12140</v>
      </c>
    </row>
    <row r="193" spans="1:22" s="497" customFormat="1" ht="18" customHeight="1" thickBot="1">
      <c r="A193" s="1341" t="s">
        <v>439</v>
      </c>
      <c r="B193" s="1352">
        <f>SUM(B194:B212)</f>
        <v>1275440</v>
      </c>
      <c r="C193" s="1352"/>
      <c r="D193" s="1352"/>
      <c r="E193" s="1352">
        <f aca="true" t="shared" si="8" ref="E193:P193">SUM(E194:E212)</f>
        <v>229830</v>
      </c>
      <c r="F193" s="1352">
        <f t="shared" si="8"/>
        <v>37420</v>
      </c>
      <c r="G193" s="650"/>
      <c r="H193" s="650"/>
      <c r="I193" s="650"/>
      <c r="J193" s="650">
        <f t="shared" si="8"/>
        <v>1800</v>
      </c>
      <c r="K193" s="650"/>
      <c r="L193" s="650"/>
      <c r="M193" s="650">
        <f t="shared" si="8"/>
        <v>43900</v>
      </c>
      <c r="N193" s="650">
        <f t="shared" si="8"/>
        <v>125650</v>
      </c>
      <c r="O193" s="650"/>
      <c r="P193" s="650">
        <f t="shared" si="8"/>
        <v>8000</v>
      </c>
      <c r="Q193" s="650"/>
      <c r="R193" s="650"/>
      <c r="S193" s="650"/>
      <c r="T193" s="650"/>
      <c r="U193" s="650"/>
      <c r="V193" s="651">
        <f t="shared" si="7"/>
        <v>1722040</v>
      </c>
    </row>
    <row r="194" spans="1:22" s="975" customFormat="1" ht="18" customHeight="1">
      <c r="A194" s="1353" t="s">
        <v>576</v>
      </c>
      <c r="B194" s="1357">
        <v>210000</v>
      </c>
      <c r="C194" s="1357"/>
      <c r="D194" s="1357"/>
      <c r="E194" s="1357">
        <v>37000</v>
      </c>
      <c r="F194" s="1357">
        <v>5100</v>
      </c>
      <c r="G194" s="976"/>
      <c r="H194" s="976"/>
      <c r="I194" s="976"/>
      <c r="J194" s="976"/>
      <c r="K194" s="976"/>
      <c r="L194" s="976"/>
      <c r="M194" s="976">
        <v>12000</v>
      </c>
      <c r="N194" s="976"/>
      <c r="O194" s="976"/>
      <c r="P194" s="976">
        <v>8000</v>
      </c>
      <c r="Q194" s="976"/>
      <c r="R194" s="976"/>
      <c r="S194" s="976"/>
      <c r="T194" s="977"/>
      <c r="U194" s="977"/>
      <c r="V194" s="978">
        <f t="shared" si="7"/>
        <v>272100</v>
      </c>
    </row>
    <row r="195" spans="1:22" s="975" customFormat="1" ht="18" customHeight="1">
      <c r="A195" s="1346" t="s">
        <v>577</v>
      </c>
      <c r="B195" s="1323">
        <v>9000</v>
      </c>
      <c r="C195" s="1323"/>
      <c r="D195" s="1323"/>
      <c r="E195" s="1323"/>
      <c r="F195" s="1323"/>
      <c r="G195" s="796"/>
      <c r="H195" s="796"/>
      <c r="I195" s="796"/>
      <c r="J195" s="796">
        <v>1800</v>
      </c>
      <c r="K195" s="796"/>
      <c r="L195" s="1323"/>
      <c r="M195" s="1323">
        <v>2500</v>
      </c>
      <c r="N195" s="1323">
        <v>650</v>
      </c>
      <c r="O195" s="1323"/>
      <c r="P195" s="1323"/>
      <c r="Q195" s="1323"/>
      <c r="R195" s="796"/>
      <c r="S195" s="796"/>
      <c r="T195" s="974"/>
      <c r="U195" s="974"/>
      <c r="V195" s="926">
        <f t="shared" si="7"/>
        <v>13950</v>
      </c>
    </row>
    <row r="196" spans="1:22" s="514" customFormat="1" ht="18" customHeight="1">
      <c r="A196" s="1326" t="s">
        <v>578</v>
      </c>
      <c r="B196" s="1242">
        <v>83000</v>
      </c>
      <c r="C196" s="1242"/>
      <c r="D196" s="1242"/>
      <c r="E196" s="1242">
        <v>10000</v>
      </c>
      <c r="F196" s="1242">
        <v>2000</v>
      </c>
      <c r="G196" s="510"/>
      <c r="H196" s="510"/>
      <c r="I196" s="510"/>
      <c r="J196" s="510"/>
      <c r="K196" s="510"/>
      <c r="L196" s="1242"/>
      <c r="M196" s="1242"/>
      <c r="N196" s="1242"/>
      <c r="O196" s="1242"/>
      <c r="P196" s="1242"/>
      <c r="Q196" s="1242"/>
      <c r="R196" s="510"/>
      <c r="S196" s="510"/>
      <c r="T196" s="511"/>
      <c r="U196" s="511"/>
      <c r="V196" s="642">
        <f t="shared" si="7"/>
        <v>95000</v>
      </c>
    </row>
    <row r="197" spans="1:22" s="514" customFormat="1" ht="25.5">
      <c r="A197" s="1326" t="s">
        <v>216</v>
      </c>
      <c r="B197" s="1242">
        <v>3000</v>
      </c>
      <c r="C197" s="1242"/>
      <c r="D197" s="1242"/>
      <c r="E197" s="1242">
        <v>-1200</v>
      </c>
      <c r="F197" s="1242"/>
      <c r="G197" s="510"/>
      <c r="H197" s="510"/>
      <c r="I197" s="510"/>
      <c r="J197" s="510"/>
      <c r="K197" s="510"/>
      <c r="L197" s="1242"/>
      <c r="M197" s="1242"/>
      <c r="N197" s="1242"/>
      <c r="O197" s="1242"/>
      <c r="P197" s="1242"/>
      <c r="Q197" s="1242"/>
      <c r="R197" s="510"/>
      <c r="S197" s="510"/>
      <c r="T197" s="511"/>
      <c r="U197" s="511"/>
      <c r="V197" s="642">
        <f t="shared" si="7"/>
        <v>1800</v>
      </c>
    </row>
    <row r="198" spans="1:22" s="514" customFormat="1" ht="19.5" customHeight="1">
      <c r="A198" s="1326" t="s">
        <v>579</v>
      </c>
      <c r="B198" s="1242">
        <v>230000</v>
      </c>
      <c r="C198" s="1242"/>
      <c r="D198" s="1242"/>
      <c r="E198" s="1242">
        <v>31300</v>
      </c>
      <c r="F198" s="1242">
        <v>3200</v>
      </c>
      <c r="G198" s="510"/>
      <c r="H198" s="510"/>
      <c r="I198" s="510"/>
      <c r="J198" s="510"/>
      <c r="K198" s="510"/>
      <c r="L198" s="1242"/>
      <c r="M198" s="1242">
        <v>13000</v>
      </c>
      <c r="N198" s="1242"/>
      <c r="O198" s="1242"/>
      <c r="P198" s="1242"/>
      <c r="Q198" s="1242"/>
      <c r="R198" s="510"/>
      <c r="S198" s="510"/>
      <c r="T198" s="511"/>
      <c r="U198" s="511"/>
      <c r="V198" s="642">
        <f t="shared" si="7"/>
        <v>277500</v>
      </c>
    </row>
    <row r="199" spans="1:22" s="514" customFormat="1" ht="25.5">
      <c r="A199" s="1326" t="s">
        <v>260</v>
      </c>
      <c r="B199" s="510">
        <v>-100000</v>
      </c>
      <c r="C199" s="510"/>
      <c r="D199" s="510"/>
      <c r="E199" s="510">
        <v>-14000</v>
      </c>
      <c r="F199" s="510"/>
      <c r="G199" s="510"/>
      <c r="H199" s="510"/>
      <c r="I199" s="510"/>
      <c r="J199" s="510"/>
      <c r="K199" s="510"/>
      <c r="L199" s="1242"/>
      <c r="M199" s="1242"/>
      <c r="N199" s="1242"/>
      <c r="O199" s="1242"/>
      <c r="P199" s="1242"/>
      <c r="Q199" s="1242"/>
      <c r="R199" s="510"/>
      <c r="S199" s="510"/>
      <c r="T199" s="511"/>
      <c r="U199" s="511"/>
      <c r="V199" s="642">
        <f t="shared" si="7"/>
        <v>-114000</v>
      </c>
    </row>
    <row r="200" spans="1:22" s="514" customFormat="1" ht="19.5" customHeight="1">
      <c r="A200" s="1326" t="s">
        <v>580</v>
      </c>
      <c r="B200" s="510"/>
      <c r="C200" s="510"/>
      <c r="D200" s="510"/>
      <c r="E200" s="510">
        <v>10000</v>
      </c>
      <c r="F200" s="510"/>
      <c r="G200" s="510"/>
      <c r="H200" s="510"/>
      <c r="I200" s="510"/>
      <c r="J200" s="510"/>
      <c r="K200" s="510"/>
      <c r="L200" s="1242"/>
      <c r="M200" s="1242">
        <v>2000</v>
      </c>
      <c r="N200" s="1242"/>
      <c r="O200" s="1242"/>
      <c r="P200" s="1242"/>
      <c r="Q200" s="1242"/>
      <c r="R200" s="510"/>
      <c r="S200" s="510"/>
      <c r="T200" s="511"/>
      <c r="U200" s="511"/>
      <c r="V200" s="642">
        <f t="shared" si="7"/>
        <v>12000</v>
      </c>
    </row>
    <row r="201" spans="1:22" s="514" customFormat="1" ht="18" customHeight="1">
      <c r="A201" s="1326" t="s">
        <v>581</v>
      </c>
      <c r="B201" s="510">
        <v>90000</v>
      </c>
      <c r="C201" s="510"/>
      <c r="D201" s="510"/>
      <c r="E201" s="510">
        <v>15000</v>
      </c>
      <c r="F201" s="510"/>
      <c r="G201" s="510"/>
      <c r="H201" s="510"/>
      <c r="I201" s="510"/>
      <c r="J201" s="510"/>
      <c r="K201" s="510"/>
      <c r="L201" s="1242"/>
      <c r="M201" s="1242">
        <v>10000</v>
      </c>
      <c r="N201" s="1242">
        <v>30000</v>
      </c>
      <c r="O201" s="1242"/>
      <c r="P201" s="1242"/>
      <c r="Q201" s="1242"/>
      <c r="R201" s="510"/>
      <c r="S201" s="510"/>
      <c r="T201" s="511"/>
      <c r="U201" s="511"/>
      <c r="V201" s="642">
        <f t="shared" si="7"/>
        <v>145000</v>
      </c>
    </row>
    <row r="202" spans="1:22" s="514" customFormat="1" ht="18" customHeight="1">
      <c r="A202" s="1326" t="s">
        <v>582</v>
      </c>
      <c r="B202" s="510">
        <v>93940</v>
      </c>
      <c r="C202" s="510"/>
      <c r="D202" s="510"/>
      <c r="E202" s="510">
        <v>20000</v>
      </c>
      <c r="F202" s="510">
        <v>3500</v>
      </c>
      <c r="G202" s="510"/>
      <c r="H202" s="510"/>
      <c r="I202" s="510"/>
      <c r="J202" s="510"/>
      <c r="K202" s="510"/>
      <c r="L202" s="1242"/>
      <c r="M202" s="1242"/>
      <c r="N202" s="1242"/>
      <c r="O202" s="1242"/>
      <c r="P202" s="1242"/>
      <c r="Q202" s="1242"/>
      <c r="R202" s="510"/>
      <c r="S202" s="510"/>
      <c r="T202" s="511"/>
      <c r="U202" s="511"/>
      <c r="V202" s="642">
        <f t="shared" si="7"/>
        <v>117440</v>
      </c>
    </row>
    <row r="203" spans="1:22" s="514" customFormat="1" ht="18" customHeight="1">
      <c r="A203" s="1326" t="s">
        <v>583</v>
      </c>
      <c r="B203" s="510">
        <v>93000</v>
      </c>
      <c r="C203" s="510"/>
      <c r="D203" s="510"/>
      <c r="E203" s="510">
        <v>18870</v>
      </c>
      <c r="F203" s="510">
        <v>2800</v>
      </c>
      <c r="G203" s="510"/>
      <c r="H203" s="510"/>
      <c r="I203" s="510"/>
      <c r="J203" s="510"/>
      <c r="K203" s="510"/>
      <c r="L203" s="1242"/>
      <c r="M203" s="1242"/>
      <c r="N203" s="1242"/>
      <c r="O203" s="1242"/>
      <c r="P203" s="1242"/>
      <c r="Q203" s="1242"/>
      <c r="R203" s="510"/>
      <c r="S203" s="510"/>
      <c r="T203" s="511"/>
      <c r="U203" s="511"/>
      <c r="V203" s="642">
        <f t="shared" si="7"/>
        <v>114670</v>
      </c>
    </row>
    <row r="204" spans="1:22" s="514" customFormat="1" ht="18" customHeight="1">
      <c r="A204" s="1326" t="s">
        <v>584</v>
      </c>
      <c r="B204" s="510">
        <v>43000</v>
      </c>
      <c r="C204" s="510"/>
      <c r="D204" s="510"/>
      <c r="E204" s="510">
        <v>7500</v>
      </c>
      <c r="F204" s="510">
        <v>3000</v>
      </c>
      <c r="G204" s="510"/>
      <c r="H204" s="510"/>
      <c r="I204" s="510"/>
      <c r="J204" s="510"/>
      <c r="K204" s="510"/>
      <c r="L204" s="1242"/>
      <c r="M204" s="1242"/>
      <c r="N204" s="1242">
        <v>95000</v>
      </c>
      <c r="O204" s="1242"/>
      <c r="P204" s="1242"/>
      <c r="Q204" s="1242"/>
      <c r="R204" s="510"/>
      <c r="S204" s="510"/>
      <c r="T204" s="511"/>
      <c r="U204" s="511"/>
      <c r="V204" s="642">
        <f t="shared" si="7"/>
        <v>148500</v>
      </c>
    </row>
    <row r="205" spans="1:22" s="514" customFormat="1" ht="18" customHeight="1">
      <c r="A205" s="1326" t="s">
        <v>282</v>
      </c>
      <c r="B205" s="123">
        <v>-17000</v>
      </c>
      <c r="C205" s="123"/>
      <c r="D205" s="123"/>
      <c r="E205" s="123">
        <v>-3000</v>
      </c>
      <c r="F205" s="123"/>
      <c r="G205" s="123"/>
      <c r="H205" s="123"/>
      <c r="I205" s="123"/>
      <c r="J205" s="123"/>
      <c r="K205" s="123"/>
      <c r="L205" s="1241"/>
      <c r="M205" s="1241"/>
      <c r="N205" s="1241"/>
      <c r="O205" s="1241"/>
      <c r="P205" s="1241"/>
      <c r="Q205" s="1241"/>
      <c r="R205" s="123"/>
      <c r="S205" s="123"/>
      <c r="T205" s="979"/>
      <c r="U205" s="979"/>
      <c r="V205" s="642">
        <f aca="true" t="shared" si="9" ref="V205:V268">SUM(B205:U205)</f>
        <v>-20000</v>
      </c>
    </row>
    <row r="206" spans="1:22" s="514" customFormat="1" ht="18" customHeight="1">
      <c r="A206" s="1326" t="s">
        <v>440</v>
      </c>
      <c r="B206" s="510">
        <v>-2500</v>
      </c>
      <c r="C206" s="510"/>
      <c r="D206" s="510"/>
      <c r="E206" s="510"/>
      <c r="F206" s="510"/>
      <c r="G206" s="510"/>
      <c r="H206" s="510"/>
      <c r="I206" s="510"/>
      <c r="J206" s="510"/>
      <c r="K206" s="510"/>
      <c r="L206" s="1242"/>
      <c r="M206" s="1242">
        <v>900</v>
      </c>
      <c r="N206" s="1242"/>
      <c r="O206" s="1242"/>
      <c r="P206" s="1242"/>
      <c r="Q206" s="1242"/>
      <c r="R206" s="510"/>
      <c r="S206" s="510"/>
      <c r="T206" s="511"/>
      <c r="U206" s="511"/>
      <c r="V206" s="642">
        <f t="shared" si="9"/>
        <v>-1600</v>
      </c>
    </row>
    <row r="207" spans="1:22" s="514" customFormat="1" ht="18" customHeight="1">
      <c r="A207" s="1326" t="s">
        <v>441</v>
      </c>
      <c r="B207" s="510">
        <v>193000</v>
      </c>
      <c r="C207" s="510"/>
      <c r="D207" s="510"/>
      <c r="E207" s="510">
        <v>30000</v>
      </c>
      <c r="F207" s="510">
        <v>10000</v>
      </c>
      <c r="G207" s="510"/>
      <c r="H207" s="510"/>
      <c r="I207" s="510"/>
      <c r="J207" s="510"/>
      <c r="K207" s="510"/>
      <c r="L207" s="1242"/>
      <c r="M207" s="1242"/>
      <c r="N207" s="1242"/>
      <c r="O207" s="1242"/>
      <c r="P207" s="1242"/>
      <c r="Q207" s="1242"/>
      <c r="R207" s="510"/>
      <c r="S207" s="510"/>
      <c r="T207" s="511"/>
      <c r="U207" s="511"/>
      <c r="V207" s="642">
        <f t="shared" si="9"/>
        <v>233000</v>
      </c>
    </row>
    <row r="208" spans="1:22" s="514" customFormat="1" ht="18" customHeight="1">
      <c r="A208" s="1326" t="s">
        <v>585</v>
      </c>
      <c r="B208" s="510">
        <v>177000</v>
      </c>
      <c r="C208" s="510"/>
      <c r="D208" s="510"/>
      <c r="E208" s="510">
        <v>34660</v>
      </c>
      <c r="F208" s="510">
        <v>6000</v>
      </c>
      <c r="G208" s="510"/>
      <c r="H208" s="510"/>
      <c r="I208" s="510"/>
      <c r="J208" s="510"/>
      <c r="K208" s="510"/>
      <c r="L208" s="1242"/>
      <c r="M208" s="1242"/>
      <c r="N208" s="1242"/>
      <c r="O208" s="1242"/>
      <c r="P208" s="1242"/>
      <c r="Q208" s="1242"/>
      <c r="R208" s="510"/>
      <c r="S208" s="510"/>
      <c r="T208" s="511"/>
      <c r="U208" s="511"/>
      <c r="V208" s="642">
        <f t="shared" si="9"/>
        <v>217660</v>
      </c>
    </row>
    <row r="209" spans="1:22" s="514" customFormat="1" ht="18" customHeight="1">
      <c r="A209" s="1326" t="s">
        <v>448</v>
      </c>
      <c r="B209" s="510">
        <v>-15000</v>
      </c>
      <c r="C209" s="510"/>
      <c r="D209" s="510"/>
      <c r="E209" s="510">
        <v>-8000</v>
      </c>
      <c r="F209" s="510"/>
      <c r="G209" s="510"/>
      <c r="H209" s="510"/>
      <c r="I209" s="510"/>
      <c r="J209" s="510"/>
      <c r="K209" s="510"/>
      <c r="L209" s="1242"/>
      <c r="M209" s="1242"/>
      <c r="N209" s="1242"/>
      <c r="O209" s="1242"/>
      <c r="P209" s="1242"/>
      <c r="Q209" s="1242"/>
      <c r="R209" s="510"/>
      <c r="S209" s="510"/>
      <c r="T209" s="511"/>
      <c r="U209" s="511"/>
      <c r="V209" s="642">
        <f t="shared" si="9"/>
        <v>-23000</v>
      </c>
    </row>
    <row r="210" spans="1:22" s="514" customFormat="1" ht="18" customHeight="1">
      <c r="A210" s="1326" t="s">
        <v>586</v>
      </c>
      <c r="B210" s="510">
        <v>124000</v>
      </c>
      <c r="C210" s="510"/>
      <c r="D210" s="510"/>
      <c r="E210" s="510">
        <v>25800</v>
      </c>
      <c r="F210" s="510">
        <v>720</v>
      </c>
      <c r="G210" s="510"/>
      <c r="H210" s="510"/>
      <c r="I210" s="510"/>
      <c r="J210" s="510"/>
      <c r="K210" s="510"/>
      <c r="L210" s="1242"/>
      <c r="M210" s="1242"/>
      <c r="N210" s="1242"/>
      <c r="O210" s="1242"/>
      <c r="P210" s="1242"/>
      <c r="Q210" s="1242"/>
      <c r="R210" s="510"/>
      <c r="S210" s="510"/>
      <c r="T210" s="511"/>
      <c r="U210" s="511"/>
      <c r="V210" s="642">
        <f t="shared" si="9"/>
        <v>150520</v>
      </c>
    </row>
    <row r="211" spans="1:22" s="514" customFormat="1" ht="18" customHeight="1">
      <c r="A211" s="1326" t="s">
        <v>587</v>
      </c>
      <c r="B211" s="510">
        <v>101000</v>
      </c>
      <c r="C211" s="510"/>
      <c r="D211" s="510"/>
      <c r="E211" s="510">
        <v>15900</v>
      </c>
      <c r="F211" s="510">
        <v>1100</v>
      </c>
      <c r="G211" s="510"/>
      <c r="H211" s="510"/>
      <c r="I211" s="510"/>
      <c r="J211" s="510"/>
      <c r="K211" s="510"/>
      <c r="L211" s="510"/>
      <c r="M211" s="510">
        <v>3500</v>
      </c>
      <c r="N211" s="1242"/>
      <c r="O211" s="510"/>
      <c r="P211" s="510"/>
      <c r="Q211" s="510"/>
      <c r="R211" s="510"/>
      <c r="S211" s="510"/>
      <c r="T211" s="511"/>
      <c r="U211" s="511"/>
      <c r="V211" s="642">
        <f t="shared" si="9"/>
        <v>121500</v>
      </c>
    </row>
    <row r="212" spans="1:22" s="514" customFormat="1" ht="18" customHeight="1" thickBot="1">
      <c r="A212" s="1326" t="s">
        <v>261</v>
      </c>
      <c r="B212" s="123">
        <v>-40000</v>
      </c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41"/>
      <c r="O212" s="123"/>
      <c r="P212" s="123"/>
      <c r="Q212" s="123"/>
      <c r="R212" s="123"/>
      <c r="S212" s="123"/>
      <c r="T212" s="979"/>
      <c r="U212" s="979"/>
      <c r="V212" s="926">
        <f t="shared" si="9"/>
        <v>-40000</v>
      </c>
    </row>
    <row r="213" spans="1:22" s="514" customFormat="1" ht="30" customHeight="1" thickBot="1">
      <c r="A213" s="1341" t="s">
        <v>217</v>
      </c>
      <c r="B213" s="651">
        <f>SUM(B214:B217)</f>
        <v>59400</v>
      </c>
      <c r="C213" s="651"/>
      <c r="D213" s="651"/>
      <c r="E213" s="651">
        <f>SUM(E214:E217)</f>
        <v>18300</v>
      </c>
      <c r="F213" s="651">
        <f>SUM(F214:F217)</f>
        <v>800</v>
      </c>
      <c r="G213" s="651"/>
      <c r="H213" s="651"/>
      <c r="I213" s="651"/>
      <c r="J213" s="651"/>
      <c r="K213" s="651"/>
      <c r="L213" s="651"/>
      <c r="M213" s="651">
        <f>SUM(M214:M217)</f>
        <v>8000</v>
      </c>
      <c r="N213" s="651"/>
      <c r="O213" s="651"/>
      <c r="P213" s="651"/>
      <c r="Q213" s="651"/>
      <c r="R213" s="651"/>
      <c r="S213" s="651"/>
      <c r="T213" s="651"/>
      <c r="U213" s="651"/>
      <c r="V213" s="651">
        <f t="shared" si="9"/>
        <v>86500</v>
      </c>
    </row>
    <row r="214" spans="1:22" s="514" customFormat="1" ht="19.5" customHeight="1">
      <c r="A214" s="1325" t="s">
        <v>218</v>
      </c>
      <c r="B214" s="652"/>
      <c r="C214" s="652"/>
      <c r="D214" s="652"/>
      <c r="E214" s="652"/>
      <c r="F214" s="652"/>
      <c r="G214" s="652"/>
      <c r="H214" s="652"/>
      <c r="I214" s="652"/>
      <c r="J214" s="652"/>
      <c r="K214" s="652"/>
      <c r="L214" s="652"/>
      <c r="M214" s="652">
        <v>7000</v>
      </c>
      <c r="N214" s="652"/>
      <c r="O214" s="652"/>
      <c r="P214" s="652"/>
      <c r="Q214" s="652"/>
      <c r="R214" s="652"/>
      <c r="S214" s="652"/>
      <c r="T214" s="653"/>
      <c r="U214" s="653"/>
      <c r="V214" s="642">
        <f t="shared" si="9"/>
        <v>7000</v>
      </c>
    </row>
    <row r="215" spans="1:22" s="514" customFormat="1" ht="25.5">
      <c r="A215" s="1326" t="s">
        <v>219</v>
      </c>
      <c r="B215" s="652">
        <v>19000</v>
      </c>
      <c r="C215" s="652"/>
      <c r="D215" s="652"/>
      <c r="E215" s="652">
        <v>6300</v>
      </c>
      <c r="F215" s="652">
        <v>1200</v>
      </c>
      <c r="G215" s="652"/>
      <c r="H215" s="652"/>
      <c r="I215" s="652"/>
      <c r="J215" s="652"/>
      <c r="K215" s="652"/>
      <c r="L215" s="652"/>
      <c r="M215" s="652">
        <v>2000</v>
      </c>
      <c r="N215" s="652"/>
      <c r="O215" s="652"/>
      <c r="P215" s="652"/>
      <c r="Q215" s="652"/>
      <c r="R215" s="652"/>
      <c r="S215" s="652"/>
      <c r="T215" s="653"/>
      <c r="U215" s="653"/>
      <c r="V215" s="642">
        <f t="shared" si="9"/>
        <v>28500</v>
      </c>
    </row>
    <row r="216" spans="1:22" s="514" customFormat="1" ht="51">
      <c r="A216" s="1324" t="s">
        <v>262</v>
      </c>
      <c r="B216" s="652">
        <v>-11600</v>
      </c>
      <c r="C216" s="652"/>
      <c r="D216" s="652"/>
      <c r="E216" s="652">
        <v>-2000</v>
      </c>
      <c r="F216" s="652">
        <v>-2400</v>
      </c>
      <c r="G216" s="652"/>
      <c r="H216" s="652"/>
      <c r="I216" s="652"/>
      <c r="J216" s="652"/>
      <c r="K216" s="652"/>
      <c r="L216" s="652"/>
      <c r="M216" s="652">
        <v>-1000</v>
      </c>
      <c r="N216" s="652"/>
      <c r="O216" s="652"/>
      <c r="P216" s="652"/>
      <c r="Q216" s="652"/>
      <c r="R216" s="652"/>
      <c r="S216" s="652"/>
      <c r="T216" s="653"/>
      <c r="U216" s="653"/>
      <c r="V216" s="642">
        <f t="shared" si="9"/>
        <v>-17000</v>
      </c>
    </row>
    <row r="217" spans="1:22" s="514" customFormat="1" ht="51">
      <c r="A217" s="1326" t="s">
        <v>220</v>
      </c>
      <c r="B217" s="654">
        <v>52000</v>
      </c>
      <c r="C217" s="654"/>
      <c r="D217" s="654"/>
      <c r="E217" s="654">
        <v>14000</v>
      </c>
      <c r="F217" s="654">
        <v>2000</v>
      </c>
      <c r="G217" s="654"/>
      <c r="H217" s="654"/>
      <c r="I217" s="654"/>
      <c r="J217" s="654"/>
      <c r="K217" s="654"/>
      <c r="L217" s="654"/>
      <c r="M217" s="654"/>
      <c r="N217" s="654"/>
      <c r="O217" s="654"/>
      <c r="P217" s="654"/>
      <c r="Q217" s="654"/>
      <c r="R217" s="654"/>
      <c r="S217" s="654"/>
      <c r="T217" s="655"/>
      <c r="U217" s="655"/>
      <c r="V217" s="642">
        <f t="shared" si="9"/>
        <v>68000</v>
      </c>
    </row>
    <row r="218" spans="1:22" s="497" customFormat="1" ht="26.25" thickBot="1">
      <c r="A218" s="1490" t="s">
        <v>197</v>
      </c>
      <c r="B218" s="646"/>
      <c r="C218" s="646"/>
      <c r="D218" s="646"/>
      <c r="E218" s="646"/>
      <c r="F218" s="646"/>
      <c r="G218" s="646"/>
      <c r="H218" s="646"/>
      <c r="I218" s="646"/>
      <c r="J218" s="646"/>
      <c r="K218" s="646"/>
      <c r="L218" s="646"/>
      <c r="M218" s="646"/>
      <c r="N218" s="646"/>
      <c r="O218" s="646"/>
      <c r="P218" s="646">
        <f>SUM(P219:P226)</f>
        <v>1084</v>
      </c>
      <c r="Q218" s="646"/>
      <c r="R218" s="646"/>
      <c r="S218" s="646"/>
      <c r="T218" s="646"/>
      <c r="U218" s="646"/>
      <c r="V218" s="647">
        <f t="shared" si="9"/>
        <v>1084</v>
      </c>
    </row>
    <row r="219" spans="1:22" s="514" customFormat="1" ht="18" customHeight="1">
      <c r="A219" s="1326" t="s">
        <v>454</v>
      </c>
      <c r="B219" s="510"/>
      <c r="C219" s="510"/>
      <c r="D219" s="510"/>
      <c r="E219" s="510"/>
      <c r="F219" s="510"/>
      <c r="G219" s="510"/>
      <c r="H219" s="510"/>
      <c r="I219" s="510"/>
      <c r="J219" s="510"/>
      <c r="K219" s="510"/>
      <c r="L219" s="510"/>
      <c r="M219" s="510"/>
      <c r="N219" s="510"/>
      <c r="O219" s="510"/>
      <c r="P219" s="510">
        <v>-530</v>
      </c>
      <c r="Q219" s="510"/>
      <c r="R219" s="510"/>
      <c r="S219" s="510"/>
      <c r="T219" s="511"/>
      <c r="U219" s="511"/>
      <c r="V219" s="642">
        <f t="shared" si="9"/>
        <v>-530</v>
      </c>
    </row>
    <row r="220" spans="1:22" s="514" customFormat="1" ht="18" customHeight="1">
      <c r="A220" s="1326" t="s">
        <v>815</v>
      </c>
      <c r="B220" s="510"/>
      <c r="C220" s="510"/>
      <c r="D220" s="510"/>
      <c r="E220" s="510"/>
      <c r="F220" s="510"/>
      <c r="G220" s="510"/>
      <c r="H220" s="510"/>
      <c r="I220" s="510"/>
      <c r="J220" s="510"/>
      <c r="K220" s="510"/>
      <c r="L220" s="510"/>
      <c r="M220" s="510"/>
      <c r="N220" s="510"/>
      <c r="O220" s="510"/>
      <c r="P220" s="510">
        <v>-1500</v>
      </c>
      <c r="Q220" s="510"/>
      <c r="R220" s="510"/>
      <c r="S220" s="510"/>
      <c r="T220" s="511"/>
      <c r="U220" s="511"/>
      <c r="V220" s="642">
        <f t="shared" si="9"/>
        <v>-1500</v>
      </c>
    </row>
    <row r="221" spans="1:22" s="514" customFormat="1" ht="18" customHeight="1">
      <c r="A221" s="1326" t="s">
        <v>576</v>
      </c>
      <c r="B221" s="510"/>
      <c r="C221" s="510"/>
      <c r="D221" s="510"/>
      <c r="E221" s="510"/>
      <c r="F221" s="510"/>
      <c r="G221" s="510"/>
      <c r="H221" s="510"/>
      <c r="I221" s="510"/>
      <c r="J221" s="510"/>
      <c r="K221" s="510"/>
      <c r="L221" s="510"/>
      <c r="M221" s="510"/>
      <c r="N221" s="510"/>
      <c r="O221" s="510"/>
      <c r="P221" s="510">
        <v>-8000</v>
      </c>
      <c r="Q221" s="510"/>
      <c r="R221" s="510"/>
      <c r="S221" s="510"/>
      <c r="T221" s="511"/>
      <c r="U221" s="511"/>
      <c r="V221" s="642">
        <f t="shared" si="9"/>
        <v>-8000</v>
      </c>
    </row>
    <row r="222" spans="1:22" s="514" customFormat="1" ht="18" customHeight="1">
      <c r="A222" s="1326" t="s">
        <v>577</v>
      </c>
      <c r="B222" s="510"/>
      <c r="C222" s="510"/>
      <c r="D222" s="510"/>
      <c r="E222" s="510"/>
      <c r="F222" s="510"/>
      <c r="G222" s="510"/>
      <c r="H222" s="510"/>
      <c r="I222" s="510"/>
      <c r="J222" s="510"/>
      <c r="K222" s="510"/>
      <c r="L222" s="510"/>
      <c r="M222" s="510"/>
      <c r="N222" s="510"/>
      <c r="O222" s="510"/>
      <c r="P222" s="510">
        <v>370</v>
      </c>
      <c r="Q222" s="510"/>
      <c r="R222" s="510"/>
      <c r="S222" s="510"/>
      <c r="T222" s="511"/>
      <c r="U222" s="511"/>
      <c r="V222" s="642">
        <f t="shared" si="9"/>
        <v>370</v>
      </c>
    </row>
    <row r="223" spans="1:22" s="514" customFormat="1" ht="18" customHeight="1">
      <c r="A223" s="1326" t="s">
        <v>582</v>
      </c>
      <c r="B223" s="510"/>
      <c r="C223" s="510"/>
      <c r="D223" s="510"/>
      <c r="E223" s="510"/>
      <c r="F223" s="510"/>
      <c r="G223" s="510"/>
      <c r="H223" s="510"/>
      <c r="I223" s="510"/>
      <c r="J223" s="510"/>
      <c r="K223" s="510"/>
      <c r="L223" s="510"/>
      <c r="M223" s="510"/>
      <c r="N223" s="510"/>
      <c r="O223" s="510"/>
      <c r="P223" s="510">
        <v>5500</v>
      </c>
      <c r="Q223" s="510"/>
      <c r="R223" s="510"/>
      <c r="S223" s="510"/>
      <c r="T223" s="511"/>
      <c r="U223" s="511"/>
      <c r="V223" s="642">
        <f t="shared" si="9"/>
        <v>5500</v>
      </c>
    </row>
    <row r="224" spans="1:22" s="514" customFormat="1" ht="18" customHeight="1">
      <c r="A224" s="1326" t="s">
        <v>441</v>
      </c>
      <c r="B224" s="510"/>
      <c r="C224" s="510"/>
      <c r="D224" s="510"/>
      <c r="E224" s="510"/>
      <c r="F224" s="510"/>
      <c r="G224" s="510"/>
      <c r="H224" s="510"/>
      <c r="I224" s="510"/>
      <c r="J224" s="510"/>
      <c r="K224" s="510"/>
      <c r="L224" s="510"/>
      <c r="M224" s="510"/>
      <c r="N224" s="510"/>
      <c r="O224" s="510"/>
      <c r="P224" s="510">
        <v>8000</v>
      </c>
      <c r="Q224" s="510"/>
      <c r="R224" s="510"/>
      <c r="S224" s="510"/>
      <c r="T224" s="511"/>
      <c r="U224" s="511"/>
      <c r="V224" s="642">
        <f t="shared" si="9"/>
        <v>8000</v>
      </c>
    </row>
    <row r="225" spans="1:22" s="514" customFormat="1" ht="18" customHeight="1">
      <c r="A225" s="1326" t="s">
        <v>448</v>
      </c>
      <c r="B225" s="849"/>
      <c r="C225" s="849"/>
      <c r="D225" s="849"/>
      <c r="E225" s="849"/>
      <c r="F225" s="849"/>
      <c r="G225" s="849"/>
      <c r="H225" s="849"/>
      <c r="I225" s="849"/>
      <c r="J225" s="849"/>
      <c r="K225" s="849"/>
      <c r="L225" s="849"/>
      <c r="M225" s="849"/>
      <c r="N225" s="849"/>
      <c r="O225" s="849"/>
      <c r="P225" s="849">
        <v>-4780</v>
      </c>
      <c r="Q225" s="849"/>
      <c r="R225" s="849"/>
      <c r="S225" s="849"/>
      <c r="T225" s="1240"/>
      <c r="U225" s="1240"/>
      <c r="V225" s="642">
        <f t="shared" si="9"/>
        <v>-4780</v>
      </c>
    </row>
    <row r="226" spans="1:22" s="514" customFormat="1" ht="18" customHeight="1" thickBot="1">
      <c r="A226" s="1326" t="s">
        <v>587</v>
      </c>
      <c r="B226" s="927"/>
      <c r="C226" s="927"/>
      <c r="D226" s="927"/>
      <c r="E226" s="927"/>
      <c r="F226" s="927"/>
      <c r="G226" s="927"/>
      <c r="H226" s="927"/>
      <c r="I226" s="927"/>
      <c r="J226" s="927"/>
      <c r="K226" s="927"/>
      <c r="L226" s="927"/>
      <c r="M226" s="927"/>
      <c r="N226" s="927"/>
      <c r="O226" s="927"/>
      <c r="P226" s="927">
        <v>2024</v>
      </c>
      <c r="Q226" s="927"/>
      <c r="R226" s="927"/>
      <c r="S226" s="927"/>
      <c r="T226" s="928"/>
      <c r="U226" s="928"/>
      <c r="V226" s="642">
        <f t="shared" si="9"/>
        <v>2024</v>
      </c>
    </row>
    <row r="227" spans="1:22" s="514" customFormat="1" ht="30" customHeight="1" thickBot="1">
      <c r="A227" s="515" t="s">
        <v>449</v>
      </c>
      <c r="B227" s="651">
        <f>SUM(B228:B247)</f>
        <v>482020</v>
      </c>
      <c r="C227" s="651"/>
      <c r="D227" s="651"/>
      <c r="E227" s="651">
        <f>SUM(E228:E247)</f>
        <v>223770</v>
      </c>
      <c r="F227" s="651">
        <f>SUM(F228:F247)</f>
        <v>33360</v>
      </c>
      <c r="G227" s="651"/>
      <c r="H227" s="651"/>
      <c r="I227" s="651"/>
      <c r="J227" s="651"/>
      <c r="K227" s="651"/>
      <c r="L227" s="651"/>
      <c r="M227" s="651">
        <f>SUM(M228:M247)</f>
        <v>31850</v>
      </c>
      <c r="N227" s="651"/>
      <c r="O227" s="651"/>
      <c r="P227" s="651"/>
      <c r="Q227" s="651"/>
      <c r="R227" s="651"/>
      <c r="S227" s="651"/>
      <c r="T227" s="651"/>
      <c r="U227" s="651"/>
      <c r="V227" s="651">
        <f t="shared" si="9"/>
        <v>771000</v>
      </c>
    </row>
    <row r="228" spans="1:22" s="514" customFormat="1" ht="19.5" customHeight="1">
      <c r="A228" s="1344" t="s">
        <v>450</v>
      </c>
      <c r="B228" s="652">
        <v>53000</v>
      </c>
      <c r="C228" s="652"/>
      <c r="D228" s="652"/>
      <c r="E228" s="652">
        <v>25000</v>
      </c>
      <c r="F228" s="652">
        <v>1800</v>
      </c>
      <c r="G228" s="652"/>
      <c r="H228" s="652"/>
      <c r="I228" s="652"/>
      <c r="J228" s="652"/>
      <c r="K228" s="652"/>
      <c r="L228" s="652"/>
      <c r="M228" s="652"/>
      <c r="N228" s="652"/>
      <c r="O228" s="652"/>
      <c r="P228" s="652"/>
      <c r="Q228" s="652"/>
      <c r="R228" s="652"/>
      <c r="S228" s="652"/>
      <c r="T228" s="653"/>
      <c r="U228" s="653"/>
      <c r="V228" s="642">
        <f t="shared" si="9"/>
        <v>79800</v>
      </c>
    </row>
    <row r="229" spans="1:22" s="514" customFormat="1" ht="19.5" customHeight="1">
      <c r="A229" s="1344" t="s">
        <v>588</v>
      </c>
      <c r="B229" s="652">
        <v>-16000</v>
      </c>
      <c r="C229" s="652"/>
      <c r="D229" s="652"/>
      <c r="E229" s="652">
        <v>1000</v>
      </c>
      <c r="F229" s="652">
        <v>1000</v>
      </c>
      <c r="G229" s="652"/>
      <c r="H229" s="652"/>
      <c r="I229" s="652"/>
      <c r="J229" s="652"/>
      <c r="K229" s="652"/>
      <c r="L229" s="652"/>
      <c r="M229" s="652"/>
      <c r="N229" s="652"/>
      <c r="O229" s="652"/>
      <c r="P229" s="652"/>
      <c r="Q229" s="652"/>
      <c r="R229" s="652"/>
      <c r="S229" s="652"/>
      <c r="T229" s="653"/>
      <c r="U229" s="653"/>
      <c r="V229" s="642">
        <f t="shared" si="9"/>
        <v>-14000</v>
      </c>
    </row>
    <row r="230" spans="1:22" s="514" customFormat="1" ht="19.5" customHeight="1">
      <c r="A230" s="1344" t="s">
        <v>589</v>
      </c>
      <c r="B230" s="652">
        <v>18000</v>
      </c>
      <c r="C230" s="652"/>
      <c r="D230" s="652"/>
      <c r="E230" s="652">
        <v>20000</v>
      </c>
      <c r="F230" s="652">
        <v>2000</v>
      </c>
      <c r="G230" s="652"/>
      <c r="H230" s="652"/>
      <c r="I230" s="652"/>
      <c r="J230" s="652"/>
      <c r="K230" s="652"/>
      <c r="L230" s="652"/>
      <c r="M230" s="652"/>
      <c r="N230" s="652"/>
      <c r="O230" s="652"/>
      <c r="P230" s="652"/>
      <c r="Q230" s="652"/>
      <c r="R230" s="652"/>
      <c r="S230" s="652"/>
      <c r="T230" s="653"/>
      <c r="U230" s="653"/>
      <c r="V230" s="642">
        <f t="shared" si="9"/>
        <v>40000</v>
      </c>
    </row>
    <row r="231" spans="1:22" s="514" customFormat="1" ht="19.5" customHeight="1">
      <c r="A231" s="1344" t="s">
        <v>590</v>
      </c>
      <c r="B231" s="652"/>
      <c r="C231" s="652"/>
      <c r="D231" s="652"/>
      <c r="E231" s="652">
        <v>11500</v>
      </c>
      <c r="F231" s="652">
        <v>2000</v>
      </c>
      <c r="G231" s="652"/>
      <c r="H231" s="652"/>
      <c r="I231" s="652"/>
      <c r="J231" s="652"/>
      <c r="K231" s="652"/>
      <c r="L231" s="652"/>
      <c r="M231" s="652">
        <v>4000</v>
      </c>
      <c r="N231" s="652"/>
      <c r="O231" s="652"/>
      <c r="P231" s="652"/>
      <c r="Q231" s="652"/>
      <c r="R231" s="652"/>
      <c r="S231" s="652"/>
      <c r="T231" s="653"/>
      <c r="U231" s="653"/>
      <c r="V231" s="642">
        <f t="shared" si="9"/>
        <v>17500</v>
      </c>
    </row>
    <row r="232" spans="1:22" s="514" customFormat="1" ht="19.5" customHeight="1">
      <c r="A232" s="1344" t="s">
        <v>309</v>
      </c>
      <c r="B232" s="652">
        <v>87000</v>
      </c>
      <c r="C232" s="652"/>
      <c r="D232" s="652"/>
      <c r="E232" s="652">
        <v>14400</v>
      </c>
      <c r="F232" s="652">
        <v>6400</v>
      </c>
      <c r="G232" s="652"/>
      <c r="H232" s="652"/>
      <c r="I232" s="652"/>
      <c r="J232" s="652"/>
      <c r="K232" s="652"/>
      <c r="L232" s="652"/>
      <c r="M232" s="652">
        <v>5000</v>
      </c>
      <c r="N232" s="652"/>
      <c r="O232" s="652"/>
      <c r="P232" s="652"/>
      <c r="Q232" s="652"/>
      <c r="R232" s="652"/>
      <c r="S232" s="652"/>
      <c r="T232" s="653"/>
      <c r="U232" s="653"/>
      <c r="V232" s="642">
        <f t="shared" si="9"/>
        <v>112800</v>
      </c>
    </row>
    <row r="233" spans="1:22" s="514" customFormat="1" ht="19.5" customHeight="1">
      <c r="A233" s="1344" t="s">
        <v>451</v>
      </c>
      <c r="B233" s="652">
        <v>-60000</v>
      </c>
      <c r="C233" s="652"/>
      <c r="D233" s="652"/>
      <c r="E233" s="652">
        <v>-11000</v>
      </c>
      <c r="F233" s="652">
        <v>-2000</v>
      </c>
      <c r="G233" s="652"/>
      <c r="H233" s="652"/>
      <c r="I233" s="652"/>
      <c r="J233" s="652"/>
      <c r="K233" s="652"/>
      <c r="L233" s="652"/>
      <c r="M233" s="652"/>
      <c r="N233" s="652"/>
      <c r="O233" s="652"/>
      <c r="P233" s="652"/>
      <c r="Q233" s="652"/>
      <c r="R233" s="652"/>
      <c r="S233" s="652"/>
      <c r="T233" s="653"/>
      <c r="U233" s="653"/>
      <c r="V233" s="642">
        <f t="shared" si="9"/>
        <v>-73000</v>
      </c>
    </row>
    <row r="234" spans="1:22" s="514" customFormat="1" ht="19.5" customHeight="1">
      <c r="A234" s="1344" t="s">
        <v>592</v>
      </c>
      <c r="B234" s="652">
        <v>-70000</v>
      </c>
      <c r="C234" s="652"/>
      <c r="D234" s="652"/>
      <c r="E234" s="652"/>
      <c r="F234" s="652"/>
      <c r="G234" s="652"/>
      <c r="H234" s="652"/>
      <c r="I234" s="652"/>
      <c r="J234" s="652"/>
      <c r="K234" s="652"/>
      <c r="L234" s="652"/>
      <c r="M234" s="652"/>
      <c r="N234" s="652"/>
      <c r="O234" s="652"/>
      <c r="P234" s="652"/>
      <c r="Q234" s="652"/>
      <c r="R234" s="652"/>
      <c r="S234" s="652"/>
      <c r="T234" s="653"/>
      <c r="U234" s="653"/>
      <c r="V234" s="642">
        <f t="shared" si="9"/>
        <v>-70000</v>
      </c>
    </row>
    <row r="235" spans="1:22" s="514" customFormat="1" ht="19.5" customHeight="1">
      <c r="A235" s="1344" t="s">
        <v>278</v>
      </c>
      <c r="B235" s="652">
        <v>86000</v>
      </c>
      <c r="C235" s="652"/>
      <c r="D235" s="652"/>
      <c r="E235" s="652">
        <v>25000</v>
      </c>
      <c r="F235" s="652"/>
      <c r="G235" s="652"/>
      <c r="H235" s="652"/>
      <c r="I235" s="652"/>
      <c r="J235" s="652"/>
      <c r="K235" s="652"/>
      <c r="L235" s="652"/>
      <c r="M235" s="652"/>
      <c r="N235" s="652"/>
      <c r="O235" s="652"/>
      <c r="P235" s="652"/>
      <c r="Q235" s="652"/>
      <c r="R235" s="652"/>
      <c r="S235" s="652"/>
      <c r="T235" s="653"/>
      <c r="U235" s="653"/>
      <c r="V235" s="642">
        <f t="shared" si="9"/>
        <v>111000</v>
      </c>
    </row>
    <row r="236" spans="1:22" s="514" customFormat="1" ht="19.5" customHeight="1">
      <c r="A236" s="1349" t="s">
        <v>221</v>
      </c>
      <c r="B236" s="652">
        <v>-7280</v>
      </c>
      <c r="C236" s="652"/>
      <c r="D236" s="652"/>
      <c r="E236" s="652"/>
      <c r="F236" s="652"/>
      <c r="G236" s="652"/>
      <c r="H236" s="652"/>
      <c r="I236" s="652"/>
      <c r="J236" s="652"/>
      <c r="K236" s="652"/>
      <c r="L236" s="652"/>
      <c r="M236" s="652">
        <v>8450</v>
      </c>
      <c r="N236" s="652"/>
      <c r="O236" s="652"/>
      <c r="P236" s="652"/>
      <c r="Q236" s="652"/>
      <c r="R236" s="652"/>
      <c r="S236" s="652"/>
      <c r="T236" s="653"/>
      <c r="U236" s="653"/>
      <c r="V236" s="642">
        <f t="shared" si="9"/>
        <v>1170</v>
      </c>
    </row>
    <row r="237" spans="1:22" s="514" customFormat="1" ht="25.5">
      <c r="A237" s="1349" t="s">
        <v>222</v>
      </c>
      <c r="B237" s="652">
        <v>35000</v>
      </c>
      <c r="C237" s="652"/>
      <c r="D237" s="652"/>
      <c r="E237" s="652">
        <v>10400</v>
      </c>
      <c r="F237" s="652">
        <v>2000</v>
      </c>
      <c r="G237" s="652"/>
      <c r="H237" s="652"/>
      <c r="I237" s="652"/>
      <c r="J237" s="652"/>
      <c r="K237" s="652"/>
      <c r="L237" s="652"/>
      <c r="M237" s="652"/>
      <c r="N237" s="652"/>
      <c r="O237" s="652"/>
      <c r="P237" s="652"/>
      <c r="Q237" s="652"/>
      <c r="R237" s="652"/>
      <c r="S237" s="652"/>
      <c r="T237" s="653"/>
      <c r="U237" s="653"/>
      <c r="V237" s="642">
        <f t="shared" si="9"/>
        <v>47400</v>
      </c>
    </row>
    <row r="238" spans="1:22" s="514" customFormat="1" ht="25.5">
      <c r="A238" s="1349" t="s">
        <v>263</v>
      </c>
      <c r="B238" s="652">
        <v>-38400</v>
      </c>
      <c r="C238" s="652"/>
      <c r="D238" s="652"/>
      <c r="E238" s="652">
        <v>-4500</v>
      </c>
      <c r="F238" s="652">
        <v>-1000</v>
      </c>
      <c r="G238" s="652"/>
      <c r="H238" s="652"/>
      <c r="I238" s="652"/>
      <c r="J238" s="652"/>
      <c r="K238" s="652"/>
      <c r="L238" s="652"/>
      <c r="M238" s="652"/>
      <c r="N238" s="652"/>
      <c r="O238" s="652"/>
      <c r="P238" s="652"/>
      <c r="Q238" s="652"/>
      <c r="R238" s="652"/>
      <c r="S238" s="652"/>
      <c r="T238" s="653"/>
      <c r="U238" s="653"/>
      <c r="V238" s="642">
        <f t="shared" si="9"/>
        <v>-43900</v>
      </c>
    </row>
    <row r="239" spans="1:22" s="514" customFormat="1" ht="25.5">
      <c r="A239" s="1349" t="s">
        <v>223</v>
      </c>
      <c r="B239" s="652">
        <v>109000</v>
      </c>
      <c r="C239" s="652"/>
      <c r="D239" s="652"/>
      <c r="E239" s="652">
        <v>60400</v>
      </c>
      <c r="F239" s="652">
        <v>10000</v>
      </c>
      <c r="G239" s="652"/>
      <c r="H239" s="652"/>
      <c r="I239" s="652"/>
      <c r="J239" s="652"/>
      <c r="K239" s="652"/>
      <c r="L239" s="652"/>
      <c r="M239" s="652"/>
      <c r="N239" s="652"/>
      <c r="O239" s="652"/>
      <c r="P239" s="652"/>
      <c r="Q239" s="652"/>
      <c r="R239" s="652"/>
      <c r="S239" s="652"/>
      <c r="T239" s="653"/>
      <c r="U239" s="653"/>
      <c r="V239" s="642">
        <f t="shared" si="9"/>
        <v>179400</v>
      </c>
    </row>
    <row r="240" spans="1:22" s="514" customFormat="1" ht="15.75" customHeight="1">
      <c r="A240" s="1349" t="s">
        <v>224</v>
      </c>
      <c r="B240" s="652">
        <v>43000</v>
      </c>
      <c r="C240" s="652"/>
      <c r="D240" s="652"/>
      <c r="E240" s="652">
        <v>15000</v>
      </c>
      <c r="F240" s="652">
        <v>1500</v>
      </c>
      <c r="G240" s="652"/>
      <c r="H240" s="652"/>
      <c r="I240" s="652"/>
      <c r="J240" s="652"/>
      <c r="K240" s="652"/>
      <c r="L240" s="652"/>
      <c r="M240" s="652">
        <v>9000</v>
      </c>
      <c r="N240" s="652"/>
      <c r="O240" s="652"/>
      <c r="P240" s="652"/>
      <c r="Q240" s="652"/>
      <c r="R240" s="652"/>
      <c r="S240" s="652"/>
      <c r="T240" s="653"/>
      <c r="U240" s="653"/>
      <c r="V240" s="642">
        <f t="shared" si="9"/>
        <v>68500</v>
      </c>
    </row>
    <row r="241" spans="1:22" s="514" customFormat="1" ht="25.5">
      <c r="A241" s="1349" t="s">
        <v>133</v>
      </c>
      <c r="B241" s="652">
        <v>-15000</v>
      </c>
      <c r="C241" s="652"/>
      <c r="D241" s="652"/>
      <c r="E241" s="652"/>
      <c r="F241" s="652"/>
      <c r="G241" s="652"/>
      <c r="H241" s="652"/>
      <c r="I241" s="652"/>
      <c r="J241" s="652"/>
      <c r="K241" s="652"/>
      <c r="L241" s="652"/>
      <c r="M241" s="652"/>
      <c r="N241" s="652"/>
      <c r="O241" s="652"/>
      <c r="P241" s="652"/>
      <c r="Q241" s="652"/>
      <c r="R241" s="652"/>
      <c r="S241" s="652"/>
      <c r="T241" s="653"/>
      <c r="U241" s="653"/>
      <c r="V241" s="642">
        <f t="shared" si="9"/>
        <v>-15000</v>
      </c>
    </row>
    <row r="242" spans="1:22" s="514" customFormat="1" ht="25.5">
      <c r="A242" s="1349" t="s">
        <v>225</v>
      </c>
      <c r="B242" s="652">
        <v>2800</v>
      </c>
      <c r="C242" s="652"/>
      <c r="D242" s="652"/>
      <c r="E242" s="652"/>
      <c r="F242" s="652"/>
      <c r="G242" s="652"/>
      <c r="H242" s="652"/>
      <c r="I242" s="652"/>
      <c r="J242" s="652"/>
      <c r="K242" s="652"/>
      <c r="L242" s="652"/>
      <c r="M242" s="652">
        <v>3400</v>
      </c>
      <c r="N242" s="652"/>
      <c r="O242" s="652"/>
      <c r="P242" s="652"/>
      <c r="Q242" s="652"/>
      <c r="R242" s="652"/>
      <c r="S242" s="652"/>
      <c r="T242" s="653"/>
      <c r="U242" s="653"/>
      <c r="V242" s="642">
        <f t="shared" si="9"/>
        <v>6200</v>
      </c>
    </row>
    <row r="243" spans="1:22" s="514" customFormat="1" ht="25.5">
      <c r="A243" s="1349" t="s">
        <v>226</v>
      </c>
      <c r="B243" s="652">
        <v>-40000</v>
      </c>
      <c r="C243" s="652"/>
      <c r="D243" s="652"/>
      <c r="E243" s="652">
        <v>-13230</v>
      </c>
      <c r="F243" s="652">
        <v>2560</v>
      </c>
      <c r="G243" s="652"/>
      <c r="H243" s="652"/>
      <c r="I243" s="652"/>
      <c r="J243" s="652"/>
      <c r="K243" s="652"/>
      <c r="L243" s="652"/>
      <c r="M243" s="652"/>
      <c r="N243" s="652"/>
      <c r="O243" s="652"/>
      <c r="P243" s="652"/>
      <c r="Q243" s="652"/>
      <c r="R243" s="652"/>
      <c r="S243" s="652"/>
      <c r="T243" s="653"/>
      <c r="U243" s="653"/>
      <c r="V243" s="642">
        <f t="shared" si="9"/>
        <v>-50670</v>
      </c>
    </row>
    <row r="244" spans="1:22" s="514" customFormat="1" ht="25.5">
      <c r="A244" s="1349" t="s">
        <v>227</v>
      </c>
      <c r="B244" s="652">
        <v>162000</v>
      </c>
      <c r="C244" s="652"/>
      <c r="D244" s="652"/>
      <c r="E244" s="652">
        <v>26000</v>
      </c>
      <c r="F244" s="652">
        <v>5600</v>
      </c>
      <c r="G244" s="652"/>
      <c r="H244" s="652"/>
      <c r="I244" s="652"/>
      <c r="J244" s="652"/>
      <c r="K244" s="652"/>
      <c r="L244" s="652"/>
      <c r="M244" s="652"/>
      <c r="N244" s="652"/>
      <c r="O244" s="652"/>
      <c r="P244" s="652"/>
      <c r="Q244" s="652"/>
      <c r="R244" s="652"/>
      <c r="S244" s="652"/>
      <c r="T244" s="653"/>
      <c r="U244" s="653"/>
      <c r="V244" s="642">
        <f t="shared" si="9"/>
        <v>193600</v>
      </c>
    </row>
    <row r="245" spans="1:22" s="514" customFormat="1" ht="25.5">
      <c r="A245" s="1349" t="s">
        <v>228</v>
      </c>
      <c r="B245" s="652">
        <v>-130000</v>
      </c>
      <c r="C245" s="652"/>
      <c r="D245" s="652"/>
      <c r="E245" s="652">
        <v>-16500</v>
      </c>
      <c r="F245" s="652">
        <v>-1500</v>
      </c>
      <c r="G245" s="652"/>
      <c r="H245" s="652"/>
      <c r="I245" s="652"/>
      <c r="J245" s="652"/>
      <c r="K245" s="652"/>
      <c r="L245" s="652"/>
      <c r="M245" s="652"/>
      <c r="N245" s="652"/>
      <c r="O245" s="652"/>
      <c r="P245" s="652"/>
      <c r="Q245" s="652"/>
      <c r="R245" s="652"/>
      <c r="S245" s="652"/>
      <c r="T245" s="653"/>
      <c r="U245" s="653"/>
      <c r="V245" s="642">
        <f t="shared" si="9"/>
        <v>-148000</v>
      </c>
    </row>
    <row r="246" spans="1:22" s="514" customFormat="1" ht="27.75" customHeight="1">
      <c r="A246" s="1265" t="s">
        <v>76</v>
      </c>
      <c r="B246" s="652">
        <v>217000</v>
      </c>
      <c r="C246" s="652"/>
      <c r="D246" s="652"/>
      <c r="E246" s="652">
        <v>58900</v>
      </c>
      <c r="F246" s="652">
        <v>2000</v>
      </c>
      <c r="G246" s="652"/>
      <c r="H246" s="652"/>
      <c r="I246" s="652"/>
      <c r="J246" s="652"/>
      <c r="K246" s="652"/>
      <c r="L246" s="652"/>
      <c r="M246" s="652">
        <v>2000</v>
      </c>
      <c r="N246" s="652"/>
      <c r="O246" s="652"/>
      <c r="P246" s="652"/>
      <c r="Q246" s="652"/>
      <c r="R246" s="652"/>
      <c r="S246" s="652"/>
      <c r="T246" s="653"/>
      <c r="U246" s="653"/>
      <c r="V246" s="642">
        <f t="shared" si="9"/>
        <v>279900</v>
      </c>
    </row>
    <row r="247" spans="1:22" s="514" customFormat="1" ht="18" customHeight="1" thickBot="1">
      <c r="A247" s="1351" t="s">
        <v>229</v>
      </c>
      <c r="B247" s="930">
        <v>45900</v>
      </c>
      <c r="C247" s="930"/>
      <c r="D247" s="930"/>
      <c r="E247" s="930">
        <v>1400</v>
      </c>
      <c r="F247" s="930">
        <v>1000</v>
      </c>
      <c r="G247" s="930"/>
      <c r="H247" s="930"/>
      <c r="I247" s="930"/>
      <c r="J247" s="930"/>
      <c r="K247" s="930"/>
      <c r="L247" s="930"/>
      <c r="M247" s="930"/>
      <c r="N247" s="930"/>
      <c r="O247" s="930"/>
      <c r="P247" s="930"/>
      <c r="Q247" s="930"/>
      <c r="R247" s="930"/>
      <c r="S247" s="930"/>
      <c r="T247" s="931"/>
      <c r="U247" s="931"/>
      <c r="V247" s="642">
        <f t="shared" si="9"/>
        <v>48300</v>
      </c>
    </row>
    <row r="248" spans="1:22" s="514" customFormat="1" ht="29.25" customHeight="1" thickBot="1">
      <c r="A248" s="515" t="s">
        <v>198</v>
      </c>
      <c r="B248" s="651">
        <f>SUM(B249:B250)</f>
        <v>32500</v>
      </c>
      <c r="C248" s="651"/>
      <c r="D248" s="651"/>
      <c r="E248" s="651">
        <f>SUM(E249:E250)</f>
        <v>12050</v>
      </c>
      <c r="F248" s="651">
        <f>SUM(F249:F250)</f>
        <v>660</v>
      </c>
      <c r="G248" s="651"/>
      <c r="H248" s="651"/>
      <c r="I248" s="651"/>
      <c r="J248" s="651"/>
      <c r="K248" s="651"/>
      <c r="L248" s="651"/>
      <c r="M248" s="651">
        <f>SUM(M249:M250)</f>
        <v>7000</v>
      </c>
      <c r="N248" s="651"/>
      <c r="O248" s="651"/>
      <c r="P248" s="651"/>
      <c r="Q248" s="651"/>
      <c r="R248" s="651"/>
      <c r="S248" s="651"/>
      <c r="T248" s="651"/>
      <c r="U248" s="651"/>
      <c r="V248" s="651">
        <f t="shared" si="9"/>
        <v>52210</v>
      </c>
    </row>
    <row r="249" spans="1:22" s="514" customFormat="1" ht="19.5" customHeight="1">
      <c r="A249" s="1491" t="s">
        <v>693</v>
      </c>
      <c r="B249" s="1246">
        <v>7500</v>
      </c>
      <c r="C249" s="1246"/>
      <c r="D249" s="1246"/>
      <c r="E249" s="1246">
        <v>2910</v>
      </c>
      <c r="F249" s="1246">
        <v>200</v>
      </c>
      <c r="G249" s="1246"/>
      <c r="H249" s="1246"/>
      <c r="I249" s="1246"/>
      <c r="J249" s="1246"/>
      <c r="K249" s="1246"/>
      <c r="L249" s="1246"/>
      <c r="M249" s="1246">
        <v>7000</v>
      </c>
      <c r="N249" s="1246"/>
      <c r="O249" s="1246"/>
      <c r="P249" s="1246"/>
      <c r="Q249" s="1246"/>
      <c r="R249" s="1246"/>
      <c r="S249" s="1246"/>
      <c r="T249" s="1248"/>
      <c r="U249" s="1248"/>
      <c r="V249" s="978">
        <f t="shared" si="9"/>
        <v>17610</v>
      </c>
    </row>
    <row r="250" spans="1:22" s="514" customFormat="1" ht="39" thickBot="1">
      <c r="A250" s="1349" t="s">
        <v>230</v>
      </c>
      <c r="B250" s="930">
        <v>25000</v>
      </c>
      <c r="C250" s="930"/>
      <c r="D250" s="930"/>
      <c r="E250" s="930">
        <v>9140</v>
      </c>
      <c r="F250" s="930">
        <v>460</v>
      </c>
      <c r="G250" s="930"/>
      <c r="H250" s="930"/>
      <c r="I250" s="930"/>
      <c r="J250" s="930"/>
      <c r="K250" s="930"/>
      <c r="L250" s="930"/>
      <c r="M250" s="930"/>
      <c r="N250" s="930"/>
      <c r="O250" s="930"/>
      <c r="P250" s="930"/>
      <c r="Q250" s="930"/>
      <c r="R250" s="930"/>
      <c r="S250" s="930"/>
      <c r="T250" s="931"/>
      <c r="U250" s="931"/>
      <c r="V250" s="642">
        <f t="shared" si="9"/>
        <v>34600</v>
      </c>
    </row>
    <row r="251" spans="1:22" s="514" customFormat="1" ht="20.25" customHeight="1" thickBot="1">
      <c r="A251" s="515" t="s">
        <v>199</v>
      </c>
      <c r="B251" s="651">
        <f>SUM(B252:B263)</f>
        <v>29118</v>
      </c>
      <c r="C251" s="651"/>
      <c r="D251" s="651"/>
      <c r="E251" s="651">
        <f>SUM(E252:E263)</f>
        <v>4876</v>
      </c>
      <c r="F251" s="651">
        <f>SUM(F252:F263)</f>
        <v>1255</v>
      </c>
      <c r="G251" s="651"/>
      <c r="H251" s="651"/>
      <c r="I251" s="651"/>
      <c r="J251" s="651"/>
      <c r="K251" s="651"/>
      <c r="L251" s="651">
        <f>SUM(L252:L263)</f>
        <v>196</v>
      </c>
      <c r="M251" s="651">
        <f>SUM(M252:M263)</f>
        <v>17300</v>
      </c>
      <c r="N251" s="651"/>
      <c r="O251" s="651"/>
      <c r="P251" s="651"/>
      <c r="Q251" s="651"/>
      <c r="R251" s="651"/>
      <c r="S251" s="651"/>
      <c r="T251" s="651">
        <f>SUM(T252:T263)</f>
        <v>5586</v>
      </c>
      <c r="U251" s="651"/>
      <c r="V251" s="651">
        <f t="shared" si="9"/>
        <v>58331</v>
      </c>
    </row>
    <row r="252" spans="1:22" s="514" customFormat="1" ht="19.5" customHeight="1">
      <c r="A252" s="1344" t="s">
        <v>264</v>
      </c>
      <c r="B252" s="652">
        <v>-28000</v>
      </c>
      <c r="C252" s="652"/>
      <c r="D252" s="652"/>
      <c r="E252" s="652">
        <v>-3000</v>
      </c>
      <c r="F252" s="652"/>
      <c r="G252" s="652"/>
      <c r="H252" s="652"/>
      <c r="I252" s="652"/>
      <c r="J252" s="652"/>
      <c r="K252" s="652"/>
      <c r="L252" s="652"/>
      <c r="M252" s="652"/>
      <c r="N252" s="652"/>
      <c r="O252" s="652"/>
      <c r="P252" s="652"/>
      <c r="Q252" s="652"/>
      <c r="R252" s="652"/>
      <c r="S252" s="652"/>
      <c r="T252" s="653"/>
      <c r="U252" s="653"/>
      <c r="V252" s="642">
        <f t="shared" si="9"/>
        <v>-31000</v>
      </c>
    </row>
    <row r="253" spans="1:22" s="514" customFormat="1" ht="25.5" customHeight="1">
      <c r="A253" s="1344" t="s">
        <v>134</v>
      </c>
      <c r="B253" s="652"/>
      <c r="C253" s="652"/>
      <c r="D253" s="652"/>
      <c r="E253" s="652">
        <v>1100</v>
      </c>
      <c r="F253" s="652">
        <v>2000</v>
      </c>
      <c r="G253" s="652"/>
      <c r="H253" s="652"/>
      <c r="I253" s="652"/>
      <c r="J253" s="652"/>
      <c r="K253" s="652"/>
      <c r="L253" s="652"/>
      <c r="M253" s="652"/>
      <c r="N253" s="652"/>
      <c r="O253" s="652"/>
      <c r="P253" s="652"/>
      <c r="Q253" s="652"/>
      <c r="R253" s="652"/>
      <c r="S253" s="652"/>
      <c r="T253" s="653"/>
      <c r="U253" s="653"/>
      <c r="V253" s="642">
        <f t="shared" si="9"/>
        <v>3100</v>
      </c>
    </row>
    <row r="254" spans="1:22" s="514" customFormat="1" ht="25.5">
      <c r="A254" s="1344" t="s">
        <v>265</v>
      </c>
      <c r="B254" s="652">
        <v>-16500</v>
      </c>
      <c r="C254" s="652"/>
      <c r="D254" s="652"/>
      <c r="E254" s="652">
        <v>-4100</v>
      </c>
      <c r="F254" s="652">
        <v>-160</v>
      </c>
      <c r="G254" s="652"/>
      <c r="H254" s="652"/>
      <c r="I254" s="652"/>
      <c r="J254" s="652"/>
      <c r="K254" s="652"/>
      <c r="L254" s="652"/>
      <c r="M254" s="652"/>
      <c r="N254" s="652"/>
      <c r="O254" s="652"/>
      <c r="P254" s="652"/>
      <c r="Q254" s="652"/>
      <c r="R254" s="652"/>
      <c r="S254" s="652"/>
      <c r="T254" s="653"/>
      <c r="U254" s="653"/>
      <c r="V254" s="642">
        <f t="shared" si="9"/>
        <v>-20760</v>
      </c>
    </row>
    <row r="255" spans="1:22" s="514" customFormat="1" ht="28.5" customHeight="1">
      <c r="A255" s="1349" t="s">
        <v>231</v>
      </c>
      <c r="B255" s="654">
        <v>-11200</v>
      </c>
      <c r="C255" s="654"/>
      <c r="D255" s="654"/>
      <c r="E255" s="654"/>
      <c r="F255" s="654"/>
      <c r="G255" s="654"/>
      <c r="H255" s="654"/>
      <c r="I255" s="654"/>
      <c r="J255" s="654"/>
      <c r="K255" s="654"/>
      <c r="L255" s="654"/>
      <c r="M255" s="654">
        <v>3800</v>
      </c>
      <c r="N255" s="654"/>
      <c r="O255" s="654"/>
      <c r="P255" s="654"/>
      <c r="Q255" s="654"/>
      <c r="R255" s="654"/>
      <c r="S255" s="654"/>
      <c r="T255" s="655"/>
      <c r="U255" s="655"/>
      <c r="V255" s="642">
        <f t="shared" si="9"/>
        <v>-7400</v>
      </c>
    </row>
    <row r="256" spans="1:22" s="514" customFormat="1" ht="25.5">
      <c r="A256" s="1349" t="s">
        <v>266</v>
      </c>
      <c r="B256" s="654">
        <v>-24000</v>
      </c>
      <c r="C256" s="654"/>
      <c r="D256" s="654"/>
      <c r="E256" s="654">
        <v>-4000</v>
      </c>
      <c r="F256" s="654">
        <v>-1000</v>
      </c>
      <c r="G256" s="654"/>
      <c r="H256" s="654"/>
      <c r="I256" s="654"/>
      <c r="J256" s="654"/>
      <c r="K256" s="654"/>
      <c r="L256" s="654"/>
      <c r="M256" s="654"/>
      <c r="N256" s="654"/>
      <c r="O256" s="654"/>
      <c r="P256" s="654"/>
      <c r="Q256" s="654"/>
      <c r="R256" s="654"/>
      <c r="S256" s="654"/>
      <c r="T256" s="655"/>
      <c r="U256" s="655"/>
      <c r="V256" s="642">
        <f t="shared" si="9"/>
        <v>-29000</v>
      </c>
    </row>
    <row r="257" spans="1:22" s="514" customFormat="1" ht="25.5">
      <c r="A257" s="1349" t="s">
        <v>267</v>
      </c>
      <c r="B257" s="654">
        <v>-90780</v>
      </c>
      <c r="C257" s="654"/>
      <c r="D257" s="654"/>
      <c r="E257" s="654">
        <v>-19200</v>
      </c>
      <c r="F257" s="654">
        <v>-2650</v>
      </c>
      <c r="G257" s="654"/>
      <c r="H257" s="654"/>
      <c r="I257" s="654"/>
      <c r="J257" s="654"/>
      <c r="K257" s="654"/>
      <c r="L257" s="654"/>
      <c r="M257" s="654"/>
      <c r="N257" s="654"/>
      <c r="O257" s="654"/>
      <c r="P257" s="654"/>
      <c r="Q257" s="654"/>
      <c r="R257" s="654"/>
      <c r="S257" s="654"/>
      <c r="T257" s="655"/>
      <c r="U257" s="655"/>
      <c r="V257" s="642">
        <f t="shared" si="9"/>
        <v>-112630</v>
      </c>
    </row>
    <row r="258" spans="1:22" s="514" customFormat="1" ht="19.5" customHeight="1">
      <c r="A258" s="1349" t="s">
        <v>232</v>
      </c>
      <c r="B258" s="654">
        <v>27200</v>
      </c>
      <c r="C258" s="654"/>
      <c r="D258" s="654"/>
      <c r="E258" s="654">
        <v>2600</v>
      </c>
      <c r="F258" s="654">
        <v>500</v>
      </c>
      <c r="G258" s="654"/>
      <c r="H258" s="654"/>
      <c r="I258" s="654"/>
      <c r="J258" s="654"/>
      <c r="K258" s="654"/>
      <c r="L258" s="654"/>
      <c r="M258" s="654"/>
      <c r="N258" s="654"/>
      <c r="O258" s="654"/>
      <c r="P258" s="654"/>
      <c r="Q258" s="654"/>
      <c r="R258" s="654"/>
      <c r="S258" s="654"/>
      <c r="T258" s="655"/>
      <c r="U258" s="655"/>
      <c r="V258" s="642">
        <f t="shared" si="9"/>
        <v>30300</v>
      </c>
    </row>
    <row r="259" spans="1:22" s="514" customFormat="1" ht="27.75" customHeight="1">
      <c r="A259" s="1349" t="s">
        <v>233</v>
      </c>
      <c r="B259" s="654">
        <v>203000</v>
      </c>
      <c r="C259" s="654"/>
      <c r="D259" s="654"/>
      <c r="E259" s="654">
        <v>33180</v>
      </c>
      <c r="F259" s="654">
        <v>3790</v>
      </c>
      <c r="G259" s="654"/>
      <c r="H259" s="654"/>
      <c r="I259" s="654"/>
      <c r="J259" s="654"/>
      <c r="K259" s="654"/>
      <c r="L259" s="654">
        <v>196</v>
      </c>
      <c r="M259" s="654">
        <v>11000</v>
      </c>
      <c r="N259" s="654"/>
      <c r="O259" s="654"/>
      <c r="P259" s="654"/>
      <c r="Q259" s="654"/>
      <c r="R259" s="654"/>
      <c r="S259" s="654"/>
      <c r="T259" s="655">
        <v>5586</v>
      </c>
      <c r="U259" s="655"/>
      <c r="V259" s="642">
        <f t="shared" si="9"/>
        <v>256752</v>
      </c>
    </row>
    <row r="260" spans="1:22" s="514" customFormat="1" ht="27.75" customHeight="1">
      <c r="A260" s="1349" t="s">
        <v>268</v>
      </c>
      <c r="B260" s="654">
        <v>-4500</v>
      </c>
      <c r="C260" s="654"/>
      <c r="D260" s="654"/>
      <c r="E260" s="654">
        <v>-1500</v>
      </c>
      <c r="F260" s="654"/>
      <c r="G260" s="654"/>
      <c r="H260" s="654"/>
      <c r="I260" s="654"/>
      <c r="J260" s="654"/>
      <c r="K260" s="654"/>
      <c r="L260" s="654"/>
      <c r="M260" s="654"/>
      <c r="N260" s="654"/>
      <c r="O260" s="654"/>
      <c r="P260" s="654"/>
      <c r="Q260" s="654"/>
      <c r="R260" s="654"/>
      <c r="S260" s="654"/>
      <c r="T260" s="655"/>
      <c r="U260" s="655"/>
      <c r="V260" s="642">
        <f t="shared" si="9"/>
        <v>-6000</v>
      </c>
    </row>
    <row r="261" spans="1:22" s="514" customFormat="1" ht="25.5">
      <c r="A261" s="1349" t="s">
        <v>269</v>
      </c>
      <c r="B261" s="654">
        <v>-55002</v>
      </c>
      <c r="C261" s="654"/>
      <c r="D261" s="654"/>
      <c r="E261" s="654">
        <v>-6654</v>
      </c>
      <c r="F261" s="654">
        <v>-1475</v>
      </c>
      <c r="G261" s="654"/>
      <c r="H261" s="654"/>
      <c r="I261" s="654"/>
      <c r="J261" s="654"/>
      <c r="K261" s="654"/>
      <c r="L261" s="654"/>
      <c r="M261" s="654"/>
      <c r="N261" s="654"/>
      <c r="O261" s="654"/>
      <c r="P261" s="654"/>
      <c r="Q261" s="654"/>
      <c r="R261" s="654"/>
      <c r="S261" s="654"/>
      <c r="T261" s="655"/>
      <c r="U261" s="655"/>
      <c r="V261" s="642">
        <f t="shared" si="9"/>
        <v>-63131</v>
      </c>
    </row>
    <row r="262" spans="1:22" s="514" customFormat="1" ht="28.5" customHeight="1">
      <c r="A262" s="1349" t="s">
        <v>234</v>
      </c>
      <c r="B262" s="654">
        <v>20800</v>
      </c>
      <c r="C262" s="654"/>
      <c r="D262" s="654"/>
      <c r="E262" s="654">
        <v>6200</v>
      </c>
      <c r="F262" s="654"/>
      <c r="G262" s="654"/>
      <c r="H262" s="654"/>
      <c r="I262" s="654"/>
      <c r="J262" s="654"/>
      <c r="K262" s="654"/>
      <c r="L262" s="654"/>
      <c r="M262" s="654">
        <v>1000</v>
      </c>
      <c r="N262" s="654"/>
      <c r="O262" s="654"/>
      <c r="P262" s="654"/>
      <c r="Q262" s="654"/>
      <c r="R262" s="654"/>
      <c r="S262" s="654"/>
      <c r="T262" s="655"/>
      <c r="U262" s="655"/>
      <c r="V262" s="642">
        <f t="shared" si="9"/>
        <v>28000</v>
      </c>
    </row>
    <row r="263" spans="1:22" s="514" customFormat="1" ht="26.25" thickBot="1">
      <c r="A263" s="1350" t="s">
        <v>235</v>
      </c>
      <c r="B263" s="1243">
        <v>8100</v>
      </c>
      <c r="C263" s="1243"/>
      <c r="D263" s="1243"/>
      <c r="E263" s="1243">
        <v>250</v>
      </c>
      <c r="F263" s="1243">
        <v>250</v>
      </c>
      <c r="G263" s="1243"/>
      <c r="H263" s="1243"/>
      <c r="I263" s="1243"/>
      <c r="J263" s="1243"/>
      <c r="K263" s="1243"/>
      <c r="L263" s="1243"/>
      <c r="M263" s="1243">
        <v>1500</v>
      </c>
      <c r="N263" s="1243"/>
      <c r="O263" s="1243"/>
      <c r="P263" s="1243"/>
      <c r="Q263" s="1243"/>
      <c r="R263" s="1243"/>
      <c r="S263" s="1243"/>
      <c r="T263" s="1244"/>
      <c r="U263" s="1244"/>
      <c r="V263" s="929">
        <f t="shared" si="9"/>
        <v>10100</v>
      </c>
    </row>
    <row r="264" spans="1:22" s="514" customFormat="1" ht="26.25" thickBot="1">
      <c r="A264" s="515" t="s">
        <v>270</v>
      </c>
      <c r="B264" s="651">
        <f>B265</f>
        <v>-65000</v>
      </c>
      <c r="C264" s="651"/>
      <c r="D264" s="651"/>
      <c r="E264" s="651">
        <f>E265</f>
        <v>-6000</v>
      </c>
      <c r="F264" s="651">
        <f>F265</f>
        <v>-3000</v>
      </c>
      <c r="G264" s="651"/>
      <c r="H264" s="651"/>
      <c r="I264" s="651"/>
      <c r="J264" s="651"/>
      <c r="K264" s="651"/>
      <c r="L264" s="651"/>
      <c r="M264" s="651"/>
      <c r="N264" s="651"/>
      <c r="O264" s="651"/>
      <c r="P264" s="651"/>
      <c r="Q264" s="651"/>
      <c r="R264" s="651"/>
      <c r="S264" s="651"/>
      <c r="T264" s="651"/>
      <c r="U264" s="651"/>
      <c r="V264" s="651">
        <f t="shared" si="9"/>
        <v>-74000</v>
      </c>
    </row>
    <row r="265" spans="1:22" s="514" customFormat="1" ht="51.75" thickBot="1">
      <c r="A265" s="1348" t="s">
        <v>135</v>
      </c>
      <c r="B265" s="1255">
        <v>-65000</v>
      </c>
      <c r="C265" s="1255"/>
      <c r="D265" s="1255"/>
      <c r="E265" s="1255">
        <v>-6000</v>
      </c>
      <c r="F265" s="1255">
        <v>-3000</v>
      </c>
      <c r="G265" s="1255"/>
      <c r="H265" s="1255"/>
      <c r="I265" s="1255"/>
      <c r="J265" s="1255"/>
      <c r="K265" s="1255"/>
      <c r="L265" s="1255"/>
      <c r="M265" s="1255"/>
      <c r="N265" s="1255"/>
      <c r="O265" s="1255"/>
      <c r="P265" s="1255"/>
      <c r="Q265" s="1255"/>
      <c r="R265" s="1255"/>
      <c r="S265" s="1255"/>
      <c r="T265" s="1256"/>
      <c r="U265" s="1256"/>
      <c r="V265" s="1257">
        <f t="shared" si="9"/>
        <v>-74000</v>
      </c>
    </row>
    <row r="266" spans="1:22" s="514" customFormat="1" ht="21.75" customHeight="1" thickBot="1">
      <c r="A266" s="512" t="s">
        <v>687</v>
      </c>
      <c r="B266" s="647">
        <f>SUM(B267:B279)</f>
        <v>-263100</v>
      </c>
      <c r="C266" s="647"/>
      <c r="D266" s="647"/>
      <c r="E266" s="647">
        <f>SUM(E267:E279)</f>
        <v>146840</v>
      </c>
      <c r="F266" s="647">
        <f>SUM(F267:F279)</f>
        <v>25330</v>
      </c>
      <c r="G266" s="647"/>
      <c r="H266" s="647"/>
      <c r="I266" s="647"/>
      <c r="J266" s="647"/>
      <c r="K266" s="647"/>
      <c r="L266" s="647">
        <f>SUM(L267:L279)</f>
        <v>-196</v>
      </c>
      <c r="M266" s="647">
        <f>SUM(M267:M279)</f>
        <v>72700</v>
      </c>
      <c r="N266" s="647"/>
      <c r="O266" s="647"/>
      <c r="P266" s="647"/>
      <c r="Q266" s="647"/>
      <c r="R266" s="647"/>
      <c r="S266" s="647"/>
      <c r="T266" s="647">
        <f>SUM(T267:T279)</f>
        <v>-5586</v>
      </c>
      <c r="U266" s="647"/>
      <c r="V266" s="647">
        <f t="shared" si="9"/>
        <v>-24012</v>
      </c>
    </row>
    <row r="267" spans="1:22" s="494" customFormat="1" ht="30" customHeight="1">
      <c r="A267" s="1326" t="s">
        <v>136</v>
      </c>
      <c r="B267" s="510"/>
      <c r="C267" s="510"/>
      <c r="D267" s="510"/>
      <c r="E267" s="510">
        <v>13900</v>
      </c>
      <c r="F267" s="510">
        <v>7000</v>
      </c>
      <c r="G267" s="510"/>
      <c r="H267" s="510"/>
      <c r="I267" s="510"/>
      <c r="J267" s="510"/>
      <c r="K267" s="510"/>
      <c r="L267" s="510"/>
      <c r="M267" s="510">
        <v>10000</v>
      </c>
      <c r="N267" s="510"/>
      <c r="O267" s="510"/>
      <c r="P267" s="510"/>
      <c r="Q267" s="510"/>
      <c r="R267" s="510"/>
      <c r="S267" s="510"/>
      <c r="T267" s="511"/>
      <c r="U267" s="511"/>
      <c r="V267" s="642">
        <f t="shared" si="9"/>
        <v>30900</v>
      </c>
    </row>
    <row r="268" spans="1:22" s="494" customFormat="1" ht="19.5" customHeight="1">
      <c r="A268" s="1324" t="s">
        <v>283</v>
      </c>
      <c r="B268" s="510">
        <v>-90000</v>
      </c>
      <c r="C268" s="510"/>
      <c r="D268" s="510"/>
      <c r="E268" s="510">
        <v>-10000</v>
      </c>
      <c r="F268" s="510">
        <v>-1000</v>
      </c>
      <c r="G268" s="510"/>
      <c r="H268" s="510"/>
      <c r="I268" s="510"/>
      <c r="J268" s="510"/>
      <c r="K268" s="510"/>
      <c r="L268" s="510"/>
      <c r="M268" s="510"/>
      <c r="N268" s="510"/>
      <c r="O268" s="510"/>
      <c r="P268" s="510"/>
      <c r="Q268" s="510"/>
      <c r="R268" s="510"/>
      <c r="S268" s="510"/>
      <c r="T268" s="511"/>
      <c r="U268" s="511"/>
      <c r="V268" s="642">
        <f t="shared" si="9"/>
        <v>-101000</v>
      </c>
    </row>
    <row r="269" spans="1:22" s="494" customFormat="1" ht="19.5" customHeight="1">
      <c r="A269" s="1347" t="s">
        <v>310</v>
      </c>
      <c r="B269" s="510">
        <v>-90000</v>
      </c>
      <c r="C269" s="510"/>
      <c r="D269" s="510"/>
      <c r="E269" s="510">
        <v>4000</v>
      </c>
      <c r="F269" s="510">
        <v>1000</v>
      </c>
      <c r="G269" s="510"/>
      <c r="H269" s="510"/>
      <c r="I269" s="510"/>
      <c r="J269" s="510"/>
      <c r="K269" s="510"/>
      <c r="L269" s="510"/>
      <c r="M269" s="510">
        <v>2700</v>
      </c>
      <c r="N269" s="510"/>
      <c r="O269" s="510"/>
      <c r="P269" s="510"/>
      <c r="Q269" s="510"/>
      <c r="R269" s="510"/>
      <c r="S269" s="510"/>
      <c r="T269" s="511"/>
      <c r="U269" s="511"/>
      <c r="V269" s="642">
        <f aca="true" t="shared" si="10" ref="V269:V332">SUM(B269:U269)</f>
        <v>-82300</v>
      </c>
    </row>
    <row r="270" spans="1:22" s="494" customFormat="1" ht="19.5" customHeight="1">
      <c r="A270" s="1347" t="s">
        <v>688</v>
      </c>
      <c r="B270" s="849">
        <v>65900</v>
      </c>
      <c r="C270" s="849"/>
      <c r="D270" s="849"/>
      <c r="E270" s="849">
        <v>19000</v>
      </c>
      <c r="F270" s="849">
        <v>980</v>
      </c>
      <c r="G270" s="849"/>
      <c r="H270" s="849"/>
      <c r="I270" s="849"/>
      <c r="J270" s="849"/>
      <c r="K270" s="849"/>
      <c r="L270" s="849"/>
      <c r="M270" s="849">
        <v>10000</v>
      </c>
      <c r="N270" s="849"/>
      <c r="O270" s="849"/>
      <c r="P270" s="849"/>
      <c r="Q270" s="849"/>
      <c r="R270" s="849"/>
      <c r="S270" s="849"/>
      <c r="T270" s="1240"/>
      <c r="U270" s="1240"/>
      <c r="V270" s="642">
        <f t="shared" si="10"/>
        <v>95880</v>
      </c>
    </row>
    <row r="271" spans="1:22" s="494" customFormat="1" ht="19.5" customHeight="1">
      <c r="A271" s="1347" t="s">
        <v>689</v>
      </c>
      <c r="B271" s="849">
        <v>-236700</v>
      </c>
      <c r="C271" s="849"/>
      <c r="D271" s="849"/>
      <c r="E271" s="849"/>
      <c r="F271" s="849"/>
      <c r="G271" s="849"/>
      <c r="H271" s="849"/>
      <c r="I271" s="849"/>
      <c r="J271" s="849"/>
      <c r="K271" s="849"/>
      <c r="L271" s="849"/>
      <c r="M271" s="849"/>
      <c r="N271" s="849"/>
      <c r="O271" s="849"/>
      <c r="P271" s="849"/>
      <c r="Q271" s="849"/>
      <c r="R271" s="849"/>
      <c r="S271" s="849"/>
      <c r="T271" s="1240"/>
      <c r="U271" s="1240"/>
      <c r="V271" s="642">
        <f t="shared" si="10"/>
        <v>-236700</v>
      </c>
    </row>
    <row r="272" spans="1:22" s="494" customFormat="1" ht="30" customHeight="1">
      <c r="A272" s="1347" t="s">
        <v>690</v>
      </c>
      <c r="B272" s="849">
        <v>168000</v>
      </c>
      <c r="C272" s="849"/>
      <c r="D272" s="849"/>
      <c r="E272" s="849">
        <v>43600</v>
      </c>
      <c r="F272" s="849">
        <v>8000</v>
      </c>
      <c r="G272" s="849"/>
      <c r="H272" s="849"/>
      <c r="I272" s="849"/>
      <c r="J272" s="849"/>
      <c r="K272" s="849"/>
      <c r="L272" s="849"/>
      <c r="M272" s="849">
        <v>10000</v>
      </c>
      <c r="N272" s="849"/>
      <c r="O272" s="849"/>
      <c r="P272" s="849"/>
      <c r="Q272" s="849"/>
      <c r="R272" s="849"/>
      <c r="S272" s="849"/>
      <c r="T272" s="1240"/>
      <c r="U272" s="1240"/>
      <c r="V272" s="642">
        <f t="shared" si="10"/>
        <v>229600</v>
      </c>
    </row>
    <row r="273" spans="1:22" s="494" customFormat="1" ht="30" customHeight="1">
      <c r="A273" s="1347" t="s">
        <v>596</v>
      </c>
      <c r="B273" s="849">
        <v>171400</v>
      </c>
      <c r="C273" s="849"/>
      <c r="D273" s="849"/>
      <c r="E273" s="849">
        <v>45000</v>
      </c>
      <c r="F273" s="849">
        <v>1150</v>
      </c>
      <c r="G273" s="849"/>
      <c r="H273" s="849"/>
      <c r="I273" s="849"/>
      <c r="J273" s="849"/>
      <c r="K273" s="849"/>
      <c r="L273" s="849"/>
      <c r="M273" s="849"/>
      <c r="N273" s="849"/>
      <c r="O273" s="849"/>
      <c r="P273" s="849"/>
      <c r="Q273" s="849"/>
      <c r="R273" s="849"/>
      <c r="S273" s="849"/>
      <c r="T273" s="1240"/>
      <c r="U273" s="1240"/>
      <c r="V273" s="642">
        <f t="shared" si="10"/>
        <v>217550</v>
      </c>
    </row>
    <row r="274" spans="1:22" s="494" customFormat="1" ht="30" customHeight="1">
      <c r="A274" s="1347" t="s">
        <v>137</v>
      </c>
      <c r="B274" s="849">
        <v>-50600</v>
      </c>
      <c r="C274" s="849"/>
      <c r="D274" s="849"/>
      <c r="E274" s="849">
        <v>-5000</v>
      </c>
      <c r="F274" s="849">
        <v>-1000</v>
      </c>
      <c r="G274" s="849"/>
      <c r="H274" s="849"/>
      <c r="I274" s="849"/>
      <c r="J274" s="849"/>
      <c r="K274" s="849"/>
      <c r="L274" s="849"/>
      <c r="M274" s="849"/>
      <c r="N274" s="849"/>
      <c r="O274" s="849"/>
      <c r="P274" s="849"/>
      <c r="Q274" s="849"/>
      <c r="R274" s="849"/>
      <c r="S274" s="849"/>
      <c r="T274" s="1240"/>
      <c r="U274" s="1240"/>
      <c r="V274" s="850">
        <f t="shared" si="10"/>
        <v>-56600</v>
      </c>
    </row>
    <row r="275" spans="1:22" ht="19.5" customHeight="1">
      <c r="A275" s="1347" t="s">
        <v>691</v>
      </c>
      <c r="B275" s="849">
        <v>213000</v>
      </c>
      <c r="C275" s="849"/>
      <c r="D275" s="849"/>
      <c r="E275" s="849">
        <v>73000</v>
      </c>
      <c r="F275" s="849">
        <v>10000</v>
      </c>
      <c r="G275" s="849"/>
      <c r="H275" s="849"/>
      <c r="I275" s="849"/>
      <c r="J275" s="849"/>
      <c r="K275" s="849"/>
      <c r="L275" s="849"/>
      <c r="M275" s="849"/>
      <c r="N275" s="849"/>
      <c r="O275" s="849"/>
      <c r="P275" s="849"/>
      <c r="Q275" s="849"/>
      <c r="R275" s="849"/>
      <c r="S275" s="849"/>
      <c r="T275" s="849"/>
      <c r="U275" s="849"/>
      <c r="V275" s="850">
        <f t="shared" si="10"/>
        <v>296000</v>
      </c>
    </row>
    <row r="276" spans="1:22" ht="19.5" customHeight="1">
      <c r="A276" s="1332" t="s">
        <v>692</v>
      </c>
      <c r="B276" s="510">
        <v>-300000</v>
      </c>
      <c r="C276" s="510"/>
      <c r="D276" s="510"/>
      <c r="E276" s="510">
        <v>-16000</v>
      </c>
      <c r="F276" s="510"/>
      <c r="G276" s="510"/>
      <c r="H276" s="510"/>
      <c r="I276" s="510"/>
      <c r="J276" s="510"/>
      <c r="K276" s="510"/>
      <c r="L276" s="510"/>
      <c r="M276" s="510"/>
      <c r="N276" s="510"/>
      <c r="O276" s="510"/>
      <c r="P276" s="510"/>
      <c r="Q276" s="510"/>
      <c r="R276" s="510"/>
      <c r="S276" s="510"/>
      <c r="T276" s="510"/>
      <c r="U276" s="510"/>
      <c r="V276" s="642">
        <f t="shared" si="10"/>
        <v>-316000</v>
      </c>
    </row>
    <row r="277" spans="1:22" ht="19.5" customHeight="1">
      <c r="A277" s="1332" t="s">
        <v>693</v>
      </c>
      <c r="B277" s="849"/>
      <c r="C277" s="849"/>
      <c r="D277" s="849"/>
      <c r="E277" s="849"/>
      <c r="F277" s="849"/>
      <c r="G277" s="849"/>
      <c r="H277" s="849"/>
      <c r="I277" s="849"/>
      <c r="J277" s="849"/>
      <c r="K277" s="849"/>
      <c r="L277" s="849">
        <v>-196</v>
      </c>
      <c r="M277" s="849"/>
      <c r="N277" s="849"/>
      <c r="O277" s="849"/>
      <c r="P277" s="849"/>
      <c r="Q277" s="849"/>
      <c r="R277" s="849"/>
      <c r="S277" s="849"/>
      <c r="T277" s="849">
        <v>-5586</v>
      </c>
      <c r="U277" s="849"/>
      <c r="V277" s="850">
        <f t="shared" si="10"/>
        <v>-5782</v>
      </c>
    </row>
    <row r="278" spans="1:22" ht="19.5" customHeight="1">
      <c r="A278" s="1332" t="s">
        <v>694</v>
      </c>
      <c r="B278" s="510">
        <v>90900</v>
      </c>
      <c r="C278" s="510"/>
      <c r="D278" s="510"/>
      <c r="E278" s="510">
        <v>6840</v>
      </c>
      <c r="F278" s="510">
        <v>2200</v>
      </c>
      <c r="G278" s="510"/>
      <c r="H278" s="510"/>
      <c r="I278" s="510"/>
      <c r="J278" s="510"/>
      <c r="K278" s="510"/>
      <c r="L278" s="510"/>
      <c r="M278" s="510">
        <v>40000</v>
      </c>
      <c r="N278" s="510"/>
      <c r="O278" s="510"/>
      <c r="P278" s="510"/>
      <c r="Q278" s="510"/>
      <c r="R278" s="510"/>
      <c r="S278" s="510"/>
      <c r="T278" s="510"/>
      <c r="U278" s="510"/>
      <c r="V278" s="642">
        <f t="shared" si="10"/>
        <v>139940</v>
      </c>
    </row>
    <row r="279" spans="1:22" ht="19.5" customHeight="1" thickBot="1">
      <c r="A279" s="1332" t="s">
        <v>312</v>
      </c>
      <c r="B279" s="123">
        <v>-205000</v>
      </c>
      <c r="C279" s="123"/>
      <c r="D279" s="123"/>
      <c r="E279" s="123">
        <v>-27500</v>
      </c>
      <c r="F279" s="123">
        <v>-3000</v>
      </c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926">
        <f t="shared" si="10"/>
        <v>-235500</v>
      </c>
    </row>
    <row r="280" spans="1:22" s="514" customFormat="1" ht="29.25" customHeight="1" thickBot="1">
      <c r="A280" s="515" t="s">
        <v>273</v>
      </c>
      <c r="B280" s="651">
        <f>SUM(B281:B282)</f>
        <v>63200</v>
      </c>
      <c r="C280" s="651"/>
      <c r="D280" s="651"/>
      <c r="E280" s="651">
        <f>SUM(E281:E282)</f>
        <v>35200</v>
      </c>
      <c r="F280" s="651">
        <f>SUM(F281:F282)</f>
        <v>9640</v>
      </c>
      <c r="G280" s="651"/>
      <c r="H280" s="651"/>
      <c r="I280" s="651"/>
      <c r="J280" s="651"/>
      <c r="K280" s="651"/>
      <c r="L280" s="651"/>
      <c r="M280" s="651">
        <f>SUM(M281:M282)</f>
        <v>5500</v>
      </c>
      <c r="N280" s="651"/>
      <c r="O280" s="651"/>
      <c r="P280" s="651"/>
      <c r="Q280" s="651"/>
      <c r="R280" s="651"/>
      <c r="S280" s="651"/>
      <c r="T280" s="651"/>
      <c r="U280" s="651"/>
      <c r="V280" s="651">
        <f t="shared" si="10"/>
        <v>113540</v>
      </c>
    </row>
    <row r="281" spans="1:22" s="514" customFormat="1" ht="25.5">
      <c r="A281" s="1344" t="s">
        <v>236</v>
      </c>
      <c r="B281" s="652">
        <v>16700</v>
      </c>
      <c r="C281" s="652"/>
      <c r="D281" s="652"/>
      <c r="E281" s="652">
        <v>27500</v>
      </c>
      <c r="F281" s="652">
        <v>8700</v>
      </c>
      <c r="G281" s="652"/>
      <c r="H281" s="652"/>
      <c r="I281" s="652"/>
      <c r="J281" s="652"/>
      <c r="K281" s="652"/>
      <c r="L281" s="652"/>
      <c r="M281" s="652"/>
      <c r="N281" s="652"/>
      <c r="O281" s="652"/>
      <c r="P281" s="652"/>
      <c r="Q281" s="652"/>
      <c r="R281" s="652"/>
      <c r="S281" s="652"/>
      <c r="T281" s="653"/>
      <c r="U281" s="653"/>
      <c r="V281" s="642">
        <f t="shared" si="10"/>
        <v>52900</v>
      </c>
    </row>
    <row r="282" spans="1:22" s="514" customFormat="1" ht="21" customHeight="1" thickBot="1">
      <c r="A282" s="1344" t="s">
        <v>693</v>
      </c>
      <c r="B282" s="930">
        <v>46500</v>
      </c>
      <c r="C282" s="930"/>
      <c r="D282" s="930"/>
      <c r="E282" s="930">
        <v>7700</v>
      </c>
      <c r="F282" s="930">
        <v>940</v>
      </c>
      <c r="G282" s="930"/>
      <c r="H282" s="930"/>
      <c r="I282" s="930"/>
      <c r="J282" s="930"/>
      <c r="K282" s="930"/>
      <c r="L282" s="930"/>
      <c r="M282" s="930">
        <v>5500</v>
      </c>
      <c r="N282" s="930"/>
      <c r="O282" s="930"/>
      <c r="P282" s="930"/>
      <c r="Q282" s="930"/>
      <c r="R282" s="930"/>
      <c r="S282" s="930"/>
      <c r="T282" s="931"/>
      <c r="U282" s="931"/>
      <c r="V282" s="642">
        <f t="shared" si="10"/>
        <v>60640</v>
      </c>
    </row>
    <row r="283" spans="1:22" s="514" customFormat="1" ht="51.75" thickBot="1">
      <c r="A283" s="515" t="s">
        <v>237</v>
      </c>
      <c r="B283" s="651">
        <f>SUM(B284:B286)</f>
        <v>-105940</v>
      </c>
      <c r="C283" s="651"/>
      <c r="D283" s="651"/>
      <c r="E283" s="651">
        <f>SUM(E284:E286)</f>
        <v>48600</v>
      </c>
      <c r="F283" s="651">
        <f>SUM(F284:F286)</f>
        <v>-1460</v>
      </c>
      <c r="G283" s="651"/>
      <c r="H283" s="651"/>
      <c r="I283" s="651"/>
      <c r="J283" s="651"/>
      <c r="K283" s="651"/>
      <c r="L283" s="651"/>
      <c r="M283" s="651">
        <f>SUM(M284:M286)</f>
        <v>37000</v>
      </c>
      <c r="N283" s="651"/>
      <c r="O283" s="651"/>
      <c r="P283" s="651"/>
      <c r="Q283" s="651"/>
      <c r="R283" s="651"/>
      <c r="S283" s="651"/>
      <c r="T283" s="651"/>
      <c r="U283" s="651"/>
      <c r="V283" s="651">
        <f t="shared" si="10"/>
        <v>-21800</v>
      </c>
    </row>
    <row r="284" spans="1:22" s="514" customFormat="1" ht="25.5">
      <c r="A284" s="1265" t="s">
        <v>138</v>
      </c>
      <c r="B284" s="652">
        <v>24000</v>
      </c>
      <c r="C284" s="652"/>
      <c r="D284" s="652"/>
      <c r="E284" s="652">
        <v>27640</v>
      </c>
      <c r="F284" s="652"/>
      <c r="G284" s="652"/>
      <c r="H284" s="652"/>
      <c r="I284" s="652"/>
      <c r="J284" s="652"/>
      <c r="K284" s="652"/>
      <c r="L284" s="652"/>
      <c r="M284" s="652"/>
      <c r="N284" s="652"/>
      <c r="O284" s="652"/>
      <c r="P284" s="652"/>
      <c r="Q284" s="652"/>
      <c r="R284" s="652"/>
      <c r="S284" s="652"/>
      <c r="T284" s="653"/>
      <c r="U284" s="653"/>
      <c r="V284" s="642">
        <f t="shared" si="10"/>
        <v>51640</v>
      </c>
    </row>
    <row r="285" spans="1:22" s="514" customFormat="1" ht="25.5">
      <c r="A285" s="1332" t="s">
        <v>139</v>
      </c>
      <c r="B285" s="654">
        <v>107000</v>
      </c>
      <c r="C285" s="654"/>
      <c r="D285" s="654"/>
      <c r="E285" s="654">
        <v>20960</v>
      </c>
      <c r="F285" s="654">
        <v>2240</v>
      </c>
      <c r="G285" s="654"/>
      <c r="H285" s="654"/>
      <c r="I285" s="654"/>
      <c r="J285" s="654"/>
      <c r="K285" s="654"/>
      <c r="L285" s="654"/>
      <c r="M285" s="654">
        <v>37000</v>
      </c>
      <c r="N285" s="654"/>
      <c r="O285" s="654"/>
      <c r="P285" s="654"/>
      <c r="Q285" s="654"/>
      <c r="R285" s="654"/>
      <c r="S285" s="654"/>
      <c r="T285" s="655"/>
      <c r="U285" s="655"/>
      <c r="V285" s="642">
        <f t="shared" si="10"/>
        <v>167200</v>
      </c>
    </row>
    <row r="286" spans="1:22" s="514" customFormat="1" ht="30" customHeight="1" thickBot="1">
      <c r="A286" s="1333" t="s">
        <v>597</v>
      </c>
      <c r="B286" s="930">
        <v>-236940</v>
      </c>
      <c r="C286" s="930"/>
      <c r="D286" s="930"/>
      <c r="E286" s="930"/>
      <c r="F286" s="930">
        <v>-3700</v>
      </c>
      <c r="G286" s="930"/>
      <c r="H286" s="930"/>
      <c r="I286" s="930"/>
      <c r="J286" s="930"/>
      <c r="K286" s="930"/>
      <c r="L286" s="930"/>
      <c r="M286" s="930"/>
      <c r="N286" s="930"/>
      <c r="O286" s="930"/>
      <c r="P286" s="930"/>
      <c r="Q286" s="930"/>
      <c r="R286" s="930"/>
      <c r="S286" s="930"/>
      <c r="T286" s="931"/>
      <c r="U286" s="931"/>
      <c r="V286" s="926">
        <f t="shared" si="10"/>
        <v>-240640</v>
      </c>
    </row>
    <row r="287" spans="1:22" ht="25.5" customHeight="1" thickBot="1">
      <c r="A287" s="515" t="s">
        <v>75</v>
      </c>
      <c r="B287" s="650">
        <f>SUM(B288:B366)</f>
        <v>-9223</v>
      </c>
      <c r="C287" s="650"/>
      <c r="D287" s="650">
        <f>SUM(D288:D366)</f>
        <v>-4036</v>
      </c>
      <c r="E287" s="650">
        <f>SUM(E288:E366)</f>
        <v>290</v>
      </c>
      <c r="F287" s="650">
        <f>SUM(F288:F366)</f>
        <v>45</v>
      </c>
      <c r="G287" s="650"/>
      <c r="H287" s="650"/>
      <c r="I287" s="650"/>
      <c r="J287" s="650"/>
      <c r="K287" s="650">
        <f>SUM(K288:K366)</f>
        <v>549</v>
      </c>
      <c r="L287" s="650"/>
      <c r="M287" s="650"/>
      <c r="N287" s="650"/>
      <c r="O287" s="650"/>
      <c r="P287" s="650">
        <f>SUM(P288:P366)</f>
        <v>28078</v>
      </c>
      <c r="Q287" s="650"/>
      <c r="R287" s="650"/>
      <c r="S287" s="650"/>
      <c r="T287" s="650"/>
      <c r="U287" s="650"/>
      <c r="V287" s="651">
        <f t="shared" si="10"/>
        <v>15703</v>
      </c>
    </row>
    <row r="288" spans="1:22" s="932" customFormat="1" ht="19.5" customHeight="1">
      <c r="A288" s="1346" t="s">
        <v>454</v>
      </c>
      <c r="B288" s="796">
        <v>19</v>
      </c>
      <c r="C288" s="796"/>
      <c r="D288" s="796"/>
      <c r="E288" s="796">
        <v>101</v>
      </c>
      <c r="F288" s="796">
        <v>18</v>
      </c>
      <c r="G288" s="796"/>
      <c r="H288" s="796"/>
      <c r="I288" s="796"/>
      <c r="J288" s="796"/>
      <c r="K288" s="796"/>
      <c r="L288" s="796"/>
      <c r="M288" s="796"/>
      <c r="N288" s="796"/>
      <c r="O288" s="796"/>
      <c r="P288" s="796"/>
      <c r="Q288" s="796"/>
      <c r="R288" s="796"/>
      <c r="S288" s="796"/>
      <c r="T288" s="796"/>
      <c r="U288" s="796"/>
      <c r="V288" s="926">
        <f t="shared" si="10"/>
        <v>138</v>
      </c>
    </row>
    <row r="289" spans="1:22" ht="16.5" customHeight="1">
      <c r="A289" s="1345" t="s">
        <v>455</v>
      </c>
      <c r="B289" s="510">
        <v>1020</v>
      </c>
      <c r="C289" s="510"/>
      <c r="D289" s="510"/>
      <c r="E289" s="510">
        <v>183</v>
      </c>
      <c r="F289" s="510">
        <v>25</v>
      </c>
      <c r="G289" s="510"/>
      <c r="H289" s="510"/>
      <c r="I289" s="510"/>
      <c r="J289" s="510"/>
      <c r="K289" s="510">
        <v>100</v>
      </c>
      <c r="L289" s="510"/>
      <c r="M289" s="510"/>
      <c r="N289" s="510"/>
      <c r="O289" s="510"/>
      <c r="P289" s="510"/>
      <c r="Q289" s="510"/>
      <c r="R289" s="510"/>
      <c r="S289" s="510"/>
      <c r="T289" s="510"/>
      <c r="U289" s="510"/>
      <c r="V289" s="642">
        <f t="shared" si="10"/>
        <v>1328</v>
      </c>
    </row>
    <row r="290" spans="1:22" ht="16.5" customHeight="1">
      <c r="A290" s="1345" t="s">
        <v>456</v>
      </c>
      <c r="B290" s="510"/>
      <c r="C290" s="510"/>
      <c r="D290" s="510"/>
      <c r="E290" s="510"/>
      <c r="F290" s="510"/>
      <c r="G290" s="510"/>
      <c r="H290" s="510"/>
      <c r="I290" s="510"/>
      <c r="J290" s="510"/>
      <c r="K290" s="510"/>
      <c r="L290" s="510"/>
      <c r="M290" s="510"/>
      <c r="N290" s="510"/>
      <c r="O290" s="510"/>
      <c r="P290" s="510">
        <v>1000</v>
      </c>
      <c r="Q290" s="510"/>
      <c r="R290" s="510"/>
      <c r="S290" s="510"/>
      <c r="T290" s="510"/>
      <c r="U290" s="510"/>
      <c r="V290" s="642">
        <f t="shared" si="10"/>
        <v>1000</v>
      </c>
    </row>
    <row r="291" spans="1:22" ht="16.5" customHeight="1">
      <c r="A291" s="1345" t="s">
        <v>458</v>
      </c>
      <c r="B291" s="510"/>
      <c r="C291" s="510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>
        <v>800</v>
      </c>
      <c r="Q291" s="510"/>
      <c r="R291" s="510"/>
      <c r="S291" s="510"/>
      <c r="T291" s="510"/>
      <c r="U291" s="510"/>
      <c r="V291" s="642">
        <f t="shared" si="10"/>
        <v>800</v>
      </c>
    </row>
    <row r="292" spans="1:22" ht="19.5" customHeight="1">
      <c r="A292" s="1345" t="s">
        <v>461</v>
      </c>
      <c r="B292" s="510"/>
      <c r="C292" s="510"/>
      <c r="D292" s="510">
        <v>-411</v>
      </c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0"/>
      <c r="P292" s="510">
        <v>2411</v>
      </c>
      <c r="Q292" s="510"/>
      <c r="R292" s="510"/>
      <c r="S292" s="510"/>
      <c r="T292" s="510"/>
      <c r="U292" s="510"/>
      <c r="V292" s="642">
        <f t="shared" si="10"/>
        <v>2000</v>
      </c>
    </row>
    <row r="293" spans="1:22" ht="16.5" customHeight="1">
      <c r="A293" s="1345" t="s">
        <v>480</v>
      </c>
      <c r="B293" s="510"/>
      <c r="C293" s="510"/>
      <c r="D293" s="510">
        <v>-800</v>
      </c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>
        <v>800</v>
      </c>
      <c r="Q293" s="510"/>
      <c r="R293" s="510"/>
      <c r="S293" s="510"/>
      <c r="T293" s="510"/>
      <c r="U293" s="510"/>
      <c r="V293" s="642">
        <f t="shared" si="10"/>
        <v>0</v>
      </c>
    </row>
    <row r="294" spans="1:22" ht="16.5" customHeight="1">
      <c r="A294" s="1345" t="s">
        <v>438</v>
      </c>
      <c r="B294" s="510"/>
      <c r="C294" s="510"/>
      <c r="D294" s="510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>
        <v>3650</v>
      </c>
      <c r="Q294" s="510"/>
      <c r="R294" s="510"/>
      <c r="S294" s="510"/>
      <c r="T294" s="510"/>
      <c r="U294" s="510"/>
      <c r="V294" s="642">
        <f t="shared" si="10"/>
        <v>3650</v>
      </c>
    </row>
    <row r="295" spans="1:22" ht="16.5" customHeight="1">
      <c r="A295" s="1345" t="s">
        <v>572</v>
      </c>
      <c r="B295" s="510"/>
      <c r="C295" s="510"/>
      <c r="D295" s="510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>
        <v>500</v>
      </c>
      <c r="Q295" s="510"/>
      <c r="R295" s="510"/>
      <c r="S295" s="510"/>
      <c r="T295" s="510"/>
      <c r="U295" s="510"/>
      <c r="V295" s="642">
        <f t="shared" si="10"/>
        <v>500</v>
      </c>
    </row>
    <row r="296" spans="1:22" ht="18" customHeight="1">
      <c r="A296" s="513" t="s">
        <v>156</v>
      </c>
      <c r="B296" s="510"/>
      <c r="C296" s="510"/>
      <c r="D296" s="510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1242">
        <v>212</v>
      </c>
      <c r="Q296" s="649"/>
      <c r="R296" s="649"/>
      <c r="S296" s="510"/>
      <c r="T296" s="511"/>
      <c r="U296" s="511"/>
      <c r="V296" s="642">
        <f t="shared" si="10"/>
        <v>212</v>
      </c>
    </row>
    <row r="297" spans="1:22" ht="18" customHeight="1">
      <c r="A297" s="513" t="s">
        <v>80</v>
      </c>
      <c r="B297" s="510">
        <v>-5048</v>
      </c>
      <c r="C297" s="510"/>
      <c r="D297" s="510"/>
      <c r="E297" s="510">
        <v>-367</v>
      </c>
      <c r="F297" s="510">
        <v>-50</v>
      </c>
      <c r="G297" s="510"/>
      <c r="H297" s="510"/>
      <c r="I297" s="510"/>
      <c r="J297" s="510"/>
      <c r="K297" s="510"/>
      <c r="L297" s="510"/>
      <c r="M297" s="510"/>
      <c r="N297" s="510"/>
      <c r="O297" s="510"/>
      <c r="P297" s="1242">
        <v>212</v>
      </c>
      <c r="Q297" s="649"/>
      <c r="R297" s="649"/>
      <c r="S297" s="510"/>
      <c r="T297" s="511"/>
      <c r="U297" s="511"/>
      <c r="V297" s="642">
        <f t="shared" si="10"/>
        <v>-5253</v>
      </c>
    </row>
    <row r="298" spans="1:22" ht="18" customHeight="1">
      <c r="A298" s="1265" t="s">
        <v>188</v>
      </c>
      <c r="B298" s="1242"/>
      <c r="C298" s="1242"/>
      <c r="D298" s="1242"/>
      <c r="E298" s="1242"/>
      <c r="F298" s="1242"/>
      <c r="G298" s="1242"/>
      <c r="H298" s="1242"/>
      <c r="I298" s="1242"/>
      <c r="J298" s="1242"/>
      <c r="K298" s="1242"/>
      <c r="L298" s="1242"/>
      <c r="M298" s="1242"/>
      <c r="N298" s="1242"/>
      <c r="O298" s="1242"/>
      <c r="P298" s="1242">
        <v>212</v>
      </c>
      <c r="Q298" s="649"/>
      <c r="R298" s="649"/>
      <c r="S298" s="510"/>
      <c r="T298" s="511"/>
      <c r="U298" s="511"/>
      <c r="V298" s="642">
        <f t="shared" si="10"/>
        <v>212</v>
      </c>
    </row>
    <row r="299" spans="1:22" ht="18" customHeight="1">
      <c r="A299" s="1265" t="s">
        <v>81</v>
      </c>
      <c r="B299" s="510"/>
      <c r="C299" s="510"/>
      <c r="D299" s="510"/>
      <c r="E299" s="510"/>
      <c r="F299" s="510"/>
      <c r="G299" s="510"/>
      <c r="H299" s="510"/>
      <c r="I299" s="510"/>
      <c r="J299" s="510"/>
      <c r="K299" s="510"/>
      <c r="L299" s="510"/>
      <c r="M299" s="510"/>
      <c r="N299" s="1242"/>
      <c r="O299" s="510"/>
      <c r="P299" s="1242">
        <v>212</v>
      </c>
      <c r="Q299" s="649"/>
      <c r="R299" s="649"/>
      <c r="S299" s="510"/>
      <c r="T299" s="511"/>
      <c r="U299" s="511"/>
      <c r="V299" s="642">
        <f t="shared" si="10"/>
        <v>212</v>
      </c>
    </row>
    <row r="300" spans="1:22" ht="18" customHeight="1">
      <c r="A300" s="1265" t="s">
        <v>82</v>
      </c>
      <c r="B300" s="1242"/>
      <c r="C300" s="1242"/>
      <c r="D300" s="510"/>
      <c r="E300" s="510"/>
      <c r="F300" s="510"/>
      <c r="G300" s="510"/>
      <c r="H300" s="510"/>
      <c r="I300" s="510"/>
      <c r="J300" s="510"/>
      <c r="K300" s="510"/>
      <c r="L300" s="510"/>
      <c r="M300" s="510"/>
      <c r="N300" s="1242"/>
      <c r="O300" s="510"/>
      <c r="P300" s="1242">
        <v>212</v>
      </c>
      <c r="Q300" s="649"/>
      <c r="R300" s="649"/>
      <c r="S300" s="510"/>
      <c r="T300" s="511"/>
      <c r="U300" s="511"/>
      <c r="V300" s="642">
        <f t="shared" si="10"/>
        <v>212</v>
      </c>
    </row>
    <row r="301" spans="1:22" ht="18" customHeight="1">
      <c r="A301" s="1265" t="s">
        <v>83</v>
      </c>
      <c r="B301" s="1242"/>
      <c r="C301" s="1242"/>
      <c r="D301" s="510"/>
      <c r="E301" s="510"/>
      <c r="F301" s="510"/>
      <c r="G301" s="510"/>
      <c r="H301" s="510"/>
      <c r="I301" s="510"/>
      <c r="J301" s="510"/>
      <c r="K301" s="510"/>
      <c r="L301" s="510"/>
      <c r="M301" s="510"/>
      <c r="N301" s="1242"/>
      <c r="O301" s="1242"/>
      <c r="P301" s="1242">
        <v>212</v>
      </c>
      <c r="Q301" s="649"/>
      <c r="R301" s="649"/>
      <c r="S301" s="510"/>
      <c r="T301" s="511"/>
      <c r="U301" s="511"/>
      <c r="V301" s="642">
        <f t="shared" si="10"/>
        <v>212</v>
      </c>
    </row>
    <row r="302" spans="1:22" ht="18" customHeight="1">
      <c r="A302" s="1265" t="s">
        <v>84</v>
      </c>
      <c r="B302" s="1242"/>
      <c r="C302" s="1242"/>
      <c r="D302" s="510"/>
      <c r="E302" s="510"/>
      <c r="F302" s="510"/>
      <c r="G302" s="510"/>
      <c r="H302" s="510"/>
      <c r="I302" s="510"/>
      <c r="J302" s="510"/>
      <c r="K302" s="510"/>
      <c r="L302" s="510"/>
      <c r="M302" s="510"/>
      <c r="N302" s="1242"/>
      <c r="O302" s="1242"/>
      <c r="P302" s="1242">
        <v>212</v>
      </c>
      <c r="Q302" s="649"/>
      <c r="R302" s="649"/>
      <c r="S302" s="510"/>
      <c r="T302" s="511"/>
      <c r="U302" s="511"/>
      <c r="V302" s="642">
        <f t="shared" si="10"/>
        <v>212</v>
      </c>
    </row>
    <row r="303" spans="1:22" ht="18" customHeight="1">
      <c r="A303" s="1265" t="s">
        <v>189</v>
      </c>
      <c r="B303" s="1242"/>
      <c r="C303" s="1242"/>
      <c r="D303" s="510"/>
      <c r="E303" s="510"/>
      <c r="F303" s="510"/>
      <c r="G303" s="510"/>
      <c r="H303" s="510"/>
      <c r="I303" s="510"/>
      <c r="J303" s="510"/>
      <c r="K303" s="510"/>
      <c r="L303" s="510"/>
      <c r="M303" s="510"/>
      <c r="N303" s="1242"/>
      <c r="O303" s="1242"/>
      <c r="P303" s="1242">
        <v>212</v>
      </c>
      <c r="Q303" s="649"/>
      <c r="R303" s="649"/>
      <c r="S303" s="510"/>
      <c r="T303" s="511"/>
      <c r="U303" s="511"/>
      <c r="V303" s="642">
        <f t="shared" si="10"/>
        <v>212</v>
      </c>
    </row>
    <row r="304" spans="1:22" ht="18" customHeight="1">
      <c r="A304" s="1265" t="s">
        <v>85</v>
      </c>
      <c r="B304" s="1242"/>
      <c r="C304" s="1242"/>
      <c r="D304" s="510"/>
      <c r="E304" s="510"/>
      <c r="F304" s="510"/>
      <c r="G304" s="510"/>
      <c r="H304" s="510"/>
      <c r="I304" s="510"/>
      <c r="J304" s="510"/>
      <c r="K304" s="510"/>
      <c r="L304" s="510"/>
      <c r="M304" s="510"/>
      <c r="N304" s="1242"/>
      <c r="O304" s="1242"/>
      <c r="P304" s="1242">
        <v>212</v>
      </c>
      <c r="Q304" s="649"/>
      <c r="R304" s="649"/>
      <c r="S304" s="510"/>
      <c r="T304" s="511"/>
      <c r="U304" s="511"/>
      <c r="V304" s="642">
        <f t="shared" si="10"/>
        <v>212</v>
      </c>
    </row>
    <row r="305" spans="1:22" ht="18" customHeight="1">
      <c r="A305" s="1265" t="s">
        <v>86</v>
      </c>
      <c r="B305" s="1242"/>
      <c r="C305" s="1242"/>
      <c r="D305" s="510"/>
      <c r="E305" s="510"/>
      <c r="F305" s="510"/>
      <c r="G305" s="510"/>
      <c r="H305" s="510"/>
      <c r="I305" s="510"/>
      <c r="J305" s="510"/>
      <c r="K305" s="510"/>
      <c r="L305" s="510"/>
      <c r="M305" s="510"/>
      <c r="N305" s="1242"/>
      <c r="O305" s="1242"/>
      <c r="P305" s="1242">
        <v>212</v>
      </c>
      <c r="Q305" s="649"/>
      <c r="R305" s="649"/>
      <c r="S305" s="510"/>
      <c r="T305" s="511"/>
      <c r="U305" s="511"/>
      <c r="V305" s="642">
        <f t="shared" si="10"/>
        <v>212</v>
      </c>
    </row>
    <row r="306" spans="1:22" ht="18" customHeight="1">
      <c r="A306" s="1265" t="s">
        <v>87</v>
      </c>
      <c r="B306" s="1242"/>
      <c r="C306" s="1242"/>
      <c r="D306" s="510"/>
      <c r="E306" s="510"/>
      <c r="F306" s="510"/>
      <c r="G306" s="510"/>
      <c r="H306" s="510"/>
      <c r="I306" s="510"/>
      <c r="J306" s="510"/>
      <c r="K306" s="510"/>
      <c r="L306" s="510"/>
      <c r="M306" s="510"/>
      <c r="N306" s="1242"/>
      <c r="O306" s="1242"/>
      <c r="P306" s="1242">
        <v>212</v>
      </c>
      <c r="Q306" s="649"/>
      <c r="R306" s="649"/>
      <c r="S306" s="510"/>
      <c r="T306" s="511"/>
      <c r="U306" s="511"/>
      <c r="V306" s="642">
        <f t="shared" si="10"/>
        <v>212</v>
      </c>
    </row>
    <row r="307" spans="1:22" ht="18" customHeight="1">
      <c r="A307" s="1265" t="s">
        <v>88</v>
      </c>
      <c r="B307" s="1242"/>
      <c r="C307" s="1242"/>
      <c r="D307" s="510"/>
      <c r="E307" s="510"/>
      <c r="F307" s="510"/>
      <c r="G307" s="510"/>
      <c r="H307" s="510"/>
      <c r="I307" s="510"/>
      <c r="J307" s="510"/>
      <c r="K307" s="510"/>
      <c r="L307" s="510"/>
      <c r="M307" s="510"/>
      <c r="N307" s="1242"/>
      <c r="O307" s="1242"/>
      <c r="P307" s="1242">
        <v>212</v>
      </c>
      <c r="Q307" s="649"/>
      <c r="R307" s="649"/>
      <c r="S307" s="510"/>
      <c r="T307" s="511"/>
      <c r="U307" s="511"/>
      <c r="V307" s="642">
        <f t="shared" si="10"/>
        <v>212</v>
      </c>
    </row>
    <row r="308" spans="1:22" ht="18" customHeight="1">
      <c r="A308" s="1265" t="s">
        <v>815</v>
      </c>
      <c r="B308" s="1242"/>
      <c r="C308" s="1242"/>
      <c r="D308" s="510"/>
      <c r="E308" s="510"/>
      <c r="F308" s="510"/>
      <c r="G308" s="510"/>
      <c r="H308" s="510"/>
      <c r="I308" s="510"/>
      <c r="J308" s="510"/>
      <c r="K308" s="510"/>
      <c r="L308" s="510"/>
      <c r="M308" s="510"/>
      <c r="N308" s="1242"/>
      <c r="O308" s="1242"/>
      <c r="P308" s="1242">
        <v>212</v>
      </c>
      <c r="Q308" s="649"/>
      <c r="R308" s="649"/>
      <c r="S308" s="510"/>
      <c r="T308" s="511"/>
      <c r="U308" s="511"/>
      <c r="V308" s="642">
        <f t="shared" si="10"/>
        <v>212</v>
      </c>
    </row>
    <row r="309" spans="1:22" ht="18" customHeight="1">
      <c r="A309" s="1265" t="s">
        <v>89</v>
      </c>
      <c r="B309" s="1242">
        <v>-5048</v>
      </c>
      <c r="C309" s="1242"/>
      <c r="D309" s="510"/>
      <c r="E309" s="510">
        <v>-367</v>
      </c>
      <c r="F309" s="510">
        <v>-50</v>
      </c>
      <c r="G309" s="510"/>
      <c r="H309" s="510"/>
      <c r="I309" s="510"/>
      <c r="J309" s="510"/>
      <c r="K309" s="510">
        <v>-201</v>
      </c>
      <c r="L309" s="510"/>
      <c r="M309" s="510"/>
      <c r="N309" s="1242"/>
      <c r="O309" s="1242"/>
      <c r="P309" s="1242">
        <v>212</v>
      </c>
      <c r="Q309" s="649"/>
      <c r="R309" s="649"/>
      <c r="S309" s="510"/>
      <c r="T309" s="511"/>
      <c r="U309" s="511"/>
      <c r="V309" s="642">
        <f t="shared" si="10"/>
        <v>-5454</v>
      </c>
    </row>
    <row r="310" spans="1:22" ht="18" customHeight="1">
      <c r="A310" s="1265" t="s">
        <v>90</v>
      </c>
      <c r="B310" s="1242"/>
      <c r="C310" s="1242"/>
      <c r="D310" s="510"/>
      <c r="E310" s="510"/>
      <c r="F310" s="510"/>
      <c r="G310" s="510"/>
      <c r="H310" s="510"/>
      <c r="I310" s="510"/>
      <c r="J310" s="510"/>
      <c r="K310" s="510"/>
      <c r="L310" s="510"/>
      <c r="M310" s="510"/>
      <c r="N310" s="1242"/>
      <c r="O310" s="1242"/>
      <c r="P310" s="1242">
        <v>212</v>
      </c>
      <c r="Q310" s="510"/>
      <c r="R310" s="510"/>
      <c r="S310" s="510"/>
      <c r="T310" s="511"/>
      <c r="U310" s="511"/>
      <c r="V310" s="642">
        <f t="shared" si="10"/>
        <v>212</v>
      </c>
    </row>
    <row r="311" spans="1:22" ht="18" customHeight="1">
      <c r="A311" s="1265" t="s">
        <v>91</v>
      </c>
      <c r="B311" s="1242"/>
      <c r="C311" s="1242"/>
      <c r="D311" s="510"/>
      <c r="E311" s="510"/>
      <c r="F311" s="510"/>
      <c r="G311" s="510"/>
      <c r="H311" s="510"/>
      <c r="I311" s="510"/>
      <c r="J311" s="510"/>
      <c r="K311" s="510"/>
      <c r="L311" s="510"/>
      <c r="M311" s="510"/>
      <c r="N311" s="1242"/>
      <c r="O311" s="1242"/>
      <c r="P311" s="1242">
        <v>212</v>
      </c>
      <c r="Q311" s="649"/>
      <c r="R311" s="649"/>
      <c r="S311" s="510"/>
      <c r="T311" s="511"/>
      <c r="U311" s="511"/>
      <c r="V311" s="642">
        <f t="shared" si="10"/>
        <v>212</v>
      </c>
    </row>
    <row r="312" spans="1:22" ht="18" customHeight="1">
      <c r="A312" s="1265" t="s">
        <v>190</v>
      </c>
      <c r="B312" s="1242"/>
      <c r="C312" s="1242"/>
      <c r="D312" s="510"/>
      <c r="E312" s="510"/>
      <c r="F312" s="510"/>
      <c r="G312" s="510"/>
      <c r="H312" s="510"/>
      <c r="I312" s="510"/>
      <c r="J312" s="510"/>
      <c r="K312" s="510"/>
      <c r="L312" s="510"/>
      <c r="M312" s="510"/>
      <c r="N312" s="1242"/>
      <c r="O312" s="1242"/>
      <c r="P312" s="1242">
        <v>212</v>
      </c>
      <c r="Q312" s="649"/>
      <c r="R312" s="649"/>
      <c r="S312" s="510"/>
      <c r="T312" s="511"/>
      <c r="U312" s="511"/>
      <c r="V312" s="642">
        <f t="shared" si="10"/>
        <v>212</v>
      </c>
    </row>
    <row r="313" spans="1:22" ht="18" customHeight="1">
      <c r="A313" s="1265" t="s">
        <v>92</v>
      </c>
      <c r="B313" s="1242"/>
      <c r="C313" s="1242"/>
      <c r="D313" s="510"/>
      <c r="E313" s="510"/>
      <c r="F313" s="510"/>
      <c r="G313" s="510"/>
      <c r="H313" s="510"/>
      <c r="I313" s="510"/>
      <c r="J313" s="510"/>
      <c r="K313" s="510"/>
      <c r="L313" s="510"/>
      <c r="M313" s="510"/>
      <c r="N313" s="1242"/>
      <c r="O313" s="1242"/>
      <c r="P313" s="1242">
        <v>212</v>
      </c>
      <c r="Q313" s="649"/>
      <c r="R313" s="649"/>
      <c r="S313" s="510"/>
      <c r="T313" s="511"/>
      <c r="U313" s="511"/>
      <c r="V313" s="642">
        <f t="shared" si="10"/>
        <v>212</v>
      </c>
    </row>
    <row r="314" spans="1:22" ht="18" customHeight="1">
      <c r="A314" s="1265" t="s">
        <v>93</v>
      </c>
      <c r="B314" s="1242"/>
      <c r="C314" s="1242"/>
      <c r="D314" s="510"/>
      <c r="E314" s="510"/>
      <c r="F314" s="510"/>
      <c r="G314" s="510"/>
      <c r="H314" s="510"/>
      <c r="I314" s="510"/>
      <c r="J314" s="510"/>
      <c r="K314" s="510"/>
      <c r="L314" s="510"/>
      <c r="M314" s="510"/>
      <c r="N314" s="1242"/>
      <c r="O314" s="1242"/>
      <c r="P314" s="1242">
        <v>212</v>
      </c>
      <c r="Q314" s="649"/>
      <c r="R314" s="649"/>
      <c r="S314" s="510"/>
      <c r="T314" s="511"/>
      <c r="U314" s="511"/>
      <c r="V314" s="642">
        <f t="shared" si="10"/>
        <v>212</v>
      </c>
    </row>
    <row r="315" spans="1:22" ht="18" customHeight="1">
      <c r="A315" s="1265" t="s">
        <v>153</v>
      </c>
      <c r="B315" s="510"/>
      <c r="C315" s="510"/>
      <c r="D315" s="510"/>
      <c r="E315" s="510"/>
      <c r="F315" s="510"/>
      <c r="G315" s="510"/>
      <c r="H315" s="510"/>
      <c r="I315" s="510"/>
      <c r="J315" s="510"/>
      <c r="K315" s="510"/>
      <c r="L315" s="510"/>
      <c r="M315" s="510"/>
      <c r="N315" s="1242"/>
      <c r="O315" s="1242"/>
      <c r="P315" s="1242">
        <v>212</v>
      </c>
      <c r="Q315" s="649"/>
      <c r="R315" s="649"/>
      <c r="S315" s="510"/>
      <c r="T315" s="511"/>
      <c r="U315" s="511"/>
      <c r="V315" s="642">
        <f t="shared" si="10"/>
        <v>212</v>
      </c>
    </row>
    <row r="316" spans="1:22" ht="18" customHeight="1">
      <c r="A316" s="1265" t="s">
        <v>157</v>
      </c>
      <c r="B316" s="510">
        <v>5384</v>
      </c>
      <c r="C316" s="510"/>
      <c r="D316" s="510"/>
      <c r="E316" s="510">
        <v>367</v>
      </c>
      <c r="F316" s="510">
        <v>50</v>
      </c>
      <c r="G316" s="510"/>
      <c r="H316" s="510"/>
      <c r="I316" s="510"/>
      <c r="J316" s="510"/>
      <c r="K316" s="510"/>
      <c r="L316" s="510"/>
      <c r="M316" s="510"/>
      <c r="N316" s="1242"/>
      <c r="O316" s="1242"/>
      <c r="P316" s="1242">
        <v>212</v>
      </c>
      <c r="Q316" s="649"/>
      <c r="R316" s="649"/>
      <c r="S316" s="510"/>
      <c r="T316" s="511"/>
      <c r="U316" s="511"/>
      <c r="V316" s="642">
        <f t="shared" si="10"/>
        <v>6013</v>
      </c>
    </row>
    <row r="317" spans="1:22" ht="18" customHeight="1">
      <c r="A317" s="1265" t="s">
        <v>94</v>
      </c>
      <c r="B317" s="510"/>
      <c r="C317" s="510"/>
      <c r="D317" s="510"/>
      <c r="E317" s="510"/>
      <c r="F317" s="510"/>
      <c r="G317" s="510"/>
      <c r="H317" s="510"/>
      <c r="I317" s="510"/>
      <c r="J317" s="510"/>
      <c r="K317" s="510"/>
      <c r="L317" s="510"/>
      <c r="M317" s="510"/>
      <c r="N317" s="1242"/>
      <c r="O317" s="1242"/>
      <c r="P317" s="1242">
        <v>212</v>
      </c>
      <c r="Q317" s="649"/>
      <c r="R317" s="649"/>
      <c r="S317" s="510"/>
      <c r="T317" s="511"/>
      <c r="U317" s="511"/>
      <c r="V317" s="642">
        <f t="shared" si="10"/>
        <v>212</v>
      </c>
    </row>
    <row r="318" spans="1:22" ht="18" customHeight="1">
      <c r="A318" s="1265" t="s">
        <v>95</v>
      </c>
      <c r="B318" s="510"/>
      <c r="C318" s="510"/>
      <c r="D318" s="510"/>
      <c r="E318" s="510"/>
      <c r="F318" s="510"/>
      <c r="G318" s="510"/>
      <c r="H318" s="510"/>
      <c r="I318" s="510"/>
      <c r="J318" s="510"/>
      <c r="K318" s="510"/>
      <c r="L318" s="510"/>
      <c r="M318" s="510"/>
      <c r="N318" s="1242"/>
      <c r="O318" s="1242"/>
      <c r="P318" s="1242">
        <v>212</v>
      </c>
      <c r="Q318" s="649"/>
      <c r="R318" s="649"/>
      <c r="S318" s="510"/>
      <c r="T318" s="511"/>
      <c r="U318" s="511"/>
      <c r="V318" s="642">
        <f t="shared" si="10"/>
        <v>212</v>
      </c>
    </row>
    <row r="319" spans="1:22" ht="18" customHeight="1">
      <c r="A319" s="1265" t="s">
        <v>96</v>
      </c>
      <c r="B319" s="510"/>
      <c r="C319" s="510"/>
      <c r="D319" s="510"/>
      <c r="E319" s="510"/>
      <c r="F319" s="510"/>
      <c r="G319" s="510"/>
      <c r="H319" s="510"/>
      <c r="I319" s="510"/>
      <c r="J319" s="510"/>
      <c r="K319" s="510"/>
      <c r="L319" s="510"/>
      <c r="M319" s="510"/>
      <c r="N319" s="1242"/>
      <c r="O319" s="1242"/>
      <c r="P319" s="1242">
        <v>212</v>
      </c>
      <c r="Q319" s="649"/>
      <c r="R319" s="649"/>
      <c r="S319" s="510"/>
      <c r="T319" s="511"/>
      <c r="U319" s="511"/>
      <c r="V319" s="642">
        <f t="shared" si="10"/>
        <v>212</v>
      </c>
    </row>
    <row r="320" spans="1:22" ht="18" customHeight="1">
      <c r="A320" s="1265" t="s">
        <v>816</v>
      </c>
      <c r="B320" s="510"/>
      <c r="C320" s="510"/>
      <c r="D320" s="510"/>
      <c r="E320" s="510"/>
      <c r="F320" s="510"/>
      <c r="G320" s="510"/>
      <c r="H320" s="510"/>
      <c r="I320" s="510"/>
      <c r="J320" s="510"/>
      <c r="K320" s="510"/>
      <c r="L320" s="510"/>
      <c r="M320" s="510"/>
      <c r="N320" s="1242"/>
      <c r="O320" s="1242"/>
      <c r="P320" s="1242">
        <v>212</v>
      </c>
      <c r="Q320" s="649"/>
      <c r="R320" s="649"/>
      <c r="S320" s="510"/>
      <c r="T320" s="511"/>
      <c r="U320" s="511"/>
      <c r="V320" s="642">
        <f t="shared" si="10"/>
        <v>212</v>
      </c>
    </row>
    <row r="321" spans="1:22" ht="18" customHeight="1">
      <c r="A321" s="1265" t="s">
        <v>97</v>
      </c>
      <c r="B321" s="510"/>
      <c r="C321" s="510"/>
      <c r="D321" s="510"/>
      <c r="E321" s="510"/>
      <c r="F321" s="510"/>
      <c r="G321" s="510"/>
      <c r="H321" s="510"/>
      <c r="I321" s="510"/>
      <c r="J321" s="510"/>
      <c r="K321" s="510"/>
      <c r="L321" s="510"/>
      <c r="M321" s="510"/>
      <c r="N321" s="1242"/>
      <c r="O321" s="1242"/>
      <c r="P321" s="1242">
        <v>212</v>
      </c>
      <c r="Q321" s="649"/>
      <c r="R321" s="649"/>
      <c r="S321" s="510"/>
      <c r="T321" s="511"/>
      <c r="U321" s="511"/>
      <c r="V321" s="642">
        <f t="shared" si="10"/>
        <v>212</v>
      </c>
    </row>
    <row r="322" spans="1:22" ht="18" customHeight="1">
      <c r="A322" s="1265" t="s">
        <v>817</v>
      </c>
      <c r="B322" s="510"/>
      <c r="C322" s="510"/>
      <c r="D322" s="510"/>
      <c r="E322" s="510"/>
      <c r="F322" s="510"/>
      <c r="G322" s="510"/>
      <c r="H322" s="510"/>
      <c r="I322" s="510"/>
      <c r="J322" s="510"/>
      <c r="K322" s="510"/>
      <c r="L322" s="510"/>
      <c r="M322" s="510"/>
      <c r="N322" s="1242"/>
      <c r="O322" s="1242"/>
      <c r="P322" s="1242">
        <v>212</v>
      </c>
      <c r="Q322" s="649"/>
      <c r="R322" s="649"/>
      <c r="S322" s="510"/>
      <c r="T322" s="511"/>
      <c r="U322" s="511"/>
      <c r="V322" s="642">
        <f t="shared" si="10"/>
        <v>212</v>
      </c>
    </row>
    <row r="323" spans="1:22" ht="18" customHeight="1">
      <c r="A323" s="1265" t="s">
        <v>98</v>
      </c>
      <c r="B323" s="510"/>
      <c r="C323" s="510"/>
      <c r="D323" s="510"/>
      <c r="E323" s="510"/>
      <c r="F323" s="510"/>
      <c r="G323" s="510"/>
      <c r="H323" s="510"/>
      <c r="I323" s="510"/>
      <c r="J323" s="510"/>
      <c r="K323" s="510"/>
      <c r="L323" s="510"/>
      <c r="M323" s="510"/>
      <c r="N323" s="1242"/>
      <c r="O323" s="1242"/>
      <c r="P323" s="1242">
        <v>212</v>
      </c>
      <c r="Q323" s="649"/>
      <c r="R323" s="649"/>
      <c r="S323" s="510"/>
      <c r="T323" s="511"/>
      <c r="U323" s="511"/>
      <c r="V323" s="642">
        <f t="shared" si="10"/>
        <v>212</v>
      </c>
    </row>
    <row r="324" spans="1:22" ht="18" customHeight="1">
      <c r="A324" s="1265" t="s">
        <v>99</v>
      </c>
      <c r="B324" s="510"/>
      <c r="C324" s="510"/>
      <c r="D324" s="510"/>
      <c r="E324" s="510"/>
      <c r="F324" s="510"/>
      <c r="G324" s="510"/>
      <c r="H324" s="510"/>
      <c r="I324" s="510"/>
      <c r="J324" s="510"/>
      <c r="K324" s="510"/>
      <c r="L324" s="510"/>
      <c r="M324" s="510"/>
      <c r="N324" s="1242"/>
      <c r="O324" s="1242"/>
      <c r="P324" s="1242">
        <v>212</v>
      </c>
      <c r="Q324" s="649"/>
      <c r="R324" s="649"/>
      <c r="S324" s="510"/>
      <c r="T324" s="511"/>
      <c r="U324" s="511"/>
      <c r="V324" s="642">
        <f t="shared" si="10"/>
        <v>212</v>
      </c>
    </row>
    <row r="325" spans="1:22" ht="18" customHeight="1">
      <c r="A325" s="1265" t="s">
        <v>100</v>
      </c>
      <c r="B325" s="510"/>
      <c r="C325" s="510"/>
      <c r="D325" s="510"/>
      <c r="E325" s="510"/>
      <c r="F325" s="510"/>
      <c r="G325" s="510"/>
      <c r="H325" s="510"/>
      <c r="I325" s="510"/>
      <c r="J325" s="510"/>
      <c r="K325" s="510"/>
      <c r="L325" s="510"/>
      <c r="M325" s="510"/>
      <c r="N325" s="1242"/>
      <c r="O325" s="1242"/>
      <c r="P325" s="1242">
        <v>212</v>
      </c>
      <c r="Q325" s="649"/>
      <c r="R325" s="649"/>
      <c r="S325" s="510"/>
      <c r="T325" s="511"/>
      <c r="U325" s="511"/>
      <c r="V325" s="642">
        <f t="shared" si="10"/>
        <v>212</v>
      </c>
    </row>
    <row r="326" spans="1:22" ht="18" customHeight="1">
      <c r="A326" s="1265" t="s">
        <v>101</v>
      </c>
      <c r="B326" s="510"/>
      <c r="C326" s="510"/>
      <c r="D326" s="510"/>
      <c r="E326" s="510"/>
      <c r="F326" s="510"/>
      <c r="G326" s="510"/>
      <c r="H326" s="510"/>
      <c r="I326" s="510"/>
      <c r="J326" s="510"/>
      <c r="K326" s="510"/>
      <c r="L326" s="510"/>
      <c r="M326" s="510"/>
      <c r="N326" s="1242"/>
      <c r="O326" s="1242"/>
      <c r="P326" s="1242">
        <v>212</v>
      </c>
      <c r="Q326" s="649"/>
      <c r="R326" s="649"/>
      <c r="S326" s="510"/>
      <c r="T326" s="511"/>
      <c r="U326" s="511"/>
      <c r="V326" s="642">
        <f t="shared" si="10"/>
        <v>212</v>
      </c>
    </row>
    <row r="327" spans="1:22" ht="18" customHeight="1">
      <c r="A327" s="1265" t="s">
        <v>102</v>
      </c>
      <c r="B327" s="510"/>
      <c r="C327" s="510"/>
      <c r="D327" s="510"/>
      <c r="E327" s="510"/>
      <c r="F327" s="510"/>
      <c r="G327" s="510"/>
      <c r="H327" s="510"/>
      <c r="I327" s="510"/>
      <c r="J327" s="510"/>
      <c r="K327" s="510"/>
      <c r="L327" s="510"/>
      <c r="M327" s="510"/>
      <c r="N327" s="1242"/>
      <c r="O327" s="1242"/>
      <c r="P327" s="1242">
        <v>212</v>
      </c>
      <c r="Q327" s="649"/>
      <c r="R327" s="649"/>
      <c r="S327" s="510"/>
      <c r="T327" s="511"/>
      <c r="U327" s="511"/>
      <c r="V327" s="642">
        <f t="shared" si="10"/>
        <v>212</v>
      </c>
    </row>
    <row r="328" spans="1:22" ht="18" customHeight="1">
      <c r="A328" s="1265" t="s">
        <v>103</v>
      </c>
      <c r="B328" s="510"/>
      <c r="C328" s="510"/>
      <c r="D328" s="510"/>
      <c r="E328" s="510"/>
      <c r="F328" s="510"/>
      <c r="G328" s="510"/>
      <c r="H328" s="510"/>
      <c r="I328" s="510"/>
      <c r="J328" s="510"/>
      <c r="K328" s="510"/>
      <c r="L328" s="510"/>
      <c r="M328" s="510"/>
      <c r="N328" s="1242"/>
      <c r="O328" s="1242"/>
      <c r="P328" s="1242">
        <v>212</v>
      </c>
      <c r="Q328" s="649"/>
      <c r="R328" s="649"/>
      <c r="S328" s="510"/>
      <c r="T328" s="511"/>
      <c r="U328" s="511"/>
      <c r="V328" s="642">
        <f t="shared" si="10"/>
        <v>212</v>
      </c>
    </row>
    <row r="329" spans="1:22" ht="18" customHeight="1">
      <c r="A329" s="1265" t="s">
        <v>818</v>
      </c>
      <c r="B329" s="510">
        <v>1020</v>
      </c>
      <c r="C329" s="510"/>
      <c r="D329" s="510">
        <v>300</v>
      </c>
      <c r="E329" s="510">
        <v>183</v>
      </c>
      <c r="F329" s="510">
        <v>25</v>
      </c>
      <c r="G329" s="510"/>
      <c r="H329" s="510"/>
      <c r="I329" s="510"/>
      <c r="J329" s="510"/>
      <c r="K329" s="510">
        <v>150</v>
      </c>
      <c r="L329" s="510"/>
      <c r="M329" s="510"/>
      <c r="N329" s="1242"/>
      <c r="O329" s="510"/>
      <c r="P329" s="1242">
        <v>212</v>
      </c>
      <c r="Q329" s="649"/>
      <c r="R329" s="649"/>
      <c r="S329" s="510"/>
      <c r="T329" s="511"/>
      <c r="U329" s="511"/>
      <c r="V329" s="642">
        <f t="shared" si="10"/>
        <v>1890</v>
      </c>
    </row>
    <row r="330" spans="1:22" ht="18" customHeight="1">
      <c r="A330" s="1265" t="s">
        <v>819</v>
      </c>
      <c r="B330" s="510"/>
      <c r="C330" s="510"/>
      <c r="D330" s="510"/>
      <c r="E330" s="510"/>
      <c r="F330" s="510"/>
      <c r="G330" s="510"/>
      <c r="H330" s="510"/>
      <c r="I330" s="510"/>
      <c r="J330" s="510"/>
      <c r="K330" s="510"/>
      <c r="L330" s="510"/>
      <c r="M330" s="510"/>
      <c r="N330" s="1242"/>
      <c r="O330" s="510"/>
      <c r="P330" s="1242">
        <v>212</v>
      </c>
      <c r="Q330" s="649"/>
      <c r="R330" s="649"/>
      <c r="S330" s="510"/>
      <c r="T330" s="511"/>
      <c r="U330" s="511"/>
      <c r="V330" s="642">
        <f t="shared" si="10"/>
        <v>212</v>
      </c>
    </row>
    <row r="331" spans="1:22" ht="18" customHeight="1">
      <c r="A331" s="1265" t="s">
        <v>104</v>
      </c>
      <c r="B331" s="510"/>
      <c r="C331" s="510"/>
      <c r="D331" s="510"/>
      <c r="E331" s="510"/>
      <c r="F331" s="510"/>
      <c r="G331" s="510"/>
      <c r="H331" s="510"/>
      <c r="I331" s="510"/>
      <c r="J331" s="510"/>
      <c r="K331" s="510"/>
      <c r="L331" s="510"/>
      <c r="M331" s="510"/>
      <c r="N331" s="1242"/>
      <c r="O331" s="510"/>
      <c r="P331" s="1242">
        <v>212</v>
      </c>
      <c r="Q331" s="649"/>
      <c r="R331" s="649"/>
      <c r="S331" s="510"/>
      <c r="T331" s="511"/>
      <c r="U331" s="511"/>
      <c r="V331" s="642">
        <f t="shared" si="10"/>
        <v>212</v>
      </c>
    </row>
    <row r="332" spans="1:22" ht="18" customHeight="1">
      <c r="A332" s="1265" t="s">
        <v>158</v>
      </c>
      <c r="B332" s="510">
        <v>1020</v>
      </c>
      <c r="C332" s="510"/>
      <c r="D332" s="510">
        <v>300</v>
      </c>
      <c r="E332" s="510">
        <v>183</v>
      </c>
      <c r="F332" s="510">
        <v>25</v>
      </c>
      <c r="G332" s="510"/>
      <c r="H332" s="510"/>
      <c r="I332" s="510"/>
      <c r="J332" s="510"/>
      <c r="K332" s="510">
        <v>150</v>
      </c>
      <c r="L332" s="510"/>
      <c r="M332" s="510"/>
      <c r="N332" s="1242"/>
      <c r="O332" s="510"/>
      <c r="P332" s="1242">
        <v>212</v>
      </c>
      <c r="Q332" s="649"/>
      <c r="R332" s="649"/>
      <c r="S332" s="510"/>
      <c r="T332" s="511"/>
      <c r="U332" s="511"/>
      <c r="V332" s="642">
        <f t="shared" si="10"/>
        <v>1890</v>
      </c>
    </row>
    <row r="333" spans="1:22" ht="18" customHeight="1">
      <c r="A333" s="1265" t="s">
        <v>154</v>
      </c>
      <c r="B333" s="510"/>
      <c r="C333" s="510"/>
      <c r="D333" s="510"/>
      <c r="E333" s="510"/>
      <c r="F333" s="510"/>
      <c r="G333" s="510"/>
      <c r="H333" s="510"/>
      <c r="I333" s="510"/>
      <c r="J333" s="510"/>
      <c r="K333" s="510"/>
      <c r="L333" s="510"/>
      <c r="M333" s="510"/>
      <c r="N333" s="1242"/>
      <c r="O333" s="510"/>
      <c r="P333" s="1242">
        <v>212</v>
      </c>
      <c r="Q333" s="649"/>
      <c r="R333" s="649"/>
      <c r="S333" s="510"/>
      <c r="T333" s="511"/>
      <c r="U333" s="511"/>
      <c r="V333" s="642">
        <f aca="true" t="shared" si="11" ref="V333:V397">SUM(B333:U333)</f>
        <v>212</v>
      </c>
    </row>
    <row r="334" spans="1:22" ht="18" customHeight="1">
      <c r="A334" s="1265" t="s">
        <v>105</v>
      </c>
      <c r="B334" s="510"/>
      <c r="C334" s="510"/>
      <c r="D334" s="510"/>
      <c r="E334" s="510"/>
      <c r="F334" s="510"/>
      <c r="G334" s="510"/>
      <c r="H334" s="510"/>
      <c r="I334" s="510"/>
      <c r="J334" s="510"/>
      <c r="K334" s="510"/>
      <c r="L334" s="510"/>
      <c r="M334" s="510"/>
      <c r="N334" s="1242"/>
      <c r="O334" s="510"/>
      <c r="P334" s="1242">
        <v>212</v>
      </c>
      <c r="Q334" s="649"/>
      <c r="R334" s="649"/>
      <c r="S334" s="510"/>
      <c r="T334" s="511"/>
      <c r="U334" s="511"/>
      <c r="V334" s="642">
        <f t="shared" si="11"/>
        <v>212</v>
      </c>
    </row>
    <row r="335" spans="1:22" ht="18" customHeight="1">
      <c r="A335" s="1265" t="s">
        <v>159</v>
      </c>
      <c r="B335" s="510">
        <v>-5048</v>
      </c>
      <c r="C335" s="510"/>
      <c r="D335" s="510"/>
      <c r="E335" s="510">
        <v>-367</v>
      </c>
      <c r="F335" s="510">
        <v>-50</v>
      </c>
      <c r="G335" s="510"/>
      <c r="H335" s="510"/>
      <c r="I335" s="510"/>
      <c r="J335" s="510"/>
      <c r="K335" s="510"/>
      <c r="L335" s="510"/>
      <c r="M335" s="510"/>
      <c r="N335" s="1242"/>
      <c r="O335" s="510"/>
      <c r="P335" s="1242">
        <v>212</v>
      </c>
      <c r="Q335" s="649"/>
      <c r="R335" s="649"/>
      <c r="S335" s="510"/>
      <c r="T335" s="511"/>
      <c r="U335" s="511"/>
      <c r="V335" s="642">
        <f t="shared" si="11"/>
        <v>-5253</v>
      </c>
    </row>
    <row r="336" spans="1:22" ht="18" customHeight="1">
      <c r="A336" s="1265" t="s">
        <v>160</v>
      </c>
      <c r="B336" s="510"/>
      <c r="C336" s="510"/>
      <c r="D336" s="510"/>
      <c r="E336" s="510"/>
      <c r="F336" s="510"/>
      <c r="G336" s="510"/>
      <c r="H336" s="510"/>
      <c r="I336" s="510"/>
      <c r="J336" s="510"/>
      <c r="K336" s="510"/>
      <c r="L336" s="510"/>
      <c r="M336" s="510"/>
      <c r="N336" s="1242"/>
      <c r="O336" s="510"/>
      <c r="P336" s="1242">
        <v>212</v>
      </c>
      <c r="Q336" s="649"/>
      <c r="R336" s="649"/>
      <c r="S336" s="510"/>
      <c r="T336" s="511"/>
      <c r="U336" s="511"/>
      <c r="V336" s="642">
        <f t="shared" si="11"/>
        <v>212</v>
      </c>
    </row>
    <row r="337" spans="1:22" ht="18" customHeight="1">
      <c r="A337" s="1265" t="s">
        <v>106</v>
      </c>
      <c r="B337" s="510"/>
      <c r="C337" s="510"/>
      <c r="D337" s="510"/>
      <c r="E337" s="510"/>
      <c r="F337" s="510"/>
      <c r="G337" s="510"/>
      <c r="H337" s="510"/>
      <c r="I337" s="510"/>
      <c r="J337" s="510"/>
      <c r="K337" s="510"/>
      <c r="L337" s="510"/>
      <c r="M337" s="510"/>
      <c r="N337" s="1242"/>
      <c r="O337" s="510"/>
      <c r="P337" s="1242">
        <v>212</v>
      </c>
      <c r="Q337" s="649"/>
      <c r="R337" s="649"/>
      <c r="S337" s="510"/>
      <c r="T337" s="511"/>
      <c r="U337" s="511"/>
      <c r="V337" s="642">
        <f t="shared" si="11"/>
        <v>212</v>
      </c>
    </row>
    <row r="338" spans="1:22" ht="18" customHeight="1">
      <c r="A338" s="1265" t="s">
        <v>820</v>
      </c>
      <c r="B338" s="510"/>
      <c r="C338" s="510"/>
      <c r="D338" s="510"/>
      <c r="E338" s="510"/>
      <c r="F338" s="510"/>
      <c r="G338" s="510"/>
      <c r="H338" s="510"/>
      <c r="I338" s="510"/>
      <c r="J338" s="510"/>
      <c r="K338" s="510"/>
      <c r="L338" s="510"/>
      <c r="M338" s="510"/>
      <c r="N338" s="1242"/>
      <c r="O338" s="510"/>
      <c r="P338" s="1242">
        <v>212</v>
      </c>
      <c r="Q338" s="649"/>
      <c r="R338" s="649"/>
      <c r="S338" s="510"/>
      <c r="T338" s="511"/>
      <c r="U338" s="511"/>
      <c r="V338" s="642">
        <f t="shared" si="11"/>
        <v>212</v>
      </c>
    </row>
    <row r="339" spans="1:22" ht="18" customHeight="1">
      <c r="A339" s="1265" t="s">
        <v>107</v>
      </c>
      <c r="B339" s="510"/>
      <c r="C339" s="510"/>
      <c r="D339" s="510"/>
      <c r="E339" s="510"/>
      <c r="F339" s="510"/>
      <c r="G339" s="510"/>
      <c r="H339" s="510"/>
      <c r="I339" s="510"/>
      <c r="J339" s="510"/>
      <c r="K339" s="510"/>
      <c r="L339" s="510"/>
      <c r="M339" s="510"/>
      <c r="N339" s="1242"/>
      <c r="O339" s="510"/>
      <c r="P339" s="1242">
        <v>212</v>
      </c>
      <c r="Q339" s="649"/>
      <c r="R339" s="649"/>
      <c r="S339" s="510"/>
      <c r="T339" s="511"/>
      <c r="U339" s="511"/>
      <c r="V339" s="642">
        <f t="shared" si="11"/>
        <v>212</v>
      </c>
    </row>
    <row r="340" spans="1:22" ht="18" customHeight="1">
      <c r="A340" s="1265" t="s">
        <v>108</v>
      </c>
      <c r="B340" s="510"/>
      <c r="C340" s="510"/>
      <c r="D340" s="510"/>
      <c r="E340" s="510"/>
      <c r="F340" s="510"/>
      <c r="G340" s="510"/>
      <c r="H340" s="510"/>
      <c r="I340" s="510"/>
      <c r="J340" s="510"/>
      <c r="K340" s="510"/>
      <c r="L340" s="510"/>
      <c r="M340" s="510"/>
      <c r="N340" s="1242"/>
      <c r="O340" s="510"/>
      <c r="P340" s="1242">
        <v>184</v>
      </c>
      <c r="Q340" s="649"/>
      <c r="R340" s="649"/>
      <c r="S340" s="510"/>
      <c r="T340" s="511"/>
      <c r="U340" s="511"/>
      <c r="V340" s="642">
        <f t="shared" si="11"/>
        <v>184</v>
      </c>
    </row>
    <row r="341" spans="1:22" ht="18" customHeight="1">
      <c r="A341" s="1265" t="s">
        <v>109</v>
      </c>
      <c r="B341" s="510"/>
      <c r="C341" s="510"/>
      <c r="D341" s="510"/>
      <c r="E341" s="510"/>
      <c r="F341" s="510"/>
      <c r="G341" s="510"/>
      <c r="H341" s="510"/>
      <c r="I341" s="510"/>
      <c r="J341" s="510"/>
      <c r="K341" s="510"/>
      <c r="L341" s="510"/>
      <c r="M341" s="510"/>
      <c r="N341" s="1242"/>
      <c r="O341" s="510"/>
      <c r="P341" s="1242">
        <v>212</v>
      </c>
      <c r="Q341" s="649"/>
      <c r="R341" s="649"/>
      <c r="S341" s="510"/>
      <c r="T341" s="511"/>
      <c r="U341" s="511"/>
      <c r="V341" s="642">
        <f t="shared" si="11"/>
        <v>212</v>
      </c>
    </row>
    <row r="342" spans="1:22" ht="18" customHeight="1">
      <c r="A342" s="513" t="s">
        <v>110</v>
      </c>
      <c r="B342" s="510"/>
      <c r="C342" s="510"/>
      <c r="D342" s="510"/>
      <c r="E342" s="510"/>
      <c r="F342" s="510"/>
      <c r="G342" s="510"/>
      <c r="H342" s="510"/>
      <c r="I342" s="510"/>
      <c r="J342" s="510"/>
      <c r="K342" s="510"/>
      <c r="L342" s="510"/>
      <c r="M342" s="510"/>
      <c r="N342" s="1242"/>
      <c r="O342" s="510"/>
      <c r="P342" s="1242">
        <v>212</v>
      </c>
      <c r="Q342" s="649"/>
      <c r="R342" s="649"/>
      <c r="S342" s="510"/>
      <c r="T342" s="511"/>
      <c r="U342" s="511"/>
      <c r="V342" s="642">
        <f t="shared" si="11"/>
        <v>212</v>
      </c>
    </row>
    <row r="343" spans="1:22" ht="18" customHeight="1">
      <c r="A343" s="513" t="s">
        <v>111</v>
      </c>
      <c r="B343" s="510"/>
      <c r="C343" s="510"/>
      <c r="D343" s="510"/>
      <c r="E343" s="510"/>
      <c r="F343" s="510"/>
      <c r="G343" s="510"/>
      <c r="H343" s="510"/>
      <c r="I343" s="510"/>
      <c r="J343" s="510"/>
      <c r="K343" s="510"/>
      <c r="L343" s="510"/>
      <c r="M343" s="510"/>
      <c r="N343" s="1242"/>
      <c r="O343" s="510"/>
      <c r="P343" s="1242">
        <v>212</v>
      </c>
      <c r="Q343" s="649"/>
      <c r="R343" s="649"/>
      <c r="S343" s="510"/>
      <c r="T343" s="511"/>
      <c r="U343" s="511"/>
      <c r="V343" s="642">
        <f t="shared" si="11"/>
        <v>212</v>
      </c>
    </row>
    <row r="344" spans="1:22" ht="18" customHeight="1">
      <c r="A344" s="513" t="s">
        <v>112</v>
      </c>
      <c r="B344" s="510"/>
      <c r="C344" s="510"/>
      <c r="D344" s="510"/>
      <c r="E344" s="510"/>
      <c r="F344" s="510"/>
      <c r="G344" s="510"/>
      <c r="H344" s="510"/>
      <c r="I344" s="510"/>
      <c r="J344" s="510"/>
      <c r="K344" s="510"/>
      <c r="L344" s="510"/>
      <c r="M344" s="510"/>
      <c r="N344" s="1242"/>
      <c r="O344" s="510"/>
      <c r="P344" s="1242">
        <v>212</v>
      </c>
      <c r="Q344" s="649"/>
      <c r="R344" s="649"/>
      <c r="S344" s="510"/>
      <c r="T344" s="511"/>
      <c r="U344" s="511"/>
      <c r="V344" s="642">
        <f t="shared" si="11"/>
        <v>212</v>
      </c>
    </row>
    <row r="345" spans="1:22" ht="18" customHeight="1">
      <c r="A345" s="513" t="s">
        <v>735</v>
      </c>
      <c r="B345" s="510"/>
      <c r="C345" s="510"/>
      <c r="D345" s="510"/>
      <c r="E345" s="510"/>
      <c r="F345" s="510"/>
      <c r="G345" s="510"/>
      <c r="H345" s="510"/>
      <c r="I345" s="510"/>
      <c r="J345" s="510"/>
      <c r="K345" s="510"/>
      <c r="L345" s="510"/>
      <c r="M345" s="510"/>
      <c r="N345" s="1242"/>
      <c r="O345" s="510"/>
      <c r="P345" s="1242">
        <v>212</v>
      </c>
      <c r="Q345" s="649"/>
      <c r="R345" s="649"/>
      <c r="S345" s="510"/>
      <c r="T345" s="511"/>
      <c r="U345" s="511"/>
      <c r="V345" s="642">
        <f t="shared" si="11"/>
        <v>212</v>
      </c>
    </row>
    <row r="346" spans="1:22" ht="18" customHeight="1">
      <c r="A346" s="513" t="s">
        <v>113</v>
      </c>
      <c r="B346" s="510"/>
      <c r="C346" s="510"/>
      <c r="D346" s="510"/>
      <c r="E346" s="510"/>
      <c r="F346" s="510"/>
      <c r="G346" s="510"/>
      <c r="H346" s="510"/>
      <c r="I346" s="510"/>
      <c r="J346" s="510"/>
      <c r="K346" s="510"/>
      <c r="L346" s="510"/>
      <c r="M346" s="510"/>
      <c r="N346" s="1242"/>
      <c r="O346" s="510"/>
      <c r="P346" s="1242">
        <v>212</v>
      </c>
      <c r="Q346" s="649"/>
      <c r="R346" s="649"/>
      <c r="S346" s="510"/>
      <c r="T346" s="511"/>
      <c r="U346" s="511"/>
      <c r="V346" s="642">
        <f t="shared" si="11"/>
        <v>212</v>
      </c>
    </row>
    <row r="347" spans="1:22" ht="18" customHeight="1">
      <c r="A347" s="513" t="s">
        <v>155</v>
      </c>
      <c r="B347" s="510"/>
      <c r="C347" s="510"/>
      <c r="D347" s="510"/>
      <c r="E347" s="510"/>
      <c r="F347" s="510"/>
      <c r="G347" s="510"/>
      <c r="H347" s="510"/>
      <c r="I347" s="510"/>
      <c r="J347" s="510"/>
      <c r="K347" s="510"/>
      <c r="L347" s="510"/>
      <c r="M347" s="510"/>
      <c r="N347" s="1242"/>
      <c r="O347" s="510"/>
      <c r="P347" s="1242">
        <v>212</v>
      </c>
      <c r="Q347" s="649"/>
      <c r="R347" s="649"/>
      <c r="S347" s="510"/>
      <c r="T347" s="511"/>
      <c r="U347" s="511"/>
      <c r="V347" s="642">
        <f t="shared" si="11"/>
        <v>212</v>
      </c>
    </row>
    <row r="348" spans="1:22" ht="18" customHeight="1">
      <c r="A348" s="513" t="s">
        <v>114</v>
      </c>
      <c r="B348" s="510">
        <v>-5048</v>
      </c>
      <c r="C348" s="510"/>
      <c r="D348" s="510"/>
      <c r="E348" s="510">
        <v>-367</v>
      </c>
      <c r="F348" s="510">
        <v>-50</v>
      </c>
      <c r="G348" s="510"/>
      <c r="H348" s="510"/>
      <c r="I348" s="510"/>
      <c r="J348" s="510"/>
      <c r="K348" s="510"/>
      <c r="L348" s="510"/>
      <c r="M348" s="510"/>
      <c r="N348" s="1242"/>
      <c r="O348" s="510"/>
      <c r="P348" s="1242">
        <v>212</v>
      </c>
      <c r="Q348" s="649"/>
      <c r="R348" s="649"/>
      <c r="S348" s="510"/>
      <c r="T348" s="511"/>
      <c r="U348" s="511"/>
      <c r="V348" s="642">
        <f t="shared" si="11"/>
        <v>-5253</v>
      </c>
    </row>
    <row r="349" spans="1:22" ht="18" customHeight="1">
      <c r="A349" s="513" t="s">
        <v>115</v>
      </c>
      <c r="B349" s="510"/>
      <c r="C349" s="510"/>
      <c r="D349" s="510"/>
      <c r="E349" s="510"/>
      <c r="F349" s="510"/>
      <c r="G349" s="510"/>
      <c r="H349" s="510"/>
      <c r="I349" s="510"/>
      <c r="J349" s="510"/>
      <c r="K349" s="510"/>
      <c r="L349" s="510"/>
      <c r="M349" s="510"/>
      <c r="N349" s="1242"/>
      <c r="O349" s="510"/>
      <c r="P349" s="1242">
        <v>212</v>
      </c>
      <c r="Q349" s="510"/>
      <c r="R349" s="510"/>
      <c r="S349" s="510"/>
      <c r="T349" s="511"/>
      <c r="U349" s="511"/>
      <c r="V349" s="642">
        <f t="shared" si="11"/>
        <v>212</v>
      </c>
    </row>
    <row r="350" spans="1:22" ht="18" customHeight="1">
      <c r="A350" s="513" t="s">
        <v>116</v>
      </c>
      <c r="B350" s="510"/>
      <c r="C350" s="510"/>
      <c r="D350" s="510"/>
      <c r="E350" s="510"/>
      <c r="F350" s="510"/>
      <c r="G350" s="510"/>
      <c r="H350" s="510"/>
      <c r="I350" s="510"/>
      <c r="J350" s="510"/>
      <c r="K350" s="510"/>
      <c r="L350" s="510"/>
      <c r="M350" s="510"/>
      <c r="N350" s="1242"/>
      <c r="O350" s="510"/>
      <c r="P350" s="1242">
        <v>212</v>
      </c>
      <c r="Q350" s="649"/>
      <c r="R350" s="649"/>
      <c r="S350" s="510"/>
      <c r="T350" s="511"/>
      <c r="U350" s="511"/>
      <c r="V350" s="642">
        <f t="shared" si="11"/>
        <v>212</v>
      </c>
    </row>
    <row r="351" spans="1:22" ht="18" customHeight="1">
      <c r="A351" s="513" t="s">
        <v>117</v>
      </c>
      <c r="B351" s="510"/>
      <c r="C351" s="510"/>
      <c r="D351" s="510"/>
      <c r="E351" s="510"/>
      <c r="F351" s="510"/>
      <c r="G351" s="510"/>
      <c r="H351" s="510"/>
      <c r="I351" s="510"/>
      <c r="J351" s="510"/>
      <c r="K351" s="510"/>
      <c r="L351" s="510"/>
      <c r="M351" s="510"/>
      <c r="N351" s="1242"/>
      <c r="O351" s="510"/>
      <c r="P351" s="1242">
        <v>212</v>
      </c>
      <c r="Q351" s="649"/>
      <c r="R351" s="649"/>
      <c r="S351" s="510"/>
      <c r="T351" s="511"/>
      <c r="U351" s="511"/>
      <c r="V351" s="642">
        <f t="shared" si="11"/>
        <v>212</v>
      </c>
    </row>
    <row r="352" spans="1:22" ht="18" customHeight="1">
      <c r="A352" s="513" t="s">
        <v>118</v>
      </c>
      <c r="B352" s="510"/>
      <c r="C352" s="510"/>
      <c r="D352" s="510"/>
      <c r="E352" s="510"/>
      <c r="F352" s="510"/>
      <c r="G352" s="510"/>
      <c r="H352" s="510"/>
      <c r="I352" s="510"/>
      <c r="J352" s="510"/>
      <c r="K352" s="510"/>
      <c r="L352" s="510"/>
      <c r="M352" s="510"/>
      <c r="N352" s="1242"/>
      <c r="O352" s="510"/>
      <c r="P352" s="1242">
        <v>212</v>
      </c>
      <c r="Q352" s="649"/>
      <c r="R352" s="649"/>
      <c r="S352" s="510"/>
      <c r="T352" s="511"/>
      <c r="U352" s="511"/>
      <c r="V352" s="642">
        <f t="shared" si="11"/>
        <v>212</v>
      </c>
    </row>
    <row r="353" spans="1:22" ht="18" customHeight="1">
      <c r="A353" s="1265" t="s">
        <v>191</v>
      </c>
      <c r="B353" s="510"/>
      <c r="C353" s="510"/>
      <c r="D353" s="510"/>
      <c r="E353" s="510"/>
      <c r="F353" s="510"/>
      <c r="G353" s="510"/>
      <c r="H353" s="510"/>
      <c r="I353" s="510"/>
      <c r="J353" s="510"/>
      <c r="K353" s="510"/>
      <c r="L353" s="510"/>
      <c r="M353" s="510"/>
      <c r="N353" s="1242"/>
      <c r="O353" s="510"/>
      <c r="P353" s="1242">
        <v>212</v>
      </c>
      <c r="Q353" s="649"/>
      <c r="R353" s="649"/>
      <c r="S353" s="510"/>
      <c r="T353" s="511"/>
      <c r="U353" s="511"/>
      <c r="V353" s="642">
        <f t="shared" si="11"/>
        <v>212</v>
      </c>
    </row>
    <row r="354" spans="1:22" ht="18" customHeight="1">
      <c r="A354" s="513" t="s">
        <v>119</v>
      </c>
      <c r="B354" s="510"/>
      <c r="C354" s="510"/>
      <c r="D354" s="510"/>
      <c r="E354" s="510"/>
      <c r="F354" s="510"/>
      <c r="G354" s="510"/>
      <c r="H354" s="510"/>
      <c r="I354" s="510"/>
      <c r="J354" s="510"/>
      <c r="K354" s="510"/>
      <c r="L354" s="510"/>
      <c r="M354" s="510"/>
      <c r="N354" s="1242"/>
      <c r="O354" s="510"/>
      <c r="P354" s="1242">
        <v>212</v>
      </c>
      <c r="Q354" s="510"/>
      <c r="R354" s="510"/>
      <c r="S354" s="510"/>
      <c r="T354" s="511"/>
      <c r="U354" s="511"/>
      <c r="V354" s="642">
        <f t="shared" si="11"/>
        <v>212</v>
      </c>
    </row>
    <row r="355" spans="1:22" ht="18" customHeight="1">
      <c r="A355" s="513" t="s">
        <v>120</v>
      </c>
      <c r="B355" s="510"/>
      <c r="C355" s="510"/>
      <c r="D355" s="510"/>
      <c r="E355" s="510"/>
      <c r="F355" s="510"/>
      <c r="G355" s="510"/>
      <c r="H355" s="510"/>
      <c r="I355" s="510"/>
      <c r="J355" s="510"/>
      <c r="K355" s="510"/>
      <c r="L355" s="510"/>
      <c r="M355" s="510"/>
      <c r="N355" s="510"/>
      <c r="O355" s="510"/>
      <c r="P355" s="1242">
        <v>212</v>
      </c>
      <c r="Q355" s="649"/>
      <c r="R355" s="649"/>
      <c r="S355" s="510"/>
      <c r="T355" s="511"/>
      <c r="U355" s="511"/>
      <c r="V355" s="642">
        <f t="shared" si="11"/>
        <v>212</v>
      </c>
    </row>
    <row r="356" spans="1:22" ht="18" customHeight="1">
      <c r="A356" s="513" t="s">
        <v>121</v>
      </c>
      <c r="B356" s="510"/>
      <c r="C356" s="510"/>
      <c r="D356" s="510"/>
      <c r="E356" s="510"/>
      <c r="F356" s="510"/>
      <c r="G356" s="510"/>
      <c r="H356" s="510"/>
      <c r="I356" s="510"/>
      <c r="J356" s="510"/>
      <c r="K356" s="510"/>
      <c r="L356" s="510"/>
      <c r="M356" s="510"/>
      <c r="N356" s="510"/>
      <c r="O356" s="510"/>
      <c r="P356" s="1242">
        <v>212</v>
      </c>
      <c r="Q356" s="649"/>
      <c r="R356" s="649"/>
      <c r="S356" s="510"/>
      <c r="T356" s="511"/>
      <c r="U356" s="511"/>
      <c r="V356" s="642">
        <f t="shared" si="11"/>
        <v>212</v>
      </c>
    </row>
    <row r="357" spans="1:22" ht="25.5">
      <c r="A357" s="1345" t="s">
        <v>695</v>
      </c>
      <c r="B357" s="510"/>
      <c r="C357" s="510"/>
      <c r="D357" s="510">
        <v>-800</v>
      </c>
      <c r="E357" s="510"/>
      <c r="F357" s="510"/>
      <c r="G357" s="510"/>
      <c r="H357" s="510"/>
      <c r="I357" s="510"/>
      <c r="J357" s="510"/>
      <c r="K357" s="510">
        <v>150</v>
      </c>
      <c r="L357" s="510"/>
      <c r="M357" s="510"/>
      <c r="N357" s="510"/>
      <c r="O357" s="510"/>
      <c r="P357" s="510">
        <v>800</v>
      </c>
      <c r="Q357" s="510"/>
      <c r="R357" s="510"/>
      <c r="S357" s="510"/>
      <c r="T357" s="510"/>
      <c r="U357" s="510"/>
      <c r="V357" s="642">
        <f t="shared" si="11"/>
        <v>150</v>
      </c>
    </row>
    <row r="358" spans="1:22" ht="16.5" customHeight="1">
      <c r="A358" s="1345" t="s">
        <v>580</v>
      </c>
      <c r="B358" s="510">
        <v>2414</v>
      </c>
      <c r="C358" s="510"/>
      <c r="D358" s="510"/>
      <c r="E358" s="510">
        <v>434</v>
      </c>
      <c r="F358" s="510">
        <v>59</v>
      </c>
      <c r="G358" s="510"/>
      <c r="H358" s="510"/>
      <c r="I358" s="510"/>
      <c r="J358" s="510"/>
      <c r="K358" s="510">
        <v>100</v>
      </c>
      <c r="L358" s="510"/>
      <c r="M358" s="510"/>
      <c r="N358" s="510"/>
      <c r="O358" s="510"/>
      <c r="P358" s="510"/>
      <c r="Q358" s="510"/>
      <c r="R358" s="510"/>
      <c r="S358" s="510"/>
      <c r="T358" s="510"/>
      <c r="U358" s="510"/>
      <c r="V358" s="642">
        <f t="shared" si="11"/>
        <v>3007</v>
      </c>
    </row>
    <row r="359" spans="1:22" ht="16.5" customHeight="1">
      <c r="A359" s="1345" t="s">
        <v>585</v>
      </c>
      <c r="B359" s="510">
        <v>1716</v>
      </c>
      <c r="C359" s="510"/>
      <c r="D359" s="510"/>
      <c r="E359" s="510">
        <v>307</v>
      </c>
      <c r="F359" s="510">
        <v>43</v>
      </c>
      <c r="G359" s="510"/>
      <c r="H359" s="510"/>
      <c r="I359" s="510"/>
      <c r="J359" s="510"/>
      <c r="K359" s="510">
        <v>100</v>
      </c>
      <c r="L359" s="510"/>
      <c r="M359" s="510"/>
      <c r="N359" s="510"/>
      <c r="O359" s="510"/>
      <c r="P359" s="510">
        <v>2588</v>
      </c>
      <c r="Q359" s="510"/>
      <c r="R359" s="510"/>
      <c r="S359" s="510"/>
      <c r="T359" s="510"/>
      <c r="U359" s="510"/>
      <c r="V359" s="642">
        <f t="shared" si="11"/>
        <v>4754</v>
      </c>
    </row>
    <row r="360" spans="1:22" ht="16.5" customHeight="1">
      <c r="A360" s="1345" t="s">
        <v>586</v>
      </c>
      <c r="B360" s="510">
        <v>232</v>
      </c>
      <c r="C360" s="510"/>
      <c r="D360" s="510"/>
      <c r="E360" s="510"/>
      <c r="F360" s="510"/>
      <c r="G360" s="510"/>
      <c r="H360" s="510"/>
      <c r="I360" s="510"/>
      <c r="J360" s="510"/>
      <c r="K360" s="510"/>
      <c r="L360" s="510"/>
      <c r="M360" s="510"/>
      <c r="N360" s="510"/>
      <c r="O360" s="510"/>
      <c r="P360" s="510"/>
      <c r="Q360" s="510"/>
      <c r="R360" s="510"/>
      <c r="S360" s="510"/>
      <c r="T360" s="510"/>
      <c r="U360" s="510"/>
      <c r="V360" s="642">
        <f t="shared" si="11"/>
        <v>232</v>
      </c>
    </row>
    <row r="361" spans="1:22" ht="19.5" customHeight="1">
      <c r="A361" s="1345" t="s">
        <v>591</v>
      </c>
      <c r="B361" s="510"/>
      <c r="C361" s="510"/>
      <c r="D361" s="510">
        <v>-800</v>
      </c>
      <c r="E361" s="510"/>
      <c r="F361" s="510"/>
      <c r="G361" s="510"/>
      <c r="H361" s="510"/>
      <c r="I361" s="510"/>
      <c r="J361" s="510"/>
      <c r="K361" s="510"/>
      <c r="L361" s="510"/>
      <c r="M361" s="510"/>
      <c r="N361" s="510"/>
      <c r="O361" s="510"/>
      <c r="P361" s="510">
        <v>800</v>
      </c>
      <c r="Q361" s="510"/>
      <c r="R361" s="510"/>
      <c r="S361" s="510"/>
      <c r="T361" s="510"/>
      <c r="U361" s="510"/>
      <c r="V361" s="642">
        <f t="shared" si="11"/>
        <v>0</v>
      </c>
    </row>
    <row r="362" spans="1:22" ht="25.5">
      <c r="A362" s="1265" t="s">
        <v>596</v>
      </c>
      <c r="B362" s="510">
        <v>-928</v>
      </c>
      <c r="C362" s="510"/>
      <c r="D362" s="510"/>
      <c r="E362" s="510"/>
      <c r="F362" s="510"/>
      <c r="G362" s="510"/>
      <c r="H362" s="510"/>
      <c r="I362" s="510"/>
      <c r="J362" s="510"/>
      <c r="K362" s="510"/>
      <c r="L362" s="510"/>
      <c r="M362" s="510"/>
      <c r="N362" s="510"/>
      <c r="O362" s="510"/>
      <c r="P362" s="510"/>
      <c r="Q362" s="510"/>
      <c r="R362" s="510"/>
      <c r="S362" s="510"/>
      <c r="T362" s="510"/>
      <c r="U362" s="510"/>
      <c r="V362" s="642">
        <f t="shared" si="11"/>
        <v>-928</v>
      </c>
    </row>
    <row r="363" spans="1:22" ht="16.5" customHeight="1">
      <c r="A363" s="1265" t="s">
        <v>311</v>
      </c>
      <c r="B363" s="510"/>
      <c r="C363" s="510"/>
      <c r="D363" s="510">
        <v>-525</v>
      </c>
      <c r="E363" s="510"/>
      <c r="F363" s="510"/>
      <c r="G363" s="510"/>
      <c r="H363" s="510"/>
      <c r="I363" s="510"/>
      <c r="J363" s="510"/>
      <c r="K363" s="510"/>
      <c r="L363" s="510"/>
      <c r="M363" s="510"/>
      <c r="N363" s="510"/>
      <c r="O363" s="510"/>
      <c r="P363" s="510">
        <v>525</v>
      </c>
      <c r="Q363" s="510"/>
      <c r="R363" s="510"/>
      <c r="S363" s="510"/>
      <c r="T363" s="510"/>
      <c r="U363" s="510"/>
      <c r="V363" s="642">
        <f t="shared" si="11"/>
        <v>0</v>
      </c>
    </row>
    <row r="364" spans="1:22" ht="16.5" customHeight="1">
      <c r="A364" s="1265" t="s">
        <v>694</v>
      </c>
      <c r="B364" s="510">
        <v>-928</v>
      </c>
      <c r="C364" s="510"/>
      <c r="D364" s="510"/>
      <c r="E364" s="510"/>
      <c r="F364" s="510"/>
      <c r="G364" s="510"/>
      <c r="H364" s="510"/>
      <c r="I364" s="510"/>
      <c r="J364" s="510"/>
      <c r="K364" s="510"/>
      <c r="L364" s="510"/>
      <c r="M364" s="510"/>
      <c r="N364" s="510"/>
      <c r="O364" s="510"/>
      <c r="P364" s="510"/>
      <c r="Q364" s="510"/>
      <c r="R364" s="510"/>
      <c r="S364" s="510"/>
      <c r="T364" s="510"/>
      <c r="U364" s="510"/>
      <c r="V364" s="642">
        <f t="shared" si="11"/>
        <v>-928</v>
      </c>
    </row>
    <row r="365" spans="1:22" ht="25.5">
      <c r="A365" s="1265" t="s">
        <v>139</v>
      </c>
      <c r="B365" s="510"/>
      <c r="C365" s="510"/>
      <c r="D365" s="510">
        <v>-800</v>
      </c>
      <c r="E365" s="510"/>
      <c r="F365" s="510"/>
      <c r="G365" s="510"/>
      <c r="H365" s="510"/>
      <c r="I365" s="510"/>
      <c r="J365" s="510"/>
      <c r="K365" s="510"/>
      <c r="L365" s="510"/>
      <c r="M365" s="510"/>
      <c r="N365" s="510"/>
      <c r="O365" s="510"/>
      <c r="P365" s="510">
        <v>800</v>
      </c>
      <c r="Q365" s="510"/>
      <c r="R365" s="510"/>
      <c r="S365" s="510"/>
      <c r="T365" s="510"/>
      <c r="U365" s="510"/>
      <c r="V365" s="642">
        <f t="shared" si="11"/>
        <v>0</v>
      </c>
    </row>
    <row r="366" spans="1:22" ht="18.75" customHeight="1" thickBot="1">
      <c r="A366" s="1265" t="s">
        <v>238</v>
      </c>
      <c r="B366" s="510"/>
      <c r="C366" s="510"/>
      <c r="D366" s="510">
        <v>-500</v>
      </c>
      <c r="E366" s="510"/>
      <c r="F366" s="510"/>
      <c r="G366" s="510"/>
      <c r="H366" s="510"/>
      <c r="I366" s="510"/>
      <c r="J366" s="510"/>
      <c r="K366" s="510"/>
      <c r="L366" s="510"/>
      <c r="M366" s="510"/>
      <c r="N366" s="510"/>
      <c r="O366" s="510"/>
      <c r="P366" s="510">
        <v>500</v>
      </c>
      <c r="Q366" s="510"/>
      <c r="R366" s="510"/>
      <c r="S366" s="510"/>
      <c r="T366" s="510"/>
      <c r="U366" s="510"/>
      <c r="V366" s="642">
        <f t="shared" si="11"/>
        <v>0</v>
      </c>
    </row>
    <row r="367" spans="1:22" s="547" customFormat="1" ht="18" customHeight="1" thickBot="1">
      <c r="A367" s="870" t="s">
        <v>703</v>
      </c>
      <c r="B367" s="871"/>
      <c r="C367" s="871"/>
      <c r="D367" s="871">
        <f>D368+D370+D377</f>
        <v>3041</v>
      </c>
      <c r="E367" s="871">
        <f>E368+E370+E377</f>
        <v>204</v>
      </c>
      <c r="F367" s="871">
        <f>F368+F370+F377</f>
        <v>122</v>
      </c>
      <c r="G367" s="871"/>
      <c r="H367" s="871"/>
      <c r="I367" s="871"/>
      <c r="J367" s="871"/>
      <c r="K367" s="871">
        <f>K368+K370+K377</f>
        <v>2180</v>
      </c>
      <c r="L367" s="871">
        <f>L368+L370+L377</f>
        <v>298</v>
      </c>
      <c r="M367" s="871"/>
      <c r="N367" s="871"/>
      <c r="O367" s="871"/>
      <c r="P367" s="871">
        <f>P368+P370+P377</f>
        <v>-845</v>
      </c>
      <c r="Q367" s="871"/>
      <c r="R367" s="871"/>
      <c r="S367" s="871"/>
      <c r="T367" s="871"/>
      <c r="U367" s="871"/>
      <c r="V367" s="871">
        <f t="shared" si="11"/>
        <v>5000</v>
      </c>
    </row>
    <row r="368" spans="1:22" s="514" customFormat="1" ht="29.25" customHeight="1" thickBot="1" thickTop="1">
      <c r="A368" s="515" t="s">
        <v>700</v>
      </c>
      <c r="B368" s="651"/>
      <c r="C368" s="651"/>
      <c r="D368" s="651">
        <f>D369</f>
        <v>2384</v>
      </c>
      <c r="E368" s="651">
        <f>E369</f>
        <v>336</v>
      </c>
      <c r="F368" s="651">
        <f>F369</f>
        <v>100</v>
      </c>
      <c r="G368" s="651"/>
      <c r="H368" s="651"/>
      <c r="I368" s="651"/>
      <c r="J368" s="651"/>
      <c r="K368" s="651">
        <f>K369</f>
        <v>2180</v>
      </c>
      <c r="L368" s="651"/>
      <c r="M368" s="651"/>
      <c r="N368" s="651"/>
      <c r="O368" s="651"/>
      <c r="P368" s="651"/>
      <c r="Q368" s="651"/>
      <c r="R368" s="651"/>
      <c r="S368" s="651"/>
      <c r="T368" s="651"/>
      <c r="U368" s="651"/>
      <c r="V368" s="651">
        <f t="shared" si="11"/>
        <v>5000</v>
      </c>
    </row>
    <row r="369" spans="1:22" s="514" customFormat="1" ht="19.5" customHeight="1" thickBot="1">
      <c r="A369" s="1344" t="s">
        <v>581</v>
      </c>
      <c r="B369" s="1258"/>
      <c r="C369" s="1258"/>
      <c r="D369" s="1258">
        <v>2384</v>
      </c>
      <c r="E369" s="1258">
        <v>336</v>
      </c>
      <c r="F369" s="1258">
        <v>100</v>
      </c>
      <c r="G369" s="1258"/>
      <c r="H369" s="1258"/>
      <c r="I369" s="1258"/>
      <c r="J369" s="1258"/>
      <c r="K369" s="1258">
        <v>2180</v>
      </c>
      <c r="L369" s="1258"/>
      <c r="M369" s="1258"/>
      <c r="N369" s="652"/>
      <c r="O369" s="652"/>
      <c r="P369" s="652"/>
      <c r="Q369" s="652"/>
      <c r="R369" s="652"/>
      <c r="S369" s="652"/>
      <c r="T369" s="653"/>
      <c r="U369" s="653"/>
      <c r="V369" s="642">
        <f t="shared" si="11"/>
        <v>5000</v>
      </c>
    </row>
    <row r="370" spans="1:22" ht="28.5" customHeight="1" thickBot="1">
      <c r="A370" s="515" t="s">
        <v>478</v>
      </c>
      <c r="B370" s="650"/>
      <c r="C370" s="650"/>
      <c r="D370" s="650">
        <f aca="true" t="shared" si="12" ref="D370:F371">D371</f>
        <v>-188</v>
      </c>
      <c r="E370" s="650">
        <f t="shared" si="12"/>
        <v>-132</v>
      </c>
      <c r="F370" s="650">
        <f t="shared" si="12"/>
        <v>22</v>
      </c>
      <c r="G370" s="650"/>
      <c r="H370" s="650"/>
      <c r="I370" s="650"/>
      <c r="J370" s="650"/>
      <c r="K370" s="650"/>
      <c r="L370" s="650">
        <f>L371</f>
        <v>298</v>
      </c>
      <c r="M370" s="650"/>
      <c r="N370" s="650"/>
      <c r="O370" s="650"/>
      <c r="P370" s="650"/>
      <c r="Q370" s="650"/>
      <c r="R370" s="650"/>
      <c r="S370" s="650"/>
      <c r="T370" s="650"/>
      <c r="U370" s="650"/>
      <c r="V370" s="851">
        <f t="shared" si="11"/>
        <v>0</v>
      </c>
    </row>
    <row r="371" spans="1:22" s="543" customFormat="1" ht="51" customHeight="1">
      <c r="A371" s="530" t="s">
        <v>470</v>
      </c>
      <c r="B371" s="541"/>
      <c r="C371" s="541"/>
      <c r="D371" s="541">
        <f t="shared" si="12"/>
        <v>-188</v>
      </c>
      <c r="E371" s="541">
        <f t="shared" si="12"/>
        <v>-132</v>
      </c>
      <c r="F371" s="541">
        <f t="shared" si="12"/>
        <v>22</v>
      </c>
      <c r="G371" s="541"/>
      <c r="H371" s="541"/>
      <c r="I371" s="541"/>
      <c r="J371" s="541"/>
      <c r="K371" s="541"/>
      <c r="L371" s="541">
        <f>L372</f>
        <v>298</v>
      </c>
      <c r="M371" s="541"/>
      <c r="N371" s="541"/>
      <c r="O371" s="541"/>
      <c r="P371" s="541"/>
      <c r="Q371" s="541"/>
      <c r="R371" s="541"/>
      <c r="S371" s="541"/>
      <c r="T371" s="541"/>
      <c r="U371" s="541"/>
      <c r="V371" s="542">
        <f t="shared" si="11"/>
        <v>0</v>
      </c>
    </row>
    <row r="372" spans="1:22" s="544" customFormat="1" ht="152.25" customHeight="1">
      <c r="A372" s="802" t="s">
        <v>471</v>
      </c>
      <c r="B372" s="873"/>
      <c r="C372" s="873"/>
      <c r="D372" s="873">
        <f>SUM(D373:D375)</f>
        <v>-188</v>
      </c>
      <c r="E372" s="873">
        <f>SUM(E373:E375)</f>
        <v>-132</v>
      </c>
      <c r="F372" s="873">
        <f>SUM(F373:F375)</f>
        <v>22</v>
      </c>
      <c r="G372" s="873"/>
      <c r="H372" s="873"/>
      <c r="I372" s="873"/>
      <c r="J372" s="873"/>
      <c r="K372" s="873"/>
      <c r="L372" s="873">
        <f>SUM(L373:L375)</f>
        <v>298</v>
      </c>
      <c r="M372" s="873"/>
      <c r="N372" s="873"/>
      <c r="O372" s="873"/>
      <c r="P372" s="873"/>
      <c r="Q372" s="873"/>
      <c r="R372" s="873"/>
      <c r="S372" s="873"/>
      <c r="T372" s="873"/>
      <c r="U372" s="873"/>
      <c r="V372" s="546">
        <f t="shared" si="11"/>
        <v>0</v>
      </c>
    </row>
    <row r="373" spans="1:22" s="545" customFormat="1" ht="15.75" customHeight="1">
      <c r="A373" s="1340" t="s">
        <v>438</v>
      </c>
      <c r="B373" s="952"/>
      <c r="C373" s="952"/>
      <c r="D373" s="952">
        <v>285</v>
      </c>
      <c r="E373" s="952">
        <v>-285</v>
      </c>
      <c r="F373" s="952"/>
      <c r="G373" s="952"/>
      <c r="H373" s="952"/>
      <c r="I373" s="952"/>
      <c r="J373" s="952"/>
      <c r="K373" s="952"/>
      <c r="L373" s="952"/>
      <c r="M373" s="952"/>
      <c r="N373" s="952"/>
      <c r="O373" s="952"/>
      <c r="P373" s="952"/>
      <c r="Q373" s="952"/>
      <c r="R373" s="952"/>
      <c r="S373" s="952"/>
      <c r="T373" s="952"/>
      <c r="U373" s="952"/>
      <c r="V373" s="874">
        <f t="shared" si="11"/>
        <v>0</v>
      </c>
    </row>
    <row r="374" spans="1:22" s="545" customFormat="1" ht="16.5" customHeight="1">
      <c r="A374" s="1340" t="s">
        <v>277</v>
      </c>
      <c r="B374" s="858"/>
      <c r="C374" s="858"/>
      <c r="D374" s="858">
        <v>-175</v>
      </c>
      <c r="E374" s="858">
        <v>153</v>
      </c>
      <c r="F374" s="858">
        <v>22</v>
      </c>
      <c r="G374" s="858"/>
      <c r="H374" s="858"/>
      <c r="I374" s="858"/>
      <c r="J374" s="858"/>
      <c r="K374" s="858"/>
      <c r="L374" s="858"/>
      <c r="M374" s="859"/>
      <c r="N374" s="859"/>
      <c r="O374" s="859"/>
      <c r="P374" s="860"/>
      <c r="Q374" s="860"/>
      <c r="R374" s="860"/>
      <c r="S374" s="860"/>
      <c r="T374" s="860"/>
      <c r="U374" s="860"/>
      <c r="V374" s="861">
        <f t="shared" si="11"/>
        <v>0</v>
      </c>
    </row>
    <row r="375" spans="1:22" s="545" customFormat="1" ht="19.5" customHeight="1">
      <c r="A375" s="1367" t="s">
        <v>590</v>
      </c>
      <c r="B375" s="1497"/>
      <c r="C375" s="1497"/>
      <c r="D375" s="1497">
        <v>-298</v>
      </c>
      <c r="E375" s="1497"/>
      <c r="F375" s="1497"/>
      <c r="G375" s="1497"/>
      <c r="H375" s="1497"/>
      <c r="I375" s="1497"/>
      <c r="J375" s="1497"/>
      <c r="K375" s="1497"/>
      <c r="L375" s="1497">
        <v>298</v>
      </c>
      <c r="M375" s="1498"/>
      <c r="N375" s="1498"/>
      <c r="O375" s="1498"/>
      <c r="P375" s="1499"/>
      <c r="Q375" s="1499"/>
      <c r="R375" s="1499"/>
      <c r="S375" s="1499"/>
      <c r="T375" s="1499"/>
      <c r="U375" s="1499"/>
      <c r="V375" s="1500">
        <f t="shared" si="11"/>
        <v>0</v>
      </c>
    </row>
    <row r="376" spans="1:22" s="545" customFormat="1" ht="19.5" customHeight="1">
      <c r="A376" s="1493"/>
      <c r="B376" s="1494"/>
      <c r="C376" s="1494"/>
      <c r="D376" s="1494"/>
      <c r="E376" s="1494"/>
      <c r="F376" s="1494"/>
      <c r="G376" s="1494"/>
      <c r="H376" s="1494"/>
      <c r="I376" s="1494"/>
      <c r="J376" s="1494"/>
      <c r="K376" s="1494"/>
      <c r="L376" s="1494"/>
      <c r="M376" s="1495"/>
      <c r="N376" s="1495"/>
      <c r="O376" s="1495"/>
      <c r="P376" s="1496"/>
      <c r="Q376" s="1496"/>
      <c r="R376" s="1496"/>
      <c r="S376" s="1496"/>
      <c r="T376" s="1496"/>
      <c r="U376" s="1496"/>
      <c r="V376" s="1496"/>
    </row>
    <row r="377" spans="1:22" ht="19.5" customHeight="1" thickBot="1">
      <c r="A377" s="1490" t="s">
        <v>477</v>
      </c>
      <c r="B377" s="646"/>
      <c r="C377" s="646"/>
      <c r="D377" s="646">
        <f>D378</f>
        <v>845</v>
      </c>
      <c r="E377" s="646"/>
      <c r="F377" s="646"/>
      <c r="G377" s="646"/>
      <c r="H377" s="646"/>
      <c r="I377" s="646"/>
      <c r="J377" s="646"/>
      <c r="K377" s="646"/>
      <c r="L377" s="646"/>
      <c r="M377" s="646"/>
      <c r="N377" s="646"/>
      <c r="O377" s="646"/>
      <c r="P377" s="646">
        <f>P378</f>
        <v>-845</v>
      </c>
      <c r="Q377" s="646"/>
      <c r="R377" s="646"/>
      <c r="S377" s="646"/>
      <c r="T377" s="646"/>
      <c r="U377" s="646"/>
      <c r="V377" s="1492">
        <f t="shared" si="11"/>
        <v>0</v>
      </c>
    </row>
    <row r="378" spans="1:22" s="545" customFormat="1" ht="40.5" customHeight="1">
      <c r="A378" s="1342" t="s">
        <v>473</v>
      </c>
      <c r="B378" s="878"/>
      <c r="C378" s="879"/>
      <c r="D378" s="879">
        <f>D379</f>
        <v>845</v>
      </c>
      <c r="E378" s="879"/>
      <c r="F378" s="879"/>
      <c r="G378" s="879"/>
      <c r="H378" s="879"/>
      <c r="I378" s="879"/>
      <c r="J378" s="879"/>
      <c r="K378" s="879"/>
      <c r="L378" s="879"/>
      <c r="M378" s="879"/>
      <c r="N378" s="879"/>
      <c r="O378" s="879"/>
      <c r="P378" s="880">
        <f>P379</f>
        <v>-845</v>
      </c>
      <c r="Q378" s="880"/>
      <c r="R378" s="880"/>
      <c r="S378" s="880"/>
      <c r="T378" s="880"/>
      <c r="U378" s="879"/>
      <c r="V378" s="881">
        <f t="shared" si="11"/>
        <v>0</v>
      </c>
    </row>
    <row r="379" spans="1:22" s="544" customFormat="1" ht="40.5" customHeight="1">
      <c r="A379" s="1343" t="s">
        <v>239</v>
      </c>
      <c r="B379" s="875"/>
      <c r="C379" s="875"/>
      <c r="D379" s="875">
        <f>D380</f>
        <v>845</v>
      </c>
      <c r="E379" s="875"/>
      <c r="F379" s="875"/>
      <c r="G379" s="875"/>
      <c r="H379" s="875"/>
      <c r="I379" s="875"/>
      <c r="J379" s="875"/>
      <c r="K379" s="875"/>
      <c r="L379" s="875"/>
      <c r="M379" s="876"/>
      <c r="N379" s="876"/>
      <c r="O379" s="876"/>
      <c r="P379" s="877">
        <f>P380</f>
        <v>-845</v>
      </c>
      <c r="Q379" s="877"/>
      <c r="R379" s="877"/>
      <c r="S379" s="877"/>
      <c r="T379" s="877"/>
      <c r="U379" s="875"/>
      <c r="V379" s="877">
        <f t="shared" si="11"/>
        <v>0</v>
      </c>
    </row>
    <row r="380" spans="1:22" s="545" customFormat="1" ht="38.25">
      <c r="A380" s="1046" t="s">
        <v>827</v>
      </c>
      <c r="B380" s="1096"/>
      <c r="C380" s="1096"/>
      <c r="D380" s="1096">
        <v>845</v>
      </c>
      <c r="E380" s="1096"/>
      <c r="F380" s="1096"/>
      <c r="G380" s="1096"/>
      <c r="H380" s="1096"/>
      <c r="I380" s="1096"/>
      <c r="J380" s="1096"/>
      <c r="K380" s="1096"/>
      <c r="L380" s="1096"/>
      <c r="M380" s="1097"/>
      <c r="N380" s="1097"/>
      <c r="O380" s="1097"/>
      <c r="P380" s="874">
        <v>-845</v>
      </c>
      <c r="Q380" s="874"/>
      <c r="R380" s="874"/>
      <c r="S380" s="874"/>
      <c r="T380" s="874"/>
      <c r="U380" s="874"/>
      <c r="V380" s="874">
        <f t="shared" si="11"/>
        <v>0</v>
      </c>
    </row>
    <row r="381" spans="1:22" s="497" customFormat="1" ht="32.25" customHeight="1" thickBot="1">
      <c r="A381" s="997" t="s">
        <v>598</v>
      </c>
      <c r="B381" s="656">
        <f>B382+B413+B418+B425+B428+B438+B460+B462+B468</f>
        <v>413082</v>
      </c>
      <c r="C381" s="656"/>
      <c r="D381" s="656">
        <f aca="true" t="shared" si="13" ref="D381:P381">D382+D413+D418+D425+D428+D438+D460+D462+D468</f>
        <v>7998</v>
      </c>
      <c r="E381" s="656">
        <f t="shared" si="13"/>
        <v>82039</v>
      </c>
      <c r="F381" s="656">
        <f t="shared" si="13"/>
        <v>19403</v>
      </c>
      <c r="G381" s="656"/>
      <c r="H381" s="656">
        <f t="shared" si="13"/>
        <v>640</v>
      </c>
      <c r="I381" s="656">
        <f t="shared" si="13"/>
        <v>2888</v>
      </c>
      <c r="J381" s="656"/>
      <c r="K381" s="656">
        <f t="shared" si="13"/>
        <v>10000</v>
      </c>
      <c r="L381" s="656"/>
      <c r="M381" s="656">
        <f t="shared" si="13"/>
        <v>122735</v>
      </c>
      <c r="N381" s="656">
        <f t="shared" si="13"/>
        <v>3884</v>
      </c>
      <c r="O381" s="656"/>
      <c r="P381" s="656">
        <f t="shared" si="13"/>
        <v>657</v>
      </c>
      <c r="Q381" s="656"/>
      <c r="R381" s="656"/>
      <c r="S381" s="656"/>
      <c r="T381" s="656"/>
      <c r="U381" s="656"/>
      <c r="V381" s="848">
        <f t="shared" si="11"/>
        <v>663326</v>
      </c>
    </row>
    <row r="382" spans="1:22" ht="21" customHeight="1" thickBot="1" thickTop="1">
      <c r="A382" s="996" t="s">
        <v>274</v>
      </c>
      <c r="B382" s="651">
        <f>SUM(B383:B412)</f>
        <v>-21800</v>
      </c>
      <c r="C382" s="651"/>
      <c r="D382" s="651"/>
      <c r="E382" s="651">
        <f>SUM(E383:E412)</f>
        <v>-7009</v>
      </c>
      <c r="F382" s="651">
        <f>SUM(F383:F412)</f>
        <v>2172</v>
      </c>
      <c r="G382" s="651"/>
      <c r="H382" s="651"/>
      <c r="I382" s="651"/>
      <c r="J382" s="651"/>
      <c r="K382" s="651"/>
      <c r="L382" s="651"/>
      <c r="M382" s="651">
        <f>SUM(M383:M412)</f>
        <v>8915</v>
      </c>
      <c r="N382" s="651"/>
      <c r="O382" s="651"/>
      <c r="P382" s="651">
        <f>SUM(P383:P412)</f>
        <v>210</v>
      </c>
      <c r="Q382" s="651"/>
      <c r="R382" s="651"/>
      <c r="S382" s="651"/>
      <c r="T382" s="651"/>
      <c r="U382" s="651"/>
      <c r="V382" s="651">
        <f t="shared" si="11"/>
        <v>-17512</v>
      </c>
    </row>
    <row r="383" spans="1:22" ht="19.5" customHeight="1">
      <c r="A383" s="1332" t="s">
        <v>452</v>
      </c>
      <c r="B383" s="1249">
        <v>11694</v>
      </c>
      <c r="C383" s="1249"/>
      <c r="D383" s="1249"/>
      <c r="E383" s="1249">
        <v>4040</v>
      </c>
      <c r="F383" s="654">
        <v>670</v>
      </c>
      <c r="G383" s="654"/>
      <c r="H383" s="654"/>
      <c r="I383" s="654"/>
      <c r="J383" s="654"/>
      <c r="K383" s="654"/>
      <c r="L383" s="654"/>
      <c r="M383" s="654">
        <v>3000</v>
      </c>
      <c r="N383" s="654"/>
      <c r="O383" s="654"/>
      <c r="P383" s="654"/>
      <c r="Q383" s="654"/>
      <c r="R383" s="654"/>
      <c r="S383" s="654"/>
      <c r="T383" s="655"/>
      <c r="U383" s="655"/>
      <c r="V383" s="642">
        <f t="shared" si="11"/>
        <v>19404</v>
      </c>
    </row>
    <row r="384" spans="1:22" ht="19.5" customHeight="1">
      <c r="A384" s="1332" t="s">
        <v>453</v>
      </c>
      <c r="B384" s="1249">
        <v>4205</v>
      </c>
      <c r="C384" s="1249"/>
      <c r="D384" s="1249"/>
      <c r="E384" s="1249">
        <v>-330</v>
      </c>
      <c r="F384" s="654">
        <v>-250</v>
      </c>
      <c r="G384" s="654"/>
      <c r="H384" s="654"/>
      <c r="I384" s="654"/>
      <c r="J384" s="654"/>
      <c r="K384" s="654"/>
      <c r="L384" s="654"/>
      <c r="M384" s="654"/>
      <c r="N384" s="654"/>
      <c r="O384" s="654"/>
      <c r="P384" s="654"/>
      <c r="Q384" s="654"/>
      <c r="R384" s="654"/>
      <c r="S384" s="654"/>
      <c r="T384" s="655"/>
      <c r="U384" s="655"/>
      <c r="V384" s="642">
        <f t="shared" si="11"/>
        <v>3625</v>
      </c>
    </row>
    <row r="385" spans="1:22" ht="19.5" customHeight="1">
      <c r="A385" s="1332" t="s">
        <v>454</v>
      </c>
      <c r="B385" s="1249">
        <v>3190</v>
      </c>
      <c r="C385" s="1249"/>
      <c r="D385" s="1249"/>
      <c r="E385" s="1249">
        <v>400</v>
      </c>
      <c r="F385" s="654">
        <v>260</v>
      </c>
      <c r="G385" s="654"/>
      <c r="H385" s="654"/>
      <c r="I385" s="654"/>
      <c r="J385" s="654"/>
      <c r="K385" s="654"/>
      <c r="L385" s="654"/>
      <c r="M385" s="654">
        <v>1400</v>
      </c>
      <c r="N385" s="654"/>
      <c r="O385" s="654"/>
      <c r="P385" s="654">
        <v>210</v>
      </c>
      <c r="Q385" s="654"/>
      <c r="R385" s="654"/>
      <c r="S385" s="654"/>
      <c r="T385" s="655"/>
      <c r="U385" s="655"/>
      <c r="V385" s="642">
        <f t="shared" si="11"/>
        <v>5460</v>
      </c>
    </row>
    <row r="386" spans="1:22" ht="19.5" customHeight="1">
      <c r="A386" s="1332" t="s">
        <v>455</v>
      </c>
      <c r="B386" s="1249">
        <v>17700</v>
      </c>
      <c r="C386" s="1249"/>
      <c r="D386" s="1249"/>
      <c r="E386" s="1249">
        <v>3890</v>
      </c>
      <c r="F386" s="654"/>
      <c r="G386" s="654"/>
      <c r="H386" s="654"/>
      <c r="I386" s="654"/>
      <c r="J386" s="654"/>
      <c r="K386" s="654"/>
      <c r="L386" s="654"/>
      <c r="M386" s="654"/>
      <c r="N386" s="654"/>
      <c r="O386" s="654"/>
      <c r="P386" s="654"/>
      <c r="Q386" s="654"/>
      <c r="R386" s="654"/>
      <c r="S386" s="654"/>
      <c r="T386" s="655"/>
      <c r="U386" s="655"/>
      <c r="V386" s="642">
        <f t="shared" si="11"/>
        <v>21590</v>
      </c>
    </row>
    <row r="387" spans="1:22" ht="19.5" customHeight="1">
      <c r="A387" s="1332" t="s">
        <v>281</v>
      </c>
      <c r="B387" s="1249">
        <v>21900</v>
      </c>
      <c r="C387" s="1249"/>
      <c r="D387" s="1249"/>
      <c r="E387" s="1249">
        <v>3120</v>
      </c>
      <c r="F387" s="654">
        <v>320</v>
      </c>
      <c r="G387" s="654"/>
      <c r="H387" s="654"/>
      <c r="I387" s="654"/>
      <c r="J387" s="654"/>
      <c r="K387" s="654"/>
      <c r="L387" s="654"/>
      <c r="M387" s="654"/>
      <c r="N387" s="654"/>
      <c r="O387" s="654"/>
      <c r="P387" s="654"/>
      <c r="Q387" s="654"/>
      <c r="R387" s="654"/>
      <c r="S387" s="654"/>
      <c r="T387" s="655"/>
      <c r="U387" s="655"/>
      <c r="V387" s="642">
        <f t="shared" si="11"/>
        <v>25340</v>
      </c>
    </row>
    <row r="388" spans="1:22" ht="19.5" customHeight="1">
      <c r="A388" s="1332" t="s">
        <v>457</v>
      </c>
      <c r="B388" s="1249">
        <v>12083</v>
      </c>
      <c r="C388" s="1249"/>
      <c r="D388" s="1249"/>
      <c r="E388" s="1249">
        <v>1571</v>
      </c>
      <c r="F388" s="654">
        <v>187</v>
      </c>
      <c r="G388" s="654"/>
      <c r="H388" s="654"/>
      <c r="I388" s="654"/>
      <c r="J388" s="654"/>
      <c r="K388" s="654"/>
      <c r="L388" s="654"/>
      <c r="M388" s="654"/>
      <c r="N388" s="654"/>
      <c r="O388" s="654"/>
      <c r="P388" s="654"/>
      <c r="Q388" s="654"/>
      <c r="R388" s="654"/>
      <c r="S388" s="654"/>
      <c r="T388" s="655"/>
      <c r="U388" s="655"/>
      <c r="V388" s="642">
        <f t="shared" si="11"/>
        <v>13841</v>
      </c>
    </row>
    <row r="389" spans="1:22" ht="19.5" customHeight="1">
      <c r="A389" s="1332" t="s">
        <v>459</v>
      </c>
      <c r="B389" s="1249"/>
      <c r="C389" s="1249"/>
      <c r="D389" s="1249"/>
      <c r="E389" s="1249">
        <v>1500</v>
      </c>
      <c r="F389" s="654"/>
      <c r="G389" s="654"/>
      <c r="H389" s="654"/>
      <c r="I389" s="654"/>
      <c r="J389" s="654"/>
      <c r="K389" s="654"/>
      <c r="L389" s="654"/>
      <c r="M389" s="654"/>
      <c r="N389" s="654"/>
      <c r="O389" s="654"/>
      <c r="P389" s="654"/>
      <c r="Q389" s="654"/>
      <c r="R389" s="654"/>
      <c r="S389" s="654"/>
      <c r="T389" s="655"/>
      <c r="U389" s="655"/>
      <c r="V389" s="642">
        <f t="shared" si="11"/>
        <v>1500</v>
      </c>
    </row>
    <row r="390" spans="1:22" ht="19.5" customHeight="1">
      <c r="A390" s="1332" t="s">
        <v>196</v>
      </c>
      <c r="B390" s="1249">
        <v>6500</v>
      </c>
      <c r="C390" s="1249"/>
      <c r="D390" s="1249"/>
      <c r="E390" s="1249">
        <v>-1400</v>
      </c>
      <c r="F390" s="654">
        <v>-100</v>
      </c>
      <c r="G390" s="654"/>
      <c r="H390" s="654"/>
      <c r="I390" s="654"/>
      <c r="J390" s="654"/>
      <c r="K390" s="654"/>
      <c r="L390" s="654"/>
      <c r="M390" s="654"/>
      <c r="N390" s="654"/>
      <c r="O390" s="654"/>
      <c r="P390" s="654"/>
      <c r="Q390" s="654"/>
      <c r="R390" s="654"/>
      <c r="S390" s="654"/>
      <c r="T390" s="655"/>
      <c r="U390" s="655"/>
      <c r="V390" s="642">
        <f t="shared" si="11"/>
        <v>5000</v>
      </c>
    </row>
    <row r="391" spans="1:22" ht="19.5" customHeight="1">
      <c r="A391" s="1332" t="s">
        <v>479</v>
      </c>
      <c r="B391" s="1249">
        <v>-48000</v>
      </c>
      <c r="C391" s="1249"/>
      <c r="D391" s="1249"/>
      <c r="E391" s="1249">
        <v>-7500</v>
      </c>
      <c r="F391" s="654">
        <v>-750</v>
      </c>
      <c r="G391" s="654"/>
      <c r="H391" s="654"/>
      <c r="I391" s="654"/>
      <c r="J391" s="654"/>
      <c r="K391" s="654"/>
      <c r="L391" s="654"/>
      <c r="M391" s="654"/>
      <c r="N391" s="654"/>
      <c r="O391" s="654"/>
      <c r="P391" s="654"/>
      <c r="Q391" s="654"/>
      <c r="R391" s="654"/>
      <c r="S391" s="654"/>
      <c r="T391" s="655"/>
      <c r="U391" s="655"/>
      <c r="V391" s="642">
        <f t="shared" si="11"/>
        <v>-56250</v>
      </c>
    </row>
    <row r="392" spans="1:22" ht="19.5" customHeight="1">
      <c r="A392" s="1332" t="s">
        <v>480</v>
      </c>
      <c r="B392" s="1249">
        <v>-65000</v>
      </c>
      <c r="C392" s="1249"/>
      <c r="D392" s="1249"/>
      <c r="E392" s="1249">
        <v>-14500</v>
      </c>
      <c r="F392" s="654">
        <v>-500</v>
      </c>
      <c r="G392" s="654"/>
      <c r="H392" s="654"/>
      <c r="I392" s="654"/>
      <c r="J392" s="654"/>
      <c r="K392" s="654"/>
      <c r="L392" s="654"/>
      <c r="M392" s="654"/>
      <c r="N392" s="654"/>
      <c r="O392" s="654"/>
      <c r="P392" s="654"/>
      <c r="Q392" s="654"/>
      <c r="R392" s="654"/>
      <c r="S392" s="654"/>
      <c r="T392" s="655"/>
      <c r="U392" s="655"/>
      <c r="V392" s="642">
        <f t="shared" si="11"/>
        <v>-80000</v>
      </c>
    </row>
    <row r="393" spans="1:22" ht="19.5" customHeight="1">
      <c r="A393" s="1332" t="s">
        <v>481</v>
      </c>
      <c r="B393" s="1249">
        <v>-50000</v>
      </c>
      <c r="C393" s="1249"/>
      <c r="D393" s="1249"/>
      <c r="E393" s="1249">
        <v>-3500</v>
      </c>
      <c r="F393" s="654"/>
      <c r="G393" s="654"/>
      <c r="H393" s="654"/>
      <c r="I393" s="654"/>
      <c r="J393" s="654"/>
      <c r="K393" s="654"/>
      <c r="L393" s="654"/>
      <c r="M393" s="654"/>
      <c r="N393" s="654"/>
      <c r="O393" s="654"/>
      <c r="P393" s="654"/>
      <c r="Q393" s="654"/>
      <c r="R393" s="654"/>
      <c r="S393" s="654"/>
      <c r="T393" s="655"/>
      <c r="U393" s="655"/>
      <c r="V393" s="642">
        <f t="shared" si="11"/>
        <v>-53500</v>
      </c>
    </row>
    <row r="394" spans="1:22" ht="19.5" customHeight="1">
      <c r="A394" s="1332" t="s">
        <v>438</v>
      </c>
      <c r="B394" s="1249">
        <v>-23000</v>
      </c>
      <c r="C394" s="1249"/>
      <c r="D394" s="1249"/>
      <c r="E394" s="1249">
        <v>-4100</v>
      </c>
      <c r="F394" s="654">
        <v>-350</v>
      </c>
      <c r="G394" s="654"/>
      <c r="H394" s="654"/>
      <c r="I394" s="654"/>
      <c r="J394" s="654"/>
      <c r="K394" s="654"/>
      <c r="L394" s="654"/>
      <c r="M394" s="654"/>
      <c r="N394" s="654"/>
      <c r="O394" s="654"/>
      <c r="P394" s="654"/>
      <c r="Q394" s="654"/>
      <c r="R394" s="654"/>
      <c r="S394" s="654"/>
      <c r="T394" s="655"/>
      <c r="U394" s="655"/>
      <c r="V394" s="642">
        <f t="shared" si="11"/>
        <v>-27450</v>
      </c>
    </row>
    <row r="395" spans="1:22" ht="19.5" customHeight="1">
      <c r="A395" s="1332" t="s">
        <v>482</v>
      </c>
      <c r="B395" s="1249">
        <v>5810</v>
      </c>
      <c r="C395" s="1249"/>
      <c r="D395" s="1249"/>
      <c r="E395" s="1249">
        <v>3000</v>
      </c>
      <c r="F395" s="654">
        <v>150</v>
      </c>
      <c r="G395" s="654"/>
      <c r="H395" s="654"/>
      <c r="I395" s="654"/>
      <c r="J395" s="654"/>
      <c r="K395" s="654"/>
      <c r="L395" s="654"/>
      <c r="M395" s="654"/>
      <c r="N395" s="654"/>
      <c r="O395" s="654"/>
      <c r="P395" s="654"/>
      <c r="Q395" s="654"/>
      <c r="R395" s="654"/>
      <c r="S395" s="654"/>
      <c r="T395" s="655"/>
      <c r="U395" s="655"/>
      <c r="V395" s="642">
        <f t="shared" si="11"/>
        <v>8960</v>
      </c>
    </row>
    <row r="396" spans="1:22" ht="19.5" customHeight="1">
      <c r="A396" s="1332" t="s">
        <v>483</v>
      </c>
      <c r="B396" s="1249">
        <v>-15100</v>
      </c>
      <c r="C396" s="1249"/>
      <c r="D396" s="1249"/>
      <c r="E396" s="1249"/>
      <c r="F396" s="654"/>
      <c r="G396" s="654"/>
      <c r="H396" s="654"/>
      <c r="I396" s="654"/>
      <c r="J396" s="654"/>
      <c r="K396" s="654"/>
      <c r="L396" s="654"/>
      <c r="M396" s="654"/>
      <c r="N396" s="654"/>
      <c r="O396" s="654"/>
      <c r="P396" s="654"/>
      <c r="Q396" s="654"/>
      <c r="R396" s="654"/>
      <c r="S396" s="654"/>
      <c r="T396" s="655"/>
      <c r="U396" s="655"/>
      <c r="V396" s="642">
        <f t="shared" si="11"/>
        <v>-15100</v>
      </c>
    </row>
    <row r="397" spans="1:22" ht="19.5" customHeight="1">
      <c r="A397" s="1332" t="s">
        <v>485</v>
      </c>
      <c r="B397" s="1249">
        <v>13000</v>
      </c>
      <c r="C397" s="1249"/>
      <c r="D397" s="1249"/>
      <c r="E397" s="1249">
        <v>3000</v>
      </c>
      <c r="F397" s="654">
        <v>650</v>
      </c>
      <c r="G397" s="654"/>
      <c r="H397" s="654"/>
      <c r="I397" s="654"/>
      <c r="J397" s="654"/>
      <c r="K397" s="654"/>
      <c r="L397" s="654"/>
      <c r="M397" s="654"/>
      <c r="N397" s="654"/>
      <c r="O397" s="654"/>
      <c r="P397" s="654"/>
      <c r="Q397" s="654"/>
      <c r="R397" s="654"/>
      <c r="S397" s="654"/>
      <c r="T397" s="655"/>
      <c r="U397" s="655"/>
      <c r="V397" s="642">
        <f t="shared" si="11"/>
        <v>16650</v>
      </c>
    </row>
    <row r="398" spans="1:22" ht="19.5" customHeight="1">
      <c r="A398" s="1332" t="s">
        <v>486</v>
      </c>
      <c r="B398" s="1249">
        <v>-4300</v>
      </c>
      <c r="C398" s="1249"/>
      <c r="D398" s="1249"/>
      <c r="E398" s="1249"/>
      <c r="F398" s="654"/>
      <c r="G398" s="654"/>
      <c r="H398" s="654"/>
      <c r="I398" s="654"/>
      <c r="J398" s="654"/>
      <c r="K398" s="654"/>
      <c r="L398" s="654"/>
      <c r="M398" s="654"/>
      <c r="N398" s="654"/>
      <c r="O398" s="654"/>
      <c r="P398" s="654"/>
      <c r="Q398" s="654"/>
      <c r="R398" s="654"/>
      <c r="S398" s="654"/>
      <c r="T398" s="655"/>
      <c r="U398" s="655"/>
      <c r="V398" s="642">
        <f aca="true" t="shared" si="14" ref="V398:V461">SUM(B398:U398)</f>
        <v>-4300</v>
      </c>
    </row>
    <row r="399" spans="1:22" ht="19.5" customHeight="1">
      <c r="A399" s="1332" t="s">
        <v>277</v>
      </c>
      <c r="B399" s="1249">
        <v>-3438</v>
      </c>
      <c r="C399" s="1249"/>
      <c r="D399" s="1249"/>
      <c r="E399" s="1249"/>
      <c r="F399" s="654"/>
      <c r="G399" s="654"/>
      <c r="H399" s="654"/>
      <c r="I399" s="654"/>
      <c r="J399" s="654"/>
      <c r="K399" s="654"/>
      <c r="L399" s="654"/>
      <c r="M399" s="654"/>
      <c r="N399" s="654"/>
      <c r="O399" s="654"/>
      <c r="P399" s="654"/>
      <c r="Q399" s="654"/>
      <c r="R399" s="654"/>
      <c r="S399" s="654"/>
      <c r="T399" s="655"/>
      <c r="U399" s="655"/>
      <c r="V399" s="642">
        <f t="shared" si="14"/>
        <v>-3438</v>
      </c>
    </row>
    <row r="400" spans="1:22" ht="19.5" customHeight="1">
      <c r="A400" s="1332" t="s">
        <v>488</v>
      </c>
      <c r="B400" s="1249">
        <v>49900</v>
      </c>
      <c r="C400" s="1249"/>
      <c r="D400" s="1249"/>
      <c r="E400" s="1249">
        <v>6300</v>
      </c>
      <c r="F400" s="654">
        <v>1200</v>
      </c>
      <c r="G400" s="654"/>
      <c r="H400" s="654"/>
      <c r="I400" s="654"/>
      <c r="J400" s="654"/>
      <c r="K400" s="654"/>
      <c r="L400" s="654"/>
      <c r="M400" s="654"/>
      <c r="N400" s="654"/>
      <c r="O400" s="654"/>
      <c r="P400" s="654"/>
      <c r="Q400" s="654"/>
      <c r="R400" s="654"/>
      <c r="S400" s="654"/>
      <c r="T400" s="655"/>
      <c r="U400" s="655"/>
      <c r="V400" s="642">
        <f t="shared" si="14"/>
        <v>57400</v>
      </c>
    </row>
    <row r="401" spans="1:22" ht="19.5" customHeight="1">
      <c r="A401" s="1332" t="s">
        <v>194</v>
      </c>
      <c r="B401" s="1249">
        <v>-4800</v>
      </c>
      <c r="C401" s="1249"/>
      <c r="D401" s="1249"/>
      <c r="E401" s="1249"/>
      <c r="F401" s="654">
        <v>285</v>
      </c>
      <c r="G401" s="654"/>
      <c r="H401" s="654"/>
      <c r="I401" s="654"/>
      <c r="J401" s="654"/>
      <c r="K401" s="654"/>
      <c r="L401" s="654"/>
      <c r="M401" s="654">
        <v>4515</v>
      </c>
      <c r="N401" s="654"/>
      <c r="O401" s="654"/>
      <c r="P401" s="654"/>
      <c r="Q401" s="654"/>
      <c r="R401" s="654"/>
      <c r="S401" s="654"/>
      <c r="T401" s="655"/>
      <c r="U401" s="655"/>
      <c r="V401" s="642">
        <f t="shared" si="14"/>
        <v>0</v>
      </c>
    </row>
    <row r="402" spans="1:22" ht="19.5" customHeight="1">
      <c r="A402" s="1332" t="s">
        <v>571</v>
      </c>
      <c r="B402" s="1249">
        <v>-822</v>
      </c>
      <c r="C402" s="1249"/>
      <c r="D402" s="1249"/>
      <c r="E402" s="1249">
        <v>-570</v>
      </c>
      <c r="F402" s="654">
        <v>-50</v>
      </c>
      <c r="G402" s="654"/>
      <c r="H402" s="654"/>
      <c r="I402" s="654"/>
      <c r="J402" s="654"/>
      <c r="K402" s="654"/>
      <c r="L402" s="654"/>
      <c r="M402" s="654"/>
      <c r="N402" s="654"/>
      <c r="O402" s="654"/>
      <c r="P402" s="654"/>
      <c r="Q402" s="654"/>
      <c r="R402" s="654"/>
      <c r="S402" s="654"/>
      <c r="T402" s="655"/>
      <c r="U402" s="655"/>
      <c r="V402" s="642">
        <f t="shared" si="14"/>
        <v>-1442</v>
      </c>
    </row>
    <row r="403" spans="1:22" ht="19.5" customHeight="1">
      <c r="A403" s="1332" t="s">
        <v>573</v>
      </c>
      <c r="B403" s="1249">
        <v>-3000</v>
      </c>
      <c r="C403" s="1249"/>
      <c r="D403" s="1249"/>
      <c r="E403" s="1249"/>
      <c r="F403" s="654"/>
      <c r="G403" s="654"/>
      <c r="H403" s="654"/>
      <c r="I403" s="654"/>
      <c r="J403" s="654"/>
      <c r="K403" s="654"/>
      <c r="L403" s="654"/>
      <c r="M403" s="654"/>
      <c r="N403" s="654"/>
      <c r="O403" s="654"/>
      <c r="P403" s="654"/>
      <c r="Q403" s="654"/>
      <c r="R403" s="654"/>
      <c r="S403" s="654"/>
      <c r="T403" s="655"/>
      <c r="U403" s="655"/>
      <c r="V403" s="642">
        <f t="shared" si="14"/>
        <v>-3000</v>
      </c>
    </row>
    <row r="404" spans="1:22" ht="19.5" customHeight="1">
      <c r="A404" s="1332" t="s">
        <v>574</v>
      </c>
      <c r="B404" s="1249">
        <v>23800</v>
      </c>
      <c r="C404" s="1249"/>
      <c r="D404" s="1249"/>
      <c r="E404" s="1249">
        <v>1960</v>
      </c>
      <c r="F404" s="654">
        <v>400</v>
      </c>
      <c r="G404" s="654"/>
      <c r="H404" s="654"/>
      <c r="I404" s="654"/>
      <c r="J404" s="654"/>
      <c r="K404" s="654"/>
      <c r="L404" s="654"/>
      <c r="M404" s="654"/>
      <c r="N404" s="654"/>
      <c r="O404" s="654"/>
      <c r="P404" s="654"/>
      <c r="Q404" s="654"/>
      <c r="R404" s="654"/>
      <c r="S404" s="654"/>
      <c r="T404" s="655"/>
      <c r="U404" s="655"/>
      <c r="V404" s="642">
        <f t="shared" si="14"/>
        <v>26160</v>
      </c>
    </row>
    <row r="405" spans="1:22" ht="19.5" customHeight="1">
      <c r="A405" s="1332" t="s">
        <v>575</v>
      </c>
      <c r="B405" s="1249">
        <v>15000</v>
      </c>
      <c r="C405" s="1249"/>
      <c r="D405" s="1249"/>
      <c r="E405" s="1249">
        <v>2500</v>
      </c>
      <c r="F405" s="654">
        <v>700</v>
      </c>
      <c r="G405" s="654"/>
      <c r="H405" s="654"/>
      <c r="I405" s="654"/>
      <c r="J405" s="654"/>
      <c r="K405" s="654"/>
      <c r="L405" s="654"/>
      <c r="M405" s="654"/>
      <c r="N405" s="654"/>
      <c r="O405" s="654"/>
      <c r="P405" s="654"/>
      <c r="Q405" s="654"/>
      <c r="R405" s="654"/>
      <c r="S405" s="654"/>
      <c r="T405" s="655"/>
      <c r="U405" s="655"/>
      <c r="V405" s="642">
        <f t="shared" si="14"/>
        <v>18200</v>
      </c>
    </row>
    <row r="406" spans="1:22" ht="24.75" customHeight="1">
      <c r="A406" s="1332" t="s">
        <v>695</v>
      </c>
      <c r="B406" s="1249">
        <v>-5000</v>
      </c>
      <c r="C406" s="1249"/>
      <c r="D406" s="1249"/>
      <c r="E406" s="1249">
        <v>-2300</v>
      </c>
      <c r="F406" s="654">
        <v>-360</v>
      </c>
      <c r="G406" s="654"/>
      <c r="H406" s="654"/>
      <c r="I406" s="654"/>
      <c r="J406" s="654"/>
      <c r="K406" s="654"/>
      <c r="L406" s="654"/>
      <c r="M406" s="654"/>
      <c r="N406" s="654"/>
      <c r="O406" s="654"/>
      <c r="P406" s="654"/>
      <c r="Q406" s="654"/>
      <c r="R406" s="654"/>
      <c r="S406" s="654"/>
      <c r="T406" s="655"/>
      <c r="U406" s="655"/>
      <c r="V406" s="642">
        <f t="shared" si="14"/>
        <v>-7660</v>
      </c>
    </row>
    <row r="407" spans="1:22" ht="24.75" customHeight="1">
      <c r="A407" s="1332" t="s">
        <v>593</v>
      </c>
      <c r="B407" s="1249">
        <v>-5082</v>
      </c>
      <c r="C407" s="1249"/>
      <c r="D407" s="1249"/>
      <c r="E407" s="1249">
        <v>-2500</v>
      </c>
      <c r="F407" s="654">
        <v>-410</v>
      </c>
      <c r="G407" s="654"/>
      <c r="H407" s="654"/>
      <c r="I407" s="654"/>
      <c r="J407" s="654"/>
      <c r="K407" s="654"/>
      <c r="L407" s="654"/>
      <c r="M407" s="654"/>
      <c r="N407" s="654"/>
      <c r="O407" s="654"/>
      <c r="P407" s="654"/>
      <c r="Q407" s="654"/>
      <c r="R407" s="654"/>
      <c r="S407" s="654"/>
      <c r="T407" s="655"/>
      <c r="U407" s="655"/>
      <c r="V407" s="642">
        <f t="shared" si="14"/>
        <v>-7992</v>
      </c>
    </row>
    <row r="408" spans="1:22" ht="24.75" customHeight="1">
      <c r="A408" s="1332" t="s">
        <v>594</v>
      </c>
      <c r="B408" s="1249">
        <v>-21000</v>
      </c>
      <c r="C408" s="1249"/>
      <c r="D408" s="1249"/>
      <c r="E408" s="1249">
        <v>-2100</v>
      </c>
      <c r="F408" s="654"/>
      <c r="G408" s="654"/>
      <c r="H408" s="654"/>
      <c r="I408" s="654"/>
      <c r="J408" s="654"/>
      <c r="K408" s="654"/>
      <c r="L408" s="654"/>
      <c r="M408" s="654"/>
      <c r="N408" s="654"/>
      <c r="O408" s="654"/>
      <c r="P408" s="654"/>
      <c r="Q408" s="654"/>
      <c r="R408" s="654"/>
      <c r="S408" s="654"/>
      <c r="T408" s="655"/>
      <c r="U408" s="655"/>
      <c r="V408" s="642">
        <f t="shared" si="14"/>
        <v>-23100</v>
      </c>
    </row>
    <row r="409" spans="1:22" ht="25.5">
      <c r="A409" s="1332" t="s">
        <v>308</v>
      </c>
      <c r="B409" s="1249">
        <v>33230</v>
      </c>
      <c r="C409" s="1249"/>
      <c r="D409" s="1249"/>
      <c r="E409" s="1249"/>
      <c r="F409" s="654"/>
      <c r="G409" s="654"/>
      <c r="H409" s="654"/>
      <c r="I409" s="654"/>
      <c r="J409" s="654"/>
      <c r="K409" s="654"/>
      <c r="L409" s="654"/>
      <c r="M409" s="654"/>
      <c r="N409" s="654"/>
      <c r="O409" s="654"/>
      <c r="P409" s="654"/>
      <c r="Q409" s="654"/>
      <c r="R409" s="654"/>
      <c r="S409" s="654"/>
      <c r="T409" s="655"/>
      <c r="U409" s="655"/>
      <c r="V409" s="642">
        <f t="shared" si="14"/>
        <v>33230</v>
      </c>
    </row>
    <row r="410" spans="1:22" ht="25.5">
      <c r="A410" s="1332" t="s">
        <v>595</v>
      </c>
      <c r="B410" s="1249">
        <v>10000</v>
      </c>
      <c r="C410" s="1249"/>
      <c r="D410" s="1249"/>
      <c r="E410" s="1249">
        <v>600</v>
      </c>
      <c r="F410" s="654">
        <v>200</v>
      </c>
      <c r="G410" s="654"/>
      <c r="H410" s="654"/>
      <c r="I410" s="654"/>
      <c r="J410" s="654"/>
      <c r="K410" s="654"/>
      <c r="L410" s="654"/>
      <c r="M410" s="654"/>
      <c r="N410" s="654"/>
      <c r="O410" s="654"/>
      <c r="P410" s="654"/>
      <c r="Q410" s="654"/>
      <c r="R410" s="654"/>
      <c r="S410" s="654"/>
      <c r="T410" s="655"/>
      <c r="U410" s="655"/>
      <c r="V410" s="642">
        <f t="shared" si="14"/>
        <v>10800</v>
      </c>
    </row>
    <row r="411" spans="1:22" ht="19.5" customHeight="1">
      <c r="A411" s="1332" t="s">
        <v>581</v>
      </c>
      <c r="B411" s="1249">
        <v>-1050</v>
      </c>
      <c r="C411" s="1249"/>
      <c r="D411" s="1249"/>
      <c r="E411" s="1249">
        <v>-90</v>
      </c>
      <c r="F411" s="654">
        <v>-80</v>
      </c>
      <c r="G411" s="654"/>
      <c r="H411" s="654"/>
      <c r="I411" s="654"/>
      <c r="J411" s="654"/>
      <c r="K411" s="654"/>
      <c r="L411" s="654"/>
      <c r="M411" s="654"/>
      <c r="N411" s="654"/>
      <c r="O411" s="654"/>
      <c r="P411" s="654"/>
      <c r="Q411" s="654"/>
      <c r="R411" s="654"/>
      <c r="S411" s="654"/>
      <c r="T411" s="655"/>
      <c r="U411" s="655"/>
      <c r="V411" s="642">
        <f t="shared" si="14"/>
        <v>-1220</v>
      </c>
    </row>
    <row r="412" spans="1:22" ht="19.5" customHeight="1" thickBot="1">
      <c r="A412" s="1333" t="s">
        <v>582</v>
      </c>
      <c r="B412" s="1245">
        <v>-220</v>
      </c>
      <c r="C412" s="1245"/>
      <c r="D412" s="1245"/>
      <c r="E412" s="1245"/>
      <c r="F412" s="930"/>
      <c r="G412" s="930"/>
      <c r="H412" s="930"/>
      <c r="I412" s="930"/>
      <c r="J412" s="930"/>
      <c r="K412" s="930"/>
      <c r="L412" s="930"/>
      <c r="M412" s="930"/>
      <c r="N412" s="930"/>
      <c r="O412" s="930"/>
      <c r="P412" s="930"/>
      <c r="Q412" s="930"/>
      <c r="R412" s="930"/>
      <c r="S412" s="930"/>
      <c r="T412" s="931"/>
      <c r="U412" s="931"/>
      <c r="V412" s="926">
        <f t="shared" si="14"/>
        <v>-220</v>
      </c>
    </row>
    <row r="413" spans="1:22" ht="28.5" customHeight="1" thickBot="1">
      <c r="A413" s="1327" t="s">
        <v>821</v>
      </c>
      <c r="B413" s="1336">
        <f>SUM(B414:B417)</f>
        <v>61200</v>
      </c>
      <c r="C413" s="651"/>
      <c r="D413" s="651">
        <f>SUM(D414:D417)</f>
        <v>4000</v>
      </c>
      <c r="E413" s="651">
        <f>SUM(E414:E417)</f>
        <v>28600</v>
      </c>
      <c r="F413" s="651">
        <f>SUM(F414:F417)</f>
        <v>7600</v>
      </c>
      <c r="G413" s="651"/>
      <c r="H413" s="651"/>
      <c r="I413" s="651"/>
      <c r="J413" s="651"/>
      <c r="K413" s="651"/>
      <c r="L413" s="651"/>
      <c r="M413" s="651">
        <f>SUM(M414:M417)</f>
        <v>-19000</v>
      </c>
      <c r="N413" s="651">
        <f>SUM(N414:N417)</f>
        <v>-4000</v>
      </c>
      <c r="O413" s="651"/>
      <c r="P413" s="651"/>
      <c r="Q413" s="651"/>
      <c r="R413" s="651"/>
      <c r="S413" s="651"/>
      <c r="T413" s="651"/>
      <c r="U413" s="651"/>
      <c r="V413" s="651">
        <f t="shared" si="14"/>
        <v>78400</v>
      </c>
    </row>
    <row r="414" spans="1:22" ht="51">
      <c r="A414" s="1324" t="s">
        <v>240</v>
      </c>
      <c r="B414" s="1249">
        <v>108000</v>
      </c>
      <c r="C414" s="654"/>
      <c r="D414" s="654"/>
      <c r="E414" s="654">
        <v>23000</v>
      </c>
      <c r="F414" s="654">
        <v>6500</v>
      </c>
      <c r="G414" s="654"/>
      <c r="H414" s="654"/>
      <c r="I414" s="654"/>
      <c r="J414" s="654"/>
      <c r="K414" s="654"/>
      <c r="L414" s="654"/>
      <c r="M414" s="654"/>
      <c r="N414" s="654"/>
      <c r="O414" s="654"/>
      <c r="P414" s="654"/>
      <c r="Q414" s="654"/>
      <c r="R414" s="654"/>
      <c r="S414" s="654"/>
      <c r="T414" s="655"/>
      <c r="U414" s="655"/>
      <c r="V414" s="642">
        <f t="shared" si="14"/>
        <v>137500</v>
      </c>
    </row>
    <row r="415" spans="1:22" ht="38.25">
      <c r="A415" s="1337" t="s">
        <v>259</v>
      </c>
      <c r="B415" s="1249">
        <v>-3000</v>
      </c>
      <c r="C415" s="654"/>
      <c r="D415" s="654"/>
      <c r="E415" s="654"/>
      <c r="F415" s="654"/>
      <c r="G415" s="654"/>
      <c r="H415" s="654"/>
      <c r="I415" s="654"/>
      <c r="J415" s="654"/>
      <c r="K415" s="654"/>
      <c r="L415" s="654"/>
      <c r="M415" s="654">
        <v>-4000</v>
      </c>
      <c r="N415" s="654"/>
      <c r="O415" s="654"/>
      <c r="P415" s="654"/>
      <c r="Q415" s="654"/>
      <c r="R415" s="654"/>
      <c r="S415" s="654"/>
      <c r="T415" s="655"/>
      <c r="U415" s="655"/>
      <c r="V415" s="642">
        <f t="shared" si="14"/>
        <v>-7000</v>
      </c>
    </row>
    <row r="416" spans="1:22" ht="25.5">
      <c r="A416" s="1337" t="s">
        <v>236</v>
      </c>
      <c r="B416" s="1249">
        <v>-98800</v>
      </c>
      <c r="C416" s="654"/>
      <c r="D416" s="654">
        <v>4000</v>
      </c>
      <c r="E416" s="654">
        <v>-2400</v>
      </c>
      <c r="F416" s="654"/>
      <c r="G416" s="654"/>
      <c r="H416" s="654"/>
      <c r="I416" s="654"/>
      <c r="J416" s="654"/>
      <c r="K416" s="654"/>
      <c r="L416" s="654"/>
      <c r="M416" s="654">
        <v>-20000</v>
      </c>
      <c r="N416" s="654">
        <v>-4000</v>
      </c>
      <c r="O416" s="654"/>
      <c r="P416" s="654"/>
      <c r="Q416" s="654"/>
      <c r="R416" s="654"/>
      <c r="S416" s="654"/>
      <c r="T416" s="655"/>
      <c r="U416" s="655"/>
      <c r="V416" s="642">
        <f t="shared" si="14"/>
        <v>-121200</v>
      </c>
    </row>
    <row r="417" spans="1:22" ht="26.25" thickBot="1">
      <c r="A417" s="1337" t="s">
        <v>828</v>
      </c>
      <c r="B417" s="1245">
        <v>55000</v>
      </c>
      <c r="C417" s="930"/>
      <c r="D417" s="930"/>
      <c r="E417" s="930">
        <v>8000</v>
      </c>
      <c r="F417" s="930">
        <v>1100</v>
      </c>
      <c r="G417" s="930"/>
      <c r="H417" s="930"/>
      <c r="I417" s="930"/>
      <c r="J417" s="930"/>
      <c r="K417" s="930"/>
      <c r="L417" s="930"/>
      <c r="M417" s="930">
        <v>5000</v>
      </c>
      <c r="N417" s="930"/>
      <c r="O417" s="930"/>
      <c r="P417" s="930"/>
      <c r="Q417" s="930"/>
      <c r="R417" s="930"/>
      <c r="S417" s="930"/>
      <c r="T417" s="931"/>
      <c r="U417" s="931"/>
      <c r="V417" s="926">
        <f t="shared" si="14"/>
        <v>69100</v>
      </c>
    </row>
    <row r="418" spans="1:22" ht="39" thickBot="1">
      <c r="A418" s="1327" t="s">
        <v>140</v>
      </c>
      <c r="B418" s="1336">
        <f>SUM(B419:B424)</f>
        <v>56500</v>
      </c>
      <c r="C418" s="651"/>
      <c r="D418" s="651"/>
      <c r="E418" s="651">
        <f>SUM(E419:E424)</f>
        <v>10800</v>
      </c>
      <c r="F418" s="651">
        <f>SUM(F419:F424)</f>
        <v>600</v>
      </c>
      <c r="G418" s="651"/>
      <c r="H418" s="651"/>
      <c r="I418" s="651"/>
      <c r="J418" s="651"/>
      <c r="K418" s="651"/>
      <c r="L418" s="651"/>
      <c r="M418" s="651">
        <f>SUM(M419:M424)</f>
        <v>1000</v>
      </c>
      <c r="N418" s="651"/>
      <c r="O418" s="651"/>
      <c r="P418" s="651"/>
      <c r="Q418" s="651"/>
      <c r="R418" s="651"/>
      <c r="S418" s="651"/>
      <c r="T418" s="651"/>
      <c r="U418" s="651"/>
      <c r="V418" s="651">
        <f t="shared" si="14"/>
        <v>68900</v>
      </c>
    </row>
    <row r="419" spans="1:22" ht="18" customHeight="1">
      <c r="A419" s="1332" t="s">
        <v>271</v>
      </c>
      <c r="B419" s="1249">
        <v>-31000</v>
      </c>
      <c r="C419" s="654"/>
      <c r="D419" s="654"/>
      <c r="E419" s="654">
        <v>-4000</v>
      </c>
      <c r="F419" s="654">
        <v>-1000</v>
      </c>
      <c r="G419" s="654"/>
      <c r="H419" s="654"/>
      <c r="I419" s="654"/>
      <c r="J419" s="654"/>
      <c r="K419" s="654"/>
      <c r="L419" s="654"/>
      <c r="M419" s="654"/>
      <c r="N419" s="654"/>
      <c r="O419" s="654"/>
      <c r="P419" s="654"/>
      <c r="Q419" s="654"/>
      <c r="R419" s="654"/>
      <c r="S419" s="654"/>
      <c r="T419" s="655"/>
      <c r="U419" s="655"/>
      <c r="V419" s="642">
        <f t="shared" si="14"/>
        <v>-36000</v>
      </c>
    </row>
    <row r="420" spans="1:22" ht="18" customHeight="1">
      <c r="A420" s="1332" t="s">
        <v>241</v>
      </c>
      <c r="B420" s="1249">
        <v>68000</v>
      </c>
      <c r="C420" s="654"/>
      <c r="D420" s="654"/>
      <c r="E420" s="654">
        <v>8400</v>
      </c>
      <c r="F420" s="654">
        <v>1800</v>
      </c>
      <c r="G420" s="654"/>
      <c r="H420" s="654"/>
      <c r="I420" s="654"/>
      <c r="J420" s="654"/>
      <c r="K420" s="654"/>
      <c r="L420" s="654"/>
      <c r="M420" s="654"/>
      <c r="N420" s="654"/>
      <c r="O420" s="654"/>
      <c r="P420" s="654"/>
      <c r="Q420" s="654"/>
      <c r="R420" s="654"/>
      <c r="S420" s="654"/>
      <c r="T420" s="655"/>
      <c r="U420" s="655"/>
      <c r="V420" s="642">
        <f t="shared" si="14"/>
        <v>78200</v>
      </c>
    </row>
    <row r="421" spans="1:22" ht="15.75" customHeight="1">
      <c r="A421" s="1332" t="s">
        <v>242</v>
      </c>
      <c r="B421" s="1249">
        <v>24500</v>
      </c>
      <c r="C421" s="654"/>
      <c r="D421" s="654"/>
      <c r="E421" s="654">
        <v>1300</v>
      </c>
      <c r="F421" s="654">
        <v>300</v>
      </c>
      <c r="G421" s="654"/>
      <c r="H421" s="654"/>
      <c r="I421" s="654"/>
      <c r="J421" s="654"/>
      <c r="K421" s="654"/>
      <c r="L421" s="654"/>
      <c r="M421" s="654">
        <v>1000</v>
      </c>
      <c r="N421" s="654"/>
      <c r="O421" s="654"/>
      <c r="P421" s="654"/>
      <c r="Q421" s="654"/>
      <c r="R421" s="654"/>
      <c r="S421" s="654"/>
      <c r="T421" s="655"/>
      <c r="U421" s="655"/>
      <c r="V421" s="642">
        <f t="shared" si="14"/>
        <v>27100</v>
      </c>
    </row>
    <row r="422" spans="1:22" ht="25.5">
      <c r="A422" s="1332" t="s">
        <v>243</v>
      </c>
      <c r="B422" s="1249">
        <v>-45000</v>
      </c>
      <c r="C422" s="654"/>
      <c r="D422" s="654"/>
      <c r="E422" s="654">
        <v>-4000</v>
      </c>
      <c r="F422" s="654">
        <v>-1000</v>
      </c>
      <c r="G422" s="654"/>
      <c r="H422" s="654"/>
      <c r="I422" s="654"/>
      <c r="J422" s="654"/>
      <c r="K422" s="654"/>
      <c r="L422" s="654"/>
      <c r="M422" s="654"/>
      <c r="N422" s="654"/>
      <c r="O422" s="654"/>
      <c r="P422" s="654"/>
      <c r="Q422" s="654"/>
      <c r="R422" s="654"/>
      <c r="S422" s="654"/>
      <c r="T422" s="655"/>
      <c r="U422" s="655"/>
      <c r="V422" s="642">
        <f t="shared" si="14"/>
        <v>-50000</v>
      </c>
    </row>
    <row r="423" spans="1:22" ht="25.5">
      <c r="A423" s="1332" t="s">
        <v>244</v>
      </c>
      <c r="B423" s="1249">
        <v>11000</v>
      </c>
      <c r="C423" s="654"/>
      <c r="D423" s="654"/>
      <c r="E423" s="654">
        <v>3100</v>
      </c>
      <c r="F423" s="654"/>
      <c r="G423" s="654"/>
      <c r="H423" s="654"/>
      <c r="I423" s="654"/>
      <c r="J423" s="654"/>
      <c r="K423" s="654"/>
      <c r="L423" s="654"/>
      <c r="M423" s="654"/>
      <c r="N423" s="654"/>
      <c r="O423" s="654"/>
      <c r="P423" s="654"/>
      <c r="Q423" s="654"/>
      <c r="R423" s="654"/>
      <c r="S423" s="654"/>
      <c r="T423" s="655"/>
      <c r="U423" s="655"/>
      <c r="V423" s="642">
        <f t="shared" si="14"/>
        <v>14100</v>
      </c>
    </row>
    <row r="424" spans="1:22" ht="26.25" thickBot="1">
      <c r="A424" s="1332" t="s">
        <v>245</v>
      </c>
      <c r="B424" s="1245">
        <v>29000</v>
      </c>
      <c r="C424" s="930"/>
      <c r="D424" s="930"/>
      <c r="E424" s="930">
        <v>6000</v>
      </c>
      <c r="F424" s="930">
        <v>500</v>
      </c>
      <c r="G424" s="930"/>
      <c r="H424" s="930"/>
      <c r="I424" s="930"/>
      <c r="J424" s="930"/>
      <c r="K424" s="930"/>
      <c r="L424" s="930"/>
      <c r="M424" s="930"/>
      <c r="N424" s="930"/>
      <c r="O424" s="930"/>
      <c r="P424" s="930"/>
      <c r="Q424" s="930"/>
      <c r="R424" s="930"/>
      <c r="S424" s="930"/>
      <c r="T424" s="931"/>
      <c r="U424" s="931"/>
      <c r="V424" s="926">
        <f t="shared" si="14"/>
        <v>35500</v>
      </c>
    </row>
    <row r="425" spans="1:22" ht="32.25" customHeight="1" thickBot="1">
      <c r="A425" s="1327" t="s">
        <v>187</v>
      </c>
      <c r="B425" s="1336">
        <f>SUM(B426:B427)</f>
        <v>-12446</v>
      </c>
      <c r="C425" s="651"/>
      <c r="D425" s="651"/>
      <c r="E425" s="651">
        <f>SUM(E426:E427)</f>
        <v>-1000</v>
      </c>
      <c r="F425" s="651"/>
      <c r="G425" s="651"/>
      <c r="H425" s="651"/>
      <c r="I425" s="651"/>
      <c r="J425" s="651"/>
      <c r="K425" s="651"/>
      <c r="L425" s="651"/>
      <c r="M425" s="651">
        <f>SUM(M426:M427)</f>
        <v>5700</v>
      </c>
      <c r="N425" s="651">
        <f>SUM(N426:N427)</f>
        <v>4500</v>
      </c>
      <c r="O425" s="651"/>
      <c r="P425" s="651"/>
      <c r="Q425" s="651"/>
      <c r="R425" s="651"/>
      <c r="S425" s="651"/>
      <c r="T425" s="651"/>
      <c r="U425" s="651"/>
      <c r="V425" s="651">
        <f t="shared" si="14"/>
        <v>-3246</v>
      </c>
    </row>
    <row r="426" spans="1:22" ht="17.25" customHeight="1">
      <c r="A426" s="1338" t="s">
        <v>59</v>
      </c>
      <c r="B426" s="1249">
        <v>-5700</v>
      </c>
      <c r="C426" s="654"/>
      <c r="D426" s="654"/>
      <c r="E426" s="654"/>
      <c r="F426" s="654"/>
      <c r="G426" s="654"/>
      <c r="H426" s="654"/>
      <c r="I426" s="654"/>
      <c r="J426" s="654"/>
      <c r="K426" s="654"/>
      <c r="L426" s="654"/>
      <c r="M426" s="654">
        <v>5700</v>
      </c>
      <c r="N426" s="1249">
        <v>4500</v>
      </c>
      <c r="O426" s="654"/>
      <c r="P426" s="654"/>
      <c r="Q426" s="654"/>
      <c r="R426" s="654"/>
      <c r="S426" s="654"/>
      <c r="T426" s="655"/>
      <c r="U426" s="655"/>
      <c r="V426" s="642">
        <f t="shared" si="14"/>
        <v>4500</v>
      </c>
    </row>
    <row r="427" spans="1:22" ht="17.25" customHeight="1" thickBot="1">
      <c r="A427" s="1339" t="s">
        <v>193</v>
      </c>
      <c r="B427" s="1245">
        <v>-6746</v>
      </c>
      <c r="C427" s="930"/>
      <c r="D427" s="930"/>
      <c r="E427" s="930">
        <v>-1000</v>
      </c>
      <c r="F427" s="930"/>
      <c r="G427" s="930"/>
      <c r="H427" s="930"/>
      <c r="I427" s="930"/>
      <c r="J427" s="930"/>
      <c r="K427" s="930"/>
      <c r="L427" s="930"/>
      <c r="M427" s="930"/>
      <c r="N427" s="1245"/>
      <c r="O427" s="930"/>
      <c r="P427" s="930"/>
      <c r="Q427" s="930"/>
      <c r="R427" s="930"/>
      <c r="S427" s="930"/>
      <c r="T427" s="931"/>
      <c r="U427" s="931"/>
      <c r="V427" s="642">
        <f t="shared" si="14"/>
        <v>-7746</v>
      </c>
    </row>
    <row r="428" spans="1:22" ht="33.75" customHeight="1" thickBot="1">
      <c r="A428" s="516" t="s">
        <v>275</v>
      </c>
      <c r="B428" s="651">
        <f>SUM(B429:B437)</f>
        <v>143106</v>
      </c>
      <c r="C428" s="651"/>
      <c r="D428" s="651"/>
      <c r="E428" s="651">
        <f>SUM(E429:E437)</f>
        <v>27230</v>
      </c>
      <c r="F428" s="651">
        <f>SUM(F429:F437)</f>
        <v>5040</v>
      </c>
      <c r="G428" s="651"/>
      <c r="H428" s="651"/>
      <c r="I428" s="651"/>
      <c r="J428" s="651"/>
      <c r="K428" s="651">
        <f>SUM(K429:K437)</f>
        <v>10000</v>
      </c>
      <c r="L428" s="651"/>
      <c r="M428" s="651">
        <f>SUM(M429:M437)</f>
        <v>86000</v>
      </c>
      <c r="N428" s="651">
        <f>SUM(N429:N437)</f>
        <v>3384</v>
      </c>
      <c r="O428" s="651"/>
      <c r="P428" s="651"/>
      <c r="Q428" s="651"/>
      <c r="R428" s="651"/>
      <c r="S428" s="651"/>
      <c r="T428" s="651"/>
      <c r="U428" s="651"/>
      <c r="V428" s="651">
        <f t="shared" si="14"/>
        <v>274760</v>
      </c>
    </row>
    <row r="429" spans="1:22" ht="19.5" customHeight="1">
      <c r="A429" s="1331" t="s">
        <v>246</v>
      </c>
      <c r="B429" s="1246">
        <v>-1150</v>
      </c>
      <c r="C429" s="1246"/>
      <c r="D429" s="1246"/>
      <c r="E429" s="1246"/>
      <c r="F429" s="1246"/>
      <c r="G429" s="1246"/>
      <c r="H429" s="1246"/>
      <c r="I429" s="1246"/>
      <c r="J429" s="1246"/>
      <c r="K429" s="1246"/>
      <c r="L429" s="1246"/>
      <c r="M429" s="1246">
        <v>18000</v>
      </c>
      <c r="N429" s="1247"/>
      <c r="O429" s="1246"/>
      <c r="P429" s="1246"/>
      <c r="Q429" s="1246"/>
      <c r="R429" s="1246"/>
      <c r="S429" s="1246"/>
      <c r="T429" s="1248"/>
      <c r="U429" s="1248"/>
      <c r="V429" s="642">
        <f t="shared" si="14"/>
        <v>16850</v>
      </c>
    </row>
    <row r="430" spans="1:22" ht="19.5" customHeight="1">
      <c r="A430" s="1332" t="s">
        <v>276</v>
      </c>
      <c r="B430" s="652">
        <v>-5000</v>
      </c>
      <c r="C430" s="652"/>
      <c r="D430" s="652"/>
      <c r="E430" s="652"/>
      <c r="F430" s="652"/>
      <c r="G430" s="652"/>
      <c r="H430" s="652"/>
      <c r="I430" s="652"/>
      <c r="J430" s="652"/>
      <c r="K430" s="652"/>
      <c r="L430" s="652"/>
      <c r="M430" s="652"/>
      <c r="N430" s="1258"/>
      <c r="O430" s="652"/>
      <c r="P430" s="652"/>
      <c r="Q430" s="652"/>
      <c r="R430" s="652"/>
      <c r="S430" s="652"/>
      <c r="T430" s="653"/>
      <c r="U430" s="653"/>
      <c r="V430" s="642">
        <f t="shared" si="14"/>
        <v>-5000</v>
      </c>
    </row>
    <row r="431" spans="1:22" ht="19.5" customHeight="1">
      <c r="A431" s="1332" t="s">
        <v>247</v>
      </c>
      <c r="B431" s="654">
        <v>57000</v>
      </c>
      <c r="C431" s="654"/>
      <c r="D431" s="654"/>
      <c r="E431" s="654">
        <v>9500</v>
      </c>
      <c r="F431" s="654">
        <v>1030</v>
      </c>
      <c r="G431" s="654"/>
      <c r="H431" s="654"/>
      <c r="I431" s="654"/>
      <c r="J431" s="654"/>
      <c r="K431" s="654"/>
      <c r="L431" s="654"/>
      <c r="M431" s="654">
        <v>15000</v>
      </c>
      <c r="N431" s="1249"/>
      <c r="O431" s="654"/>
      <c r="P431" s="654"/>
      <c r="Q431" s="654"/>
      <c r="R431" s="654"/>
      <c r="S431" s="654"/>
      <c r="T431" s="655"/>
      <c r="U431" s="655"/>
      <c r="V431" s="642">
        <f t="shared" si="14"/>
        <v>82530</v>
      </c>
    </row>
    <row r="432" spans="1:22" ht="19.5" customHeight="1">
      <c r="A432" s="1332" t="s">
        <v>248</v>
      </c>
      <c r="B432" s="654">
        <v>30000</v>
      </c>
      <c r="C432" s="654"/>
      <c r="D432" s="654"/>
      <c r="E432" s="654">
        <v>5000</v>
      </c>
      <c r="F432" s="654">
        <v>1200</v>
      </c>
      <c r="G432" s="654"/>
      <c r="H432" s="654"/>
      <c r="I432" s="654"/>
      <c r="J432" s="654"/>
      <c r="K432" s="654"/>
      <c r="L432" s="654"/>
      <c r="M432" s="654">
        <v>22500</v>
      </c>
      <c r="N432" s="1249"/>
      <c r="O432" s="654"/>
      <c r="P432" s="654"/>
      <c r="Q432" s="654"/>
      <c r="R432" s="654"/>
      <c r="S432" s="654"/>
      <c r="T432" s="655"/>
      <c r="U432" s="655"/>
      <c r="V432" s="642">
        <f t="shared" si="14"/>
        <v>58700</v>
      </c>
    </row>
    <row r="433" spans="1:22" ht="19.5" customHeight="1">
      <c r="A433" s="1332" t="s">
        <v>249</v>
      </c>
      <c r="B433" s="654">
        <v>10000</v>
      </c>
      <c r="C433" s="654"/>
      <c r="D433" s="654"/>
      <c r="E433" s="654"/>
      <c r="F433" s="654">
        <v>1500</v>
      </c>
      <c r="G433" s="654"/>
      <c r="H433" s="654"/>
      <c r="I433" s="654"/>
      <c r="J433" s="654"/>
      <c r="K433" s="654"/>
      <c r="L433" s="654"/>
      <c r="M433" s="654"/>
      <c r="N433" s="1249"/>
      <c r="O433" s="654"/>
      <c r="P433" s="654"/>
      <c r="Q433" s="654"/>
      <c r="R433" s="654"/>
      <c r="S433" s="654"/>
      <c r="T433" s="655"/>
      <c r="U433" s="655"/>
      <c r="V433" s="642">
        <f t="shared" si="14"/>
        <v>11500</v>
      </c>
    </row>
    <row r="434" spans="1:22" ht="19.5" customHeight="1">
      <c r="A434" s="1326" t="s">
        <v>688</v>
      </c>
      <c r="B434" s="654">
        <v>12445</v>
      </c>
      <c r="C434" s="654"/>
      <c r="D434" s="654"/>
      <c r="E434" s="654">
        <v>2200</v>
      </c>
      <c r="F434" s="654">
        <v>610</v>
      </c>
      <c r="G434" s="654"/>
      <c r="H434" s="654"/>
      <c r="I434" s="654"/>
      <c r="J434" s="654"/>
      <c r="K434" s="654"/>
      <c r="L434" s="654"/>
      <c r="M434" s="654">
        <v>5500</v>
      </c>
      <c r="N434" s="1249"/>
      <c r="O434" s="654"/>
      <c r="P434" s="654"/>
      <c r="Q434" s="654"/>
      <c r="R434" s="654"/>
      <c r="S434" s="654"/>
      <c r="T434" s="655"/>
      <c r="U434" s="655"/>
      <c r="V434" s="642">
        <f t="shared" si="14"/>
        <v>20755</v>
      </c>
    </row>
    <row r="435" spans="1:22" ht="25.5">
      <c r="A435" s="1326" t="s">
        <v>250</v>
      </c>
      <c r="B435" s="654">
        <v>21281</v>
      </c>
      <c r="C435" s="654"/>
      <c r="D435" s="654"/>
      <c r="E435" s="654">
        <v>5000</v>
      </c>
      <c r="F435" s="654">
        <v>700</v>
      </c>
      <c r="G435" s="654"/>
      <c r="H435" s="654"/>
      <c r="I435" s="654"/>
      <c r="J435" s="654"/>
      <c r="K435" s="654">
        <v>10000</v>
      </c>
      <c r="L435" s="654"/>
      <c r="M435" s="654">
        <v>5000</v>
      </c>
      <c r="N435" s="1249"/>
      <c r="O435" s="654"/>
      <c r="P435" s="654"/>
      <c r="Q435" s="654"/>
      <c r="R435" s="654"/>
      <c r="S435" s="654"/>
      <c r="T435" s="655"/>
      <c r="U435" s="655"/>
      <c r="V435" s="642">
        <f t="shared" si="14"/>
        <v>41981</v>
      </c>
    </row>
    <row r="436" spans="1:22" ht="19.5" customHeight="1">
      <c r="A436" s="1332" t="s">
        <v>693</v>
      </c>
      <c r="B436" s="654">
        <v>3730</v>
      </c>
      <c r="C436" s="654"/>
      <c r="D436" s="654"/>
      <c r="E436" s="654">
        <v>1730</v>
      </c>
      <c r="F436" s="654"/>
      <c r="G436" s="654"/>
      <c r="H436" s="654"/>
      <c r="I436" s="654"/>
      <c r="J436" s="654"/>
      <c r="K436" s="654"/>
      <c r="L436" s="654"/>
      <c r="M436" s="654">
        <v>15000</v>
      </c>
      <c r="N436" s="1249">
        <v>3384</v>
      </c>
      <c r="O436" s="654"/>
      <c r="P436" s="654"/>
      <c r="Q436" s="654"/>
      <c r="R436" s="654"/>
      <c r="S436" s="654"/>
      <c r="T436" s="655"/>
      <c r="U436" s="655"/>
      <c r="V436" s="642">
        <f t="shared" si="14"/>
        <v>23844</v>
      </c>
    </row>
    <row r="437" spans="1:22" ht="26.25" thickBot="1">
      <c r="A437" s="1333" t="s">
        <v>597</v>
      </c>
      <c r="B437" s="930">
        <v>14800</v>
      </c>
      <c r="C437" s="930"/>
      <c r="D437" s="930"/>
      <c r="E437" s="930">
        <v>3800</v>
      </c>
      <c r="F437" s="930"/>
      <c r="G437" s="930"/>
      <c r="H437" s="930"/>
      <c r="I437" s="930"/>
      <c r="J437" s="930"/>
      <c r="K437" s="930"/>
      <c r="L437" s="930"/>
      <c r="M437" s="930">
        <v>5000</v>
      </c>
      <c r="N437" s="1245"/>
      <c r="O437" s="930"/>
      <c r="P437" s="930"/>
      <c r="Q437" s="930"/>
      <c r="R437" s="930"/>
      <c r="S437" s="930"/>
      <c r="T437" s="931"/>
      <c r="U437" s="931"/>
      <c r="V437" s="642">
        <f t="shared" si="14"/>
        <v>23600</v>
      </c>
    </row>
    <row r="438" spans="1:22" s="514" customFormat="1" ht="27.75" customHeight="1" thickBot="1">
      <c r="A438" s="1334" t="s">
        <v>696</v>
      </c>
      <c r="B438" s="657"/>
      <c r="C438" s="657"/>
      <c r="D438" s="657">
        <f>D441+D439+D453</f>
        <v>3998</v>
      </c>
      <c r="E438" s="657">
        <f>E441+E439+E453</f>
        <v>773</v>
      </c>
      <c r="F438" s="657">
        <f>F441+F439+F453</f>
        <v>96</v>
      </c>
      <c r="G438" s="657"/>
      <c r="H438" s="657">
        <f>H441+H439+H453</f>
        <v>640</v>
      </c>
      <c r="I438" s="657">
        <f>I441+I439+I453</f>
        <v>2888</v>
      </c>
      <c r="J438" s="657"/>
      <c r="K438" s="657"/>
      <c r="L438" s="657"/>
      <c r="M438" s="657"/>
      <c r="N438" s="657"/>
      <c r="O438" s="657"/>
      <c r="P438" s="657"/>
      <c r="Q438" s="657"/>
      <c r="R438" s="657"/>
      <c r="S438" s="657"/>
      <c r="T438" s="657"/>
      <c r="U438" s="657"/>
      <c r="V438" s="651">
        <f t="shared" si="14"/>
        <v>8395</v>
      </c>
    </row>
    <row r="439" spans="1:22" s="514" customFormat="1" ht="34.5" customHeight="1">
      <c r="A439" s="1335" t="s">
        <v>60</v>
      </c>
      <c r="B439" s="627"/>
      <c r="C439" s="627"/>
      <c r="D439" s="627"/>
      <c r="E439" s="627"/>
      <c r="F439" s="627"/>
      <c r="G439" s="627"/>
      <c r="H439" s="627">
        <f>H440</f>
        <v>640</v>
      </c>
      <c r="I439" s="627"/>
      <c r="J439" s="627"/>
      <c r="K439" s="627"/>
      <c r="L439" s="627"/>
      <c r="M439" s="627"/>
      <c r="N439" s="627"/>
      <c r="O439" s="627"/>
      <c r="P439" s="627"/>
      <c r="Q439" s="627"/>
      <c r="R439" s="627"/>
      <c r="S439" s="627"/>
      <c r="T439" s="627"/>
      <c r="U439" s="627"/>
      <c r="V439" s="798">
        <f t="shared" si="14"/>
        <v>640</v>
      </c>
    </row>
    <row r="440" spans="1:22" s="514" customFormat="1" ht="18" customHeight="1">
      <c r="A440" s="1326" t="s">
        <v>450</v>
      </c>
      <c r="B440" s="658"/>
      <c r="C440" s="658"/>
      <c r="D440" s="658"/>
      <c r="E440" s="658"/>
      <c r="F440" s="658"/>
      <c r="G440" s="658"/>
      <c r="H440" s="510">
        <v>640</v>
      </c>
      <c r="I440" s="1242"/>
      <c r="J440" s="658"/>
      <c r="K440" s="658"/>
      <c r="L440" s="658"/>
      <c r="M440" s="658"/>
      <c r="N440" s="658"/>
      <c r="O440" s="658"/>
      <c r="P440" s="658"/>
      <c r="Q440" s="658"/>
      <c r="R440" s="658"/>
      <c r="S440" s="658"/>
      <c r="T440" s="659"/>
      <c r="U440" s="659"/>
      <c r="V440" s="642">
        <f t="shared" si="14"/>
        <v>640</v>
      </c>
    </row>
    <row r="441" spans="1:22" s="514" customFormat="1" ht="50.25" customHeight="1">
      <c r="A441" s="519" t="s">
        <v>605</v>
      </c>
      <c r="B441" s="627"/>
      <c r="C441" s="627"/>
      <c r="D441" s="627"/>
      <c r="E441" s="627"/>
      <c r="F441" s="627"/>
      <c r="G441" s="627"/>
      <c r="H441" s="627"/>
      <c r="I441" s="627">
        <f>SUM(I442:I452)</f>
        <v>2888</v>
      </c>
      <c r="J441" s="627"/>
      <c r="K441" s="627"/>
      <c r="L441" s="627"/>
      <c r="M441" s="627"/>
      <c r="N441" s="627"/>
      <c r="O441" s="627"/>
      <c r="P441" s="627"/>
      <c r="Q441" s="627"/>
      <c r="R441" s="627"/>
      <c r="S441" s="627"/>
      <c r="T441" s="627"/>
      <c r="U441" s="627"/>
      <c r="V441" s="798">
        <f t="shared" si="14"/>
        <v>2888</v>
      </c>
    </row>
    <row r="442" spans="1:22" s="514" customFormat="1" ht="18" customHeight="1">
      <c r="A442" s="1326" t="s">
        <v>453</v>
      </c>
      <c r="B442" s="1329"/>
      <c r="C442" s="1329"/>
      <c r="D442" s="1329"/>
      <c r="E442" s="1329"/>
      <c r="F442" s="1329"/>
      <c r="G442" s="1329"/>
      <c r="H442" s="1242"/>
      <c r="I442" s="1242">
        <v>224</v>
      </c>
      <c r="J442" s="1329"/>
      <c r="K442" s="1329"/>
      <c r="L442" s="1329"/>
      <c r="M442" s="658"/>
      <c r="N442" s="658"/>
      <c r="O442" s="658"/>
      <c r="P442" s="658"/>
      <c r="Q442" s="658"/>
      <c r="R442" s="658"/>
      <c r="S442" s="658"/>
      <c r="T442" s="659"/>
      <c r="U442" s="659"/>
      <c r="V442" s="642">
        <f t="shared" si="14"/>
        <v>224</v>
      </c>
    </row>
    <row r="443" spans="1:22" s="514" customFormat="1" ht="18" customHeight="1">
      <c r="A443" s="1326" t="s">
        <v>479</v>
      </c>
      <c r="B443" s="1242"/>
      <c r="C443" s="1242"/>
      <c r="D443" s="1242"/>
      <c r="E443" s="1242"/>
      <c r="F443" s="1242"/>
      <c r="G443" s="1242"/>
      <c r="H443" s="1242"/>
      <c r="I443" s="1242">
        <v>448</v>
      </c>
      <c r="J443" s="1242"/>
      <c r="K443" s="1242"/>
      <c r="L443" s="1242"/>
      <c r="M443" s="510"/>
      <c r="N443" s="510"/>
      <c r="O443" s="510"/>
      <c r="P443" s="510"/>
      <c r="Q443" s="510"/>
      <c r="R443" s="510"/>
      <c r="S443" s="510"/>
      <c r="T443" s="511"/>
      <c r="U443" s="511"/>
      <c r="V443" s="642">
        <f t="shared" si="14"/>
        <v>448</v>
      </c>
    </row>
    <row r="444" spans="1:22" s="514" customFormat="1" ht="18" customHeight="1">
      <c r="A444" s="1326" t="s">
        <v>480</v>
      </c>
      <c r="B444" s="1242"/>
      <c r="C444" s="1242"/>
      <c r="D444" s="1242"/>
      <c r="E444" s="1242"/>
      <c r="F444" s="1242"/>
      <c r="G444" s="1242"/>
      <c r="H444" s="1242"/>
      <c r="I444" s="1242">
        <v>192</v>
      </c>
      <c r="J444" s="1242"/>
      <c r="K444" s="1242"/>
      <c r="L444" s="1242"/>
      <c r="M444" s="510"/>
      <c r="N444" s="510"/>
      <c r="O444" s="510"/>
      <c r="P444" s="510"/>
      <c r="Q444" s="510"/>
      <c r="R444" s="510"/>
      <c r="S444" s="510"/>
      <c r="T444" s="511"/>
      <c r="U444" s="511"/>
      <c r="V444" s="642">
        <f t="shared" si="14"/>
        <v>192</v>
      </c>
    </row>
    <row r="445" spans="1:22" s="514" customFormat="1" ht="18" customHeight="1">
      <c r="A445" s="1326" t="s">
        <v>483</v>
      </c>
      <c r="B445" s="1330"/>
      <c r="C445" s="1330"/>
      <c r="D445" s="1330"/>
      <c r="E445" s="1330"/>
      <c r="F445" s="1330"/>
      <c r="G445" s="1330"/>
      <c r="H445" s="1242"/>
      <c r="I445" s="1242">
        <v>224</v>
      </c>
      <c r="J445" s="1330"/>
      <c r="K445" s="1330"/>
      <c r="L445" s="1330"/>
      <c r="M445" s="517"/>
      <c r="N445" s="517"/>
      <c r="O445" s="517"/>
      <c r="P445" s="517"/>
      <c r="Q445" s="517"/>
      <c r="R445" s="517"/>
      <c r="S445" s="517"/>
      <c r="T445" s="518"/>
      <c r="U445" s="518"/>
      <c r="V445" s="642">
        <f t="shared" si="14"/>
        <v>224</v>
      </c>
    </row>
    <row r="446" spans="1:22" s="514" customFormat="1" ht="18" customHeight="1">
      <c r="A446" s="1326" t="s">
        <v>584</v>
      </c>
      <c r="B446" s="1330"/>
      <c r="C446" s="1330"/>
      <c r="D446" s="1330"/>
      <c r="E446" s="1330"/>
      <c r="F446" s="1330"/>
      <c r="G446" s="1330"/>
      <c r="H446" s="1242"/>
      <c r="I446" s="1242">
        <v>320</v>
      </c>
      <c r="J446" s="1330"/>
      <c r="K446" s="1330"/>
      <c r="L446" s="1330"/>
      <c r="M446" s="517"/>
      <c r="N446" s="517"/>
      <c r="O446" s="517"/>
      <c r="P446" s="517"/>
      <c r="Q446" s="517"/>
      <c r="R446" s="517"/>
      <c r="S446" s="517"/>
      <c r="T446" s="518"/>
      <c r="U446" s="518"/>
      <c r="V446" s="642">
        <f t="shared" si="14"/>
        <v>320</v>
      </c>
    </row>
    <row r="447" spans="1:22" s="514" customFormat="1" ht="18" customHeight="1">
      <c r="A447" s="1326" t="s">
        <v>585</v>
      </c>
      <c r="B447" s="1242"/>
      <c r="C447" s="1242"/>
      <c r="D447" s="1242"/>
      <c r="E447" s="1242"/>
      <c r="F447" s="1242"/>
      <c r="G447" s="1242"/>
      <c r="H447" s="1242"/>
      <c r="I447" s="1242">
        <v>224</v>
      </c>
      <c r="J447" s="1242"/>
      <c r="K447" s="1242"/>
      <c r="L447" s="1242"/>
      <c r="M447" s="510"/>
      <c r="N447" s="510"/>
      <c r="O447" s="510"/>
      <c r="P447" s="510"/>
      <c r="Q447" s="510"/>
      <c r="R447" s="510"/>
      <c r="S447" s="510"/>
      <c r="T447" s="511"/>
      <c r="U447" s="511"/>
      <c r="V447" s="642">
        <f t="shared" si="14"/>
        <v>224</v>
      </c>
    </row>
    <row r="448" spans="1:22" s="514" customFormat="1" ht="18" customHeight="1">
      <c r="A448" s="1326" t="s">
        <v>589</v>
      </c>
      <c r="B448" s="1330"/>
      <c r="C448" s="1330"/>
      <c r="D448" s="1330"/>
      <c r="E448" s="1330"/>
      <c r="F448" s="1330"/>
      <c r="G448" s="1330"/>
      <c r="H448" s="1242"/>
      <c r="I448" s="1242">
        <v>256</v>
      </c>
      <c r="J448" s="1330"/>
      <c r="K448" s="1330"/>
      <c r="L448" s="1330"/>
      <c r="M448" s="517"/>
      <c r="N448" s="517"/>
      <c r="O448" s="517"/>
      <c r="P448" s="517"/>
      <c r="Q448" s="517"/>
      <c r="R448" s="517"/>
      <c r="S448" s="517"/>
      <c r="T448" s="518"/>
      <c r="U448" s="518"/>
      <c r="V448" s="642">
        <f t="shared" si="14"/>
        <v>256</v>
      </c>
    </row>
    <row r="449" spans="1:22" s="514" customFormat="1" ht="18" customHeight="1">
      <c r="A449" s="1326" t="s">
        <v>590</v>
      </c>
      <c r="B449" s="1330"/>
      <c r="C449" s="1330"/>
      <c r="D449" s="1330"/>
      <c r="E449" s="1330"/>
      <c r="F449" s="1330"/>
      <c r="G449" s="1330"/>
      <c r="H449" s="1242"/>
      <c r="I449" s="1242">
        <v>320</v>
      </c>
      <c r="J449" s="1330"/>
      <c r="K449" s="1330"/>
      <c r="L449" s="1330"/>
      <c r="M449" s="517"/>
      <c r="N449" s="517"/>
      <c r="O449" s="517"/>
      <c r="P449" s="517"/>
      <c r="Q449" s="517"/>
      <c r="R449" s="517"/>
      <c r="S449" s="517"/>
      <c r="T449" s="518"/>
      <c r="U449" s="518"/>
      <c r="V449" s="642">
        <f t="shared" si="14"/>
        <v>320</v>
      </c>
    </row>
    <row r="450" spans="1:22" s="514" customFormat="1" ht="18" customHeight="1">
      <c r="A450" s="1325" t="s">
        <v>594</v>
      </c>
      <c r="B450" s="1242"/>
      <c r="C450" s="1242"/>
      <c r="D450" s="1242"/>
      <c r="E450" s="1242"/>
      <c r="F450" s="1242"/>
      <c r="G450" s="1242"/>
      <c r="H450" s="1242"/>
      <c r="I450" s="1242">
        <v>320</v>
      </c>
      <c r="J450" s="1242"/>
      <c r="K450" s="1242"/>
      <c r="L450" s="1242"/>
      <c r="M450" s="510"/>
      <c r="N450" s="510"/>
      <c r="O450" s="510"/>
      <c r="P450" s="510"/>
      <c r="Q450" s="510"/>
      <c r="R450" s="510"/>
      <c r="S450" s="510"/>
      <c r="T450" s="511"/>
      <c r="U450" s="511"/>
      <c r="V450" s="642">
        <f t="shared" si="14"/>
        <v>320</v>
      </c>
    </row>
    <row r="451" spans="1:22" s="514" customFormat="1" ht="18" customHeight="1">
      <c r="A451" s="1325" t="s">
        <v>308</v>
      </c>
      <c r="B451" s="1242"/>
      <c r="C451" s="1242"/>
      <c r="D451" s="1242"/>
      <c r="E451" s="1242"/>
      <c r="F451" s="1242"/>
      <c r="G451" s="1242"/>
      <c r="H451" s="1242"/>
      <c r="I451" s="1242">
        <v>136</v>
      </c>
      <c r="J451" s="1242"/>
      <c r="K451" s="1242"/>
      <c r="L451" s="1242"/>
      <c r="M451" s="510"/>
      <c r="N451" s="510"/>
      <c r="O451" s="510"/>
      <c r="P451" s="510"/>
      <c r="Q451" s="510"/>
      <c r="R451" s="510"/>
      <c r="S451" s="510"/>
      <c r="T451" s="511"/>
      <c r="U451" s="511"/>
      <c r="V451" s="642">
        <f t="shared" si="14"/>
        <v>136</v>
      </c>
    </row>
    <row r="452" spans="1:22" s="514" customFormat="1" ht="18" customHeight="1">
      <c r="A452" s="1326" t="s">
        <v>311</v>
      </c>
      <c r="B452" s="1330"/>
      <c r="C452" s="1330"/>
      <c r="D452" s="1330"/>
      <c r="E452" s="1330"/>
      <c r="F452" s="1330"/>
      <c r="G452" s="1330"/>
      <c r="H452" s="1242"/>
      <c r="I452" s="1242">
        <v>224</v>
      </c>
      <c r="J452" s="1330"/>
      <c r="K452" s="1330"/>
      <c r="L452" s="1330"/>
      <c r="M452" s="517"/>
      <c r="N452" s="517"/>
      <c r="O452" s="517"/>
      <c r="P452" s="517"/>
      <c r="Q452" s="517"/>
      <c r="R452" s="517"/>
      <c r="S452" s="517"/>
      <c r="T452" s="518"/>
      <c r="U452" s="518"/>
      <c r="V452" s="642">
        <f t="shared" si="14"/>
        <v>224</v>
      </c>
    </row>
    <row r="453" spans="1:22" s="514" customFormat="1" ht="36" customHeight="1">
      <c r="A453" s="519" t="s">
        <v>251</v>
      </c>
      <c r="B453" s="627"/>
      <c r="C453" s="627"/>
      <c r="D453" s="627">
        <f>SUM(D454:D459)</f>
        <v>3998</v>
      </c>
      <c r="E453" s="627">
        <f>SUM(E454:E459)</f>
        <v>773</v>
      </c>
      <c r="F453" s="627">
        <f>SUM(F454:F459)</f>
        <v>96</v>
      </c>
      <c r="G453" s="627"/>
      <c r="H453" s="627"/>
      <c r="I453" s="627"/>
      <c r="J453" s="627"/>
      <c r="K453" s="627"/>
      <c r="L453" s="627"/>
      <c r="M453" s="627"/>
      <c r="N453" s="627"/>
      <c r="O453" s="627"/>
      <c r="P453" s="627"/>
      <c r="Q453" s="627"/>
      <c r="R453" s="627"/>
      <c r="S453" s="627"/>
      <c r="T453" s="627"/>
      <c r="U453" s="627"/>
      <c r="V453" s="798">
        <f t="shared" si="14"/>
        <v>4867</v>
      </c>
    </row>
    <row r="454" spans="1:22" s="514" customFormat="1" ht="18" customHeight="1">
      <c r="A454" s="1326" t="s">
        <v>461</v>
      </c>
      <c r="B454" s="658"/>
      <c r="C454" s="658"/>
      <c r="D454" s="510">
        <v>1946</v>
      </c>
      <c r="E454" s="510">
        <v>451</v>
      </c>
      <c r="F454" s="510">
        <v>49</v>
      </c>
      <c r="G454" s="510"/>
      <c r="H454" s="510"/>
      <c r="I454" s="1242"/>
      <c r="J454" s="658"/>
      <c r="K454" s="658"/>
      <c r="L454" s="658"/>
      <c r="M454" s="658"/>
      <c r="N454" s="658"/>
      <c r="O454" s="658"/>
      <c r="P454" s="658"/>
      <c r="Q454" s="658"/>
      <c r="R454" s="658"/>
      <c r="S454" s="658"/>
      <c r="T454" s="659"/>
      <c r="U454" s="659"/>
      <c r="V454" s="642">
        <f t="shared" si="14"/>
        <v>2446</v>
      </c>
    </row>
    <row r="455" spans="1:22" s="514" customFormat="1" ht="18" customHeight="1">
      <c r="A455" s="1326" t="s">
        <v>438</v>
      </c>
      <c r="B455" s="510"/>
      <c r="C455" s="510"/>
      <c r="D455" s="510">
        <v>742</v>
      </c>
      <c r="E455" s="510">
        <v>128</v>
      </c>
      <c r="F455" s="510">
        <v>19</v>
      </c>
      <c r="G455" s="510"/>
      <c r="H455" s="510"/>
      <c r="I455" s="1242"/>
      <c r="J455" s="510"/>
      <c r="K455" s="510"/>
      <c r="L455" s="510"/>
      <c r="M455" s="510"/>
      <c r="N455" s="510"/>
      <c r="O455" s="510"/>
      <c r="P455" s="510"/>
      <c r="Q455" s="510"/>
      <c r="R455" s="510"/>
      <c r="S455" s="510"/>
      <c r="T455" s="511"/>
      <c r="U455" s="511"/>
      <c r="V455" s="642">
        <f t="shared" si="14"/>
        <v>889</v>
      </c>
    </row>
    <row r="456" spans="1:22" s="514" customFormat="1" ht="18" customHeight="1">
      <c r="A456" s="1326" t="s">
        <v>488</v>
      </c>
      <c r="B456" s="510"/>
      <c r="C456" s="510"/>
      <c r="D456" s="510">
        <v>877</v>
      </c>
      <c r="E456" s="510">
        <v>158</v>
      </c>
      <c r="F456" s="510">
        <v>25</v>
      </c>
      <c r="G456" s="510"/>
      <c r="H456" s="510"/>
      <c r="I456" s="1242"/>
      <c r="J456" s="510"/>
      <c r="K456" s="510"/>
      <c r="L456" s="510"/>
      <c r="M456" s="510"/>
      <c r="N456" s="510"/>
      <c r="O456" s="510"/>
      <c r="P456" s="510"/>
      <c r="Q456" s="510"/>
      <c r="R456" s="510"/>
      <c r="S456" s="510"/>
      <c r="T456" s="511"/>
      <c r="U456" s="511"/>
      <c r="V456" s="642">
        <f t="shared" si="14"/>
        <v>1060</v>
      </c>
    </row>
    <row r="457" spans="1:22" s="514" customFormat="1" ht="25.5">
      <c r="A457" s="1326" t="s">
        <v>594</v>
      </c>
      <c r="B457" s="510"/>
      <c r="C457" s="510"/>
      <c r="D457" s="510">
        <v>200</v>
      </c>
      <c r="E457" s="510"/>
      <c r="F457" s="510"/>
      <c r="G457" s="510"/>
      <c r="H457" s="510"/>
      <c r="I457" s="1242"/>
      <c r="J457" s="510"/>
      <c r="K457" s="510"/>
      <c r="L457" s="510"/>
      <c r="M457" s="510"/>
      <c r="N457" s="510"/>
      <c r="O457" s="510"/>
      <c r="P457" s="510"/>
      <c r="Q457" s="510"/>
      <c r="R457" s="510"/>
      <c r="S457" s="510"/>
      <c r="T457" s="511"/>
      <c r="U457" s="511"/>
      <c r="V457" s="642">
        <f t="shared" si="14"/>
        <v>200</v>
      </c>
    </row>
    <row r="458" spans="1:22" s="514" customFormat="1" ht="18" customHeight="1">
      <c r="A458" s="1326" t="s">
        <v>576</v>
      </c>
      <c r="B458" s="510"/>
      <c r="C458" s="510"/>
      <c r="D458" s="510">
        <v>1110</v>
      </c>
      <c r="E458" s="510">
        <v>194</v>
      </c>
      <c r="F458" s="510">
        <v>28</v>
      </c>
      <c r="G458" s="510"/>
      <c r="H458" s="510"/>
      <c r="I458" s="1242"/>
      <c r="J458" s="510"/>
      <c r="K458" s="510"/>
      <c r="L458" s="510"/>
      <c r="M458" s="510"/>
      <c r="N458" s="510"/>
      <c r="O458" s="510"/>
      <c r="P458" s="510"/>
      <c r="Q458" s="510"/>
      <c r="R458" s="510"/>
      <c r="S458" s="510"/>
      <c r="T458" s="511"/>
      <c r="U458" s="511"/>
      <c r="V458" s="654">
        <f t="shared" si="14"/>
        <v>1332</v>
      </c>
    </row>
    <row r="459" spans="1:22" s="514" customFormat="1" ht="18" customHeight="1" thickBot="1">
      <c r="A459" s="1326" t="s">
        <v>586</v>
      </c>
      <c r="B459" s="123"/>
      <c r="C459" s="123"/>
      <c r="D459" s="123">
        <v>-877</v>
      </c>
      <c r="E459" s="123">
        <v>-158</v>
      </c>
      <c r="F459" s="123">
        <v>-25</v>
      </c>
      <c r="G459" s="123"/>
      <c r="H459" s="123"/>
      <c r="I459" s="1241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979"/>
      <c r="U459" s="979"/>
      <c r="V459" s="930">
        <f t="shared" si="14"/>
        <v>-1060</v>
      </c>
    </row>
    <row r="460" spans="1:22" s="514" customFormat="1" ht="30" customHeight="1" thickBot="1">
      <c r="A460" s="1327" t="s">
        <v>279</v>
      </c>
      <c r="B460" s="651">
        <f>B461</f>
        <v>3000</v>
      </c>
      <c r="C460" s="651"/>
      <c r="D460" s="651"/>
      <c r="E460" s="651">
        <f>E461</f>
        <v>850</v>
      </c>
      <c r="F460" s="651"/>
      <c r="G460" s="651"/>
      <c r="H460" s="651"/>
      <c r="I460" s="651"/>
      <c r="J460" s="651"/>
      <c r="K460" s="651"/>
      <c r="L460" s="651"/>
      <c r="M460" s="651"/>
      <c r="N460" s="651"/>
      <c r="O460" s="651"/>
      <c r="P460" s="651"/>
      <c r="Q460" s="651"/>
      <c r="R460" s="651"/>
      <c r="S460" s="651"/>
      <c r="T460" s="651"/>
      <c r="U460" s="651"/>
      <c r="V460" s="651">
        <f t="shared" si="14"/>
        <v>3850</v>
      </c>
    </row>
    <row r="461" spans="1:22" s="497" customFormat="1" ht="18" customHeight="1" thickBot="1">
      <c r="A461" s="1324" t="s">
        <v>280</v>
      </c>
      <c r="B461" s="652">
        <v>3000</v>
      </c>
      <c r="C461" s="652"/>
      <c r="D461" s="652"/>
      <c r="E461" s="652">
        <v>850</v>
      </c>
      <c r="F461" s="652"/>
      <c r="G461" s="652"/>
      <c r="H461" s="652"/>
      <c r="I461" s="652"/>
      <c r="J461" s="652"/>
      <c r="K461" s="652"/>
      <c r="L461" s="652"/>
      <c r="M461" s="652"/>
      <c r="N461" s="652"/>
      <c r="O461" s="652"/>
      <c r="P461" s="652"/>
      <c r="Q461" s="652"/>
      <c r="R461" s="652"/>
      <c r="S461" s="652"/>
      <c r="T461" s="653"/>
      <c r="U461" s="653"/>
      <c r="V461" s="642">
        <f t="shared" si="14"/>
        <v>3850</v>
      </c>
    </row>
    <row r="462" spans="1:22" s="514" customFormat="1" ht="30" customHeight="1" thickBot="1">
      <c r="A462" s="1327" t="s">
        <v>192</v>
      </c>
      <c r="B462" s="651">
        <f>SUM(B463:B467)</f>
        <v>-372</v>
      </c>
      <c r="C462" s="651"/>
      <c r="D462" s="651">
        <f>SUM(D463:D467)</f>
        <v>0</v>
      </c>
      <c r="E462" s="651">
        <f>SUM(E463:E467)</f>
        <v>-67</v>
      </c>
      <c r="F462" s="651">
        <f>SUM(F463:F467)</f>
        <v>-8</v>
      </c>
      <c r="G462" s="651"/>
      <c r="H462" s="651"/>
      <c r="I462" s="651"/>
      <c r="J462" s="651"/>
      <c r="K462" s="651"/>
      <c r="L462" s="651"/>
      <c r="M462" s="651"/>
      <c r="N462" s="651"/>
      <c r="O462" s="651"/>
      <c r="P462" s="651">
        <f>SUM(P463:P467)</f>
        <v>447</v>
      </c>
      <c r="Q462" s="651"/>
      <c r="R462" s="651"/>
      <c r="S462" s="651"/>
      <c r="T462" s="651"/>
      <c r="U462" s="651"/>
      <c r="V462" s="651">
        <f aca="true" t="shared" si="15" ref="V462:V511">SUM(B462:U462)</f>
        <v>0</v>
      </c>
    </row>
    <row r="463" spans="1:22" s="497" customFormat="1" ht="18" customHeight="1">
      <c r="A463" s="1324" t="s">
        <v>276</v>
      </c>
      <c r="B463" s="652"/>
      <c r="C463" s="652"/>
      <c r="D463" s="652">
        <v>800</v>
      </c>
      <c r="E463" s="652"/>
      <c r="F463" s="652"/>
      <c r="G463" s="652"/>
      <c r="H463" s="652"/>
      <c r="I463" s="652"/>
      <c r="J463" s="652"/>
      <c r="K463" s="652"/>
      <c r="L463" s="652"/>
      <c r="M463" s="652"/>
      <c r="N463" s="652"/>
      <c r="O463" s="652"/>
      <c r="P463" s="652">
        <v>-800</v>
      </c>
      <c r="Q463" s="652"/>
      <c r="R463" s="652"/>
      <c r="S463" s="652"/>
      <c r="T463" s="653"/>
      <c r="U463" s="653"/>
      <c r="V463" s="642">
        <f t="shared" si="15"/>
        <v>0</v>
      </c>
    </row>
    <row r="464" spans="1:22" s="497" customFormat="1" ht="51">
      <c r="A464" s="1324" t="s">
        <v>240</v>
      </c>
      <c r="B464" s="654"/>
      <c r="C464" s="654"/>
      <c r="D464" s="654"/>
      <c r="E464" s="654"/>
      <c r="F464" s="654"/>
      <c r="G464" s="654"/>
      <c r="H464" s="654"/>
      <c r="I464" s="654"/>
      <c r="J464" s="654"/>
      <c r="K464" s="654"/>
      <c r="L464" s="654"/>
      <c r="M464" s="654"/>
      <c r="N464" s="654"/>
      <c r="O464" s="654"/>
      <c r="P464" s="654">
        <v>447</v>
      </c>
      <c r="Q464" s="654"/>
      <c r="R464" s="654"/>
      <c r="S464" s="654"/>
      <c r="T464" s="655"/>
      <c r="U464" s="655"/>
      <c r="V464" s="642">
        <f t="shared" si="15"/>
        <v>447</v>
      </c>
    </row>
    <row r="465" spans="1:22" s="497" customFormat="1" ht="25.5">
      <c r="A465" s="1326" t="s">
        <v>828</v>
      </c>
      <c r="B465" s="654">
        <v>-928</v>
      </c>
      <c r="C465" s="654"/>
      <c r="D465" s="654"/>
      <c r="E465" s="654">
        <v>-167</v>
      </c>
      <c r="F465" s="654">
        <v>-22</v>
      </c>
      <c r="G465" s="654"/>
      <c r="H465" s="654"/>
      <c r="I465" s="654"/>
      <c r="J465" s="654"/>
      <c r="K465" s="654"/>
      <c r="L465" s="654"/>
      <c r="M465" s="654"/>
      <c r="N465" s="654"/>
      <c r="O465" s="654"/>
      <c r="P465" s="654"/>
      <c r="Q465" s="654"/>
      <c r="R465" s="654"/>
      <c r="S465" s="654"/>
      <c r="T465" s="655"/>
      <c r="U465" s="655"/>
      <c r="V465" s="642">
        <f t="shared" si="15"/>
        <v>-1117</v>
      </c>
    </row>
    <row r="466" spans="1:22" s="497" customFormat="1" ht="18" customHeight="1">
      <c r="A466" s="1326" t="s">
        <v>241</v>
      </c>
      <c r="B466" s="654"/>
      <c r="C466" s="654"/>
      <c r="D466" s="654">
        <v>-800</v>
      </c>
      <c r="E466" s="654"/>
      <c r="F466" s="654"/>
      <c r="G466" s="654"/>
      <c r="H466" s="654"/>
      <c r="I466" s="654"/>
      <c r="J466" s="654"/>
      <c r="K466" s="654"/>
      <c r="L466" s="654"/>
      <c r="M466" s="654"/>
      <c r="N466" s="654"/>
      <c r="O466" s="654"/>
      <c r="P466" s="654">
        <v>800</v>
      </c>
      <c r="Q466" s="654"/>
      <c r="R466" s="654"/>
      <c r="S466" s="654"/>
      <c r="T466" s="655"/>
      <c r="U466" s="655"/>
      <c r="V466" s="642">
        <f t="shared" si="15"/>
        <v>0</v>
      </c>
    </row>
    <row r="467" spans="1:22" s="497" customFormat="1" ht="26.25" thickBot="1">
      <c r="A467" s="1328" t="s">
        <v>252</v>
      </c>
      <c r="B467" s="930">
        <v>556</v>
      </c>
      <c r="C467" s="930"/>
      <c r="D467" s="930"/>
      <c r="E467" s="930">
        <v>100</v>
      </c>
      <c r="F467" s="930">
        <v>14</v>
      </c>
      <c r="G467" s="930"/>
      <c r="H467" s="930"/>
      <c r="I467" s="930"/>
      <c r="J467" s="930"/>
      <c r="K467" s="930"/>
      <c r="L467" s="930"/>
      <c r="M467" s="930"/>
      <c r="N467" s="930"/>
      <c r="O467" s="930"/>
      <c r="P467" s="930"/>
      <c r="Q467" s="930"/>
      <c r="R467" s="930"/>
      <c r="S467" s="930"/>
      <c r="T467" s="931"/>
      <c r="U467" s="931"/>
      <c r="V467" s="642">
        <f t="shared" si="15"/>
        <v>670</v>
      </c>
    </row>
    <row r="468" spans="1:22" s="514" customFormat="1" ht="30" customHeight="1" thickBot="1">
      <c r="A468" s="516" t="s">
        <v>702</v>
      </c>
      <c r="B468" s="651">
        <f>SUM(B469:B511)</f>
        <v>183894</v>
      </c>
      <c r="C468" s="651"/>
      <c r="D468" s="651"/>
      <c r="E468" s="651">
        <f>SUM(E469:E511)</f>
        <v>21862</v>
      </c>
      <c r="F468" s="651">
        <f>SUM(F469:F511)</f>
        <v>3903</v>
      </c>
      <c r="G468" s="651"/>
      <c r="H468" s="651"/>
      <c r="I468" s="651"/>
      <c r="J468" s="651"/>
      <c r="K468" s="651"/>
      <c r="L468" s="651"/>
      <c r="M468" s="651">
        <f>SUM(M469:M511)</f>
        <v>40120</v>
      </c>
      <c r="N468" s="651"/>
      <c r="O468" s="651"/>
      <c r="P468" s="651"/>
      <c r="Q468" s="651"/>
      <c r="R468" s="651"/>
      <c r="S468" s="651"/>
      <c r="T468" s="651"/>
      <c r="U468" s="651"/>
      <c r="V468" s="651">
        <f t="shared" si="15"/>
        <v>249779</v>
      </c>
    </row>
    <row r="469" spans="1:22" s="497" customFormat="1" ht="18" customHeight="1">
      <c r="A469" s="1324" t="s">
        <v>452</v>
      </c>
      <c r="B469" s="652"/>
      <c r="C469" s="652"/>
      <c r="D469" s="652"/>
      <c r="E469" s="652"/>
      <c r="F469" s="652">
        <v>300</v>
      </c>
      <c r="G469" s="652"/>
      <c r="H469" s="652"/>
      <c r="I469" s="652"/>
      <c r="J469" s="652"/>
      <c r="K469" s="652"/>
      <c r="L469" s="652"/>
      <c r="M469" s="652"/>
      <c r="N469" s="652"/>
      <c r="O469" s="652"/>
      <c r="P469" s="652"/>
      <c r="Q469" s="652"/>
      <c r="R469" s="652"/>
      <c r="S469" s="652"/>
      <c r="T469" s="653"/>
      <c r="U469" s="653"/>
      <c r="V469" s="642">
        <f t="shared" si="15"/>
        <v>300</v>
      </c>
    </row>
    <row r="470" spans="1:22" s="497" customFormat="1" ht="18" customHeight="1">
      <c r="A470" s="1324" t="s">
        <v>453</v>
      </c>
      <c r="B470" s="652">
        <v>5582</v>
      </c>
      <c r="C470" s="652"/>
      <c r="D470" s="652"/>
      <c r="E470" s="652">
        <v>-1148</v>
      </c>
      <c r="F470" s="652">
        <v>-362</v>
      </c>
      <c r="G470" s="652"/>
      <c r="H470" s="652"/>
      <c r="I470" s="652"/>
      <c r="J470" s="652"/>
      <c r="K470" s="652"/>
      <c r="L470" s="652"/>
      <c r="M470" s="652"/>
      <c r="N470" s="652"/>
      <c r="O470" s="652"/>
      <c r="P470" s="652"/>
      <c r="Q470" s="652"/>
      <c r="R470" s="652"/>
      <c r="S470" s="652"/>
      <c r="T470" s="653"/>
      <c r="U470" s="653"/>
      <c r="V470" s="642">
        <f t="shared" si="15"/>
        <v>4072</v>
      </c>
    </row>
    <row r="471" spans="1:22" s="497" customFormat="1" ht="18" customHeight="1">
      <c r="A471" s="1324" t="s">
        <v>454</v>
      </c>
      <c r="B471" s="652">
        <v>-1600</v>
      </c>
      <c r="C471" s="652"/>
      <c r="D471" s="652"/>
      <c r="E471" s="652">
        <v>310</v>
      </c>
      <c r="F471" s="652"/>
      <c r="G471" s="652"/>
      <c r="H471" s="652"/>
      <c r="I471" s="652"/>
      <c r="J471" s="652"/>
      <c r="K471" s="652"/>
      <c r="L471" s="652"/>
      <c r="M471" s="652">
        <v>1000</v>
      </c>
      <c r="N471" s="652"/>
      <c r="O471" s="652"/>
      <c r="P471" s="652"/>
      <c r="Q471" s="652"/>
      <c r="R471" s="652"/>
      <c r="S471" s="652"/>
      <c r="T471" s="653"/>
      <c r="U471" s="653"/>
      <c r="V471" s="642">
        <f t="shared" si="15"/>
        <v>-290</v>
      </c>
    </row>
    <row r="472" spans="1:22" s="497" customFormat="1" ht="18" customHeight="1">
      <c r="A472" s="1324" t="s">
        <v>455</v>
      </c>
      <c r="B472" s="652">
        <v>12327</v>
      </c>
      <c r="C472" s="652"/>
      <c r="D472" s="652"/>
      <c r="E472" s="652">
        <v>1875</v>
      </c>
      <c r="F472" s="652"/>
      <c r="G472" s="652"/>
      <c r="H472" s="652"/>
      <c r="I472" s="652"/>
      <c r="J472" s="652"/>
      <c r="K472" s="652"/>
      <c r="L472" s="652"/>
      <c r="M472" s="652"/>
      <c r="N472" s="652"/>
      <c r="O472" s="652"/>
      <c r="P472" s="652"/>
      <c r="Q472" s="652"/>
      <c r="R472" s="652"/>
      <c r="S472" s="652"/>
      <c r="T472" s="653"/>
      <c r="U472" s="653"/>
      <c r="V472" s="642">
        <f t="shared" si="15"/>
        <v>14202</v>
      </c>
    </row>
    <row r="473" spans="1:22" s="497" customFormat="1" ht="18" customHeight="1">
      <c r="A473" s="1324" t="s">
        <v>281</v>
      </c>
      <c r="B473" s="652">
        <v>8870</v>
      </c>
      <c r="C473" s="652"/>
      <c r="D473" s="652"/>
      <c r="E473" s="652">
        <v>100</v>
      </c>
      <c r="F473" s="652">
        <v>15</v>
      </c>
      <c r="G473" s="652"/>
      <c r="H473" s="652"/>
      <c r="I473" s="652"/>
      <c r="J473" s="652"/>
      <c r="K473" s="652"/>
      <c r="L473" s="652"/>
      <c r="M473" s="652"/>
      <c r="N473" s="652"/>
      <c r="O473" s="652"/>
      <c r="P473" s="652"/>
      <c r="Q473" s="652"/>
      <c r="R473" s="652"/>
      <c r="S473" s="652"/>
      <c r="T473" s="653"/>
      <c r="U473" s="653"/>
      <c r="V473" s="642">
        <f t="shared" si="15"/>
        <v>8985</v>
      </c>
    </row>
    <row r="474" spans="1:22" s="497" customFormat="1" ht="18" customHeight="1">
      <c r="A474" s="1324" t="s">
        <v>456</v>
      </c>
      <c r="B474" s="652">
        <v>2800</v>
      </c>
      <c r="C474" s="652"/>
      <c r="D474" s="652"/>
      <c r="E474" s="652">
        <v>300</v>
      </c>
      <c r="F474" s="652"/>
      <c r="G474" s="652"/>
      <c r="H474" s="652"/>
      <c r="I474" s="652"/>
      <c r="J474" s="652"/>
      <c r="K474" s="652"/>
      <c r="L474" s="652"/>
      <c r="M474" s="652"/>
      <c r="N474" s="652"/>
      <c r="O474" s="652"/>
      <c r="P474" s="652"/>
      <c r="Q474" s="652"/>
      <c r="R474" s="652"/>
      <c r="S474" s="652"/>
      <c r="T474" s="653"/>
      <c r="U474" s="653"/>
      <c r="V474" s="642">
        <f t="shared" si="15"/>
        <v>3100</v>
      </c>
    </row>
    <row r="475" spans="1:22" s="497" customFormat="1" ht="18" customHeight="1">
      <c r="A475" s="1324" t="s">
        <v>457</v>
      </c>
      <c r="B475" s="652">
        <v>8093</v>
      </c>
      <c r="C475" s="652"/>
      <c r="D475" s="652"/>
      <c r="E475" s="652"/>
      <c r="F475" s="652"/>
      <c r="G475" s="652"/>
      <c r="H475" s="652"/>
      <c r="I475" s="652"/>
      <c r="J475" s="652"/>
      <c r="K475" s="652"/>
      <c r="L475" s="652"/>
      <c r="M475" s="652"/>
      <c r="N475" s="652"/>
      <c r="O475" s="652"/>
      <c r="P475" s="652"/>
      <c r="Q475" s="652"/>
      <c r="R475" s="652"/>
      <c r="S475" s="652"/>
      <c r="T475" s="653"/>
      <c r="U475" s="653"/>
      <c r="V475" s="642">
        <f t="shared" si="15"/>
        <v>8093</v>
      </c>
    </row>
    <row r="476" spans="1:22" s="497" customFormat="1" ht="18" customHeight="1">
      <c r="A476" s="1324" t="s">
        <v>458</v>
      </c>
      <c r="B476" s="652">
        <v>4500</v>
      </c>
      <c r="C476" s="652"/>
      <c r="D476" s="652"/>
      <c r="E476" s="652"/>
      <c r="F476" s="652"/>
      <c r="G476" s="652"/>
      <c r="H476" s="652"/>
      <c r="I476" s="652"/>
      <c r="J476" s="652"/>
      <c r="K476" s="652"/>
      <c r="L476" s="652"/>
      <c r="M476" s="652"/>
      <c r="N476" s="652"/>
      <c r="O476" s="652"/>
      <c r="P476" s="652"/>
      <c r="Q476" s="652"/>
      <c r="R476" s="652"/>
      <c r="S476" s="652"/>
      <c r="T476" s="653"/>
      <c r="U476" s="653"/>
      <c r="V476" s="642">
        <f t="shared" si="15"/>
        <v>4500</v>
      </c>
    </row>
    <row r="477" spans="1:22" s="497" customFormat="1" ht="18" customHeight="1">
      <c r="A477" s="1324" t="s">
        <v>459</v>
      </c>
      <c r="B477" s="652">
        <v>3000</v>
      </c>
      <c r="C477" s="652"/>
      <c r="D477" s="652"/>
      <c r="E477" s="652">
        <v>1000</v>
      </c>
      <c r="F477" s="652">
        <v>300</v>
      </c>
      <c r="G477" s="652"/>
      <c r="H477" s="652"/>
      <c r="I477" s="652"/>
      <c r="J477" s="652"/>
      <c r="K477" s="652"/>
      <c r="L477" s="652"/>
      <c r="M477" s="652"/>
      <c r="N477" s="652"/>
      <c r="O477" s="652"/>
      <c r="P477" s="652"/>
      <c r="Q477" s="652"/>
      <c r="R477" s="652"/>
      <c r="S477" s="652"/>
      <c r="T477" s="653"/>
      <c r="U477" s="653"/>
      <c r="V477" s="642">
        <f t="shared" si="15"/>
        <v>4300</v>
      </c>
    </row>
    <row r="478" spans="1:22" s="497" customFormat="1" ht="18" customHeight="1">
      <c r="A478" s="1324" t="s">
        <v>461</v>
      </c>
      <c r="B478" s="652">
        <v>-4393</v>
      </c>
      <c r="C478" s="652"/>
      <c r="D478" s="652"/>
      <c r="E478" s="652">
        <v>-1500</v>
      </c>
      <c r="F478" s="652">
        <v>-110</v>
      </c>
      <c r="G478" s="652"/>
      <c r="H478" s="652"/>
      <c r="I478" s="652"/>
      <c r="J478" s="652"/>
      <c r="K478" s="652"/>
      <c r="L478" s="652"/>
      <c r="M478" s="652">
        <v>3230</v>
      </c>
      <c r="N478" s="652"/>
      <c r="O478" s="652"/>
      <c r="P478" s="652"/>
      <c r="Q478" s="652"/>
      <c r="R478" s="652"/>
      <c r="S478" s="652"/>
      <c r="T478" s="653"/>
      <c r="U478" s="653"/>
      <c r="V478" s="642">
        <f t="shared" si="15"/>
        <v>-2773</v>
      </c>
    </row>
    <row r="479" spans="1:22" s="497" customFormat="1" ht="18" customHeight="1">
      <c r="A479" s="1324" t="s">
        <v>479</v>
      </c>
      <c r="B479" s="652"/>
      <c r="C479" s="652"/>
      <c r="D479" s="652"/>
      <c r="E479" s="652">
        <v>500</v>
      </c>
      <c r="F479" s="652">
        <v>140</v>
      </c>
      <c r="G479" s="652"/>
      <c r="H479" s="652"/>
      <c r="I479" s="652"/>
      <c r="J479" s="652"/>
      <c r="K479" s="652"/>
      <c r="L479" s="652"/>
      <c r="M479" s="652"/>
      <c r="N479" s="652"/>
      <c r="O479" s="652"/>
      <c r="P479" s="652"/>
      <c r="Q479" s="652"/>
      <c r="R479" s="652"/>
      <c r="S479" s="652"/>
      <c r="T479" s="653"/>
      <c r="U479" s="653"/>
      <c r="V479" s="642">
        <f t="shared" si="15"/>
        <v>640</v>
      </c>
    </row>
    <row r="480" spans="1:22" s="497" customFormat="1" ht="18" customHeight="1">
      <c r="A480" s="1324" t="s">
        <v>480</v>
      </c>
      <c r="B480" s="652">
        <v>3000</v>
      </c>
      <c r="C480" s="652"/>
      <c r="D480" s="652"/>
      <c r="E480" s="652">
        <v>1000</v>
      </c>
      <c r="F480" s="652"/>
      <c r="G480" s="652"/>
      <c r="H480" s="652"/>
      <c r="I480" s="652"/>
      <c r="J480" s="652"/>
      <c r="K480" s="652"/>
      <c r="L480" s="652"/>
      <c r="M480" s="652"/>
      <c r="N480" s="652"/>
      <c r="O480" s="652"/>
      <c r="P480" s="652"/>
      <c r="Q480" s="652"/>
      <c r="R480" s="652"/>
      <c r="S480" s="652"/>
      <c r="T480" s="653"/>
      <c r="U480" s="653"/>
      <c r="V480" s="642">
        <f t="shared" si="15"/>
        <v>4000</v>
      </c>
    </row>
    <row r="481" spans="1:22" s="497" customFormat="1" ht="18" customHeight="1">
      <c r="A481" s="1324" t="s">
        <v>438</v>
      </c>
      <c r="B481" s="652">
        <v>12000</v>
      </c>
      <c r="C481" s="652"/>
      <c r="D481" s="652"/>
      <c r="E481" s="652">
        <v>2000</v>
      </c>
      <c r="F481" s="652">
        <v>400</v>
      </c>
      <c r="G481" s="652"/>
      <c r="H481" s="652"/>
      <c r="I481" s="652"/>
      <c r="J481" s="652"/>
      <c r="K481" s="652"/>
      <c r="L481" s="652"/>
      <c r="M481" s="652"/>
      <c r="N481" s="652"/>
      <c r="O481" s="652"/>
      <c r="P481" s="652"/>
      <c r="Q481" s="652"/>
      <c r="R481" s="652"/>
      <c r="S481" s="652"/>
      <c r="T481" s="653"/>
      <c r="U481" s="653"/>
      <c r="V481" s="642">
        <f t="shared" si="15"/>
        <v>14400</v>
      </c>
    </row>
    <row r="482" spans="1:22" s="497" customFormat="1" ht="18" customHeight="1">
      <c r="A482" s="1324" t="s">
        <v>482</v>
      </c>
      <c r="B482" s="652">
        <v>3320</v>
      </c>
      <c r="C482" s="652"/>
      <c r="D482" s="652"/>
      <c r="E482" s="652">
        <v>1570</v>
      </c>
      <c r="F482" s="652">
        <v>1700</v>
      </c>
      <c r="G482" s="652"/>
      <c r="H482" s="652"/>
      <c r="I482" s="652"/>
      <c r="J482" s="652"/>
      <c r="K482" s="652"/>
      <c r="L482" s="652"/>
      <c r="M482" s="652"/>
      <c r="N482" s="652"/>
      <c r="O482" s="652"/>
      <c r="P482" s="652"/>
      <c r="Q482" s="652"/>
      <c r="R482" s="652"/>
      <c r="S482" s="652"/>
      <c r="T482" s="653"/>
      <c r="U482" s="653"/>
      <c r="V482" s="642">
        <f t="shared" si="15"/>
        <v>6590</v>
      </c>
    </row>
    <row r="483" spans="1:22" s="497" customFormat="1" ht="18" customHeight="1">
      <c r="A483" s="1324" t="s">
        <v>483</v>
      </c>
      <c r="B483" s="652">
        <v>8100</v>
      </c>
      <c r="C483" s="652"/>
      <c r="D483" s="652"/>
      <c r="E483" s="652">
        <v>400</v>
      </c>
      <c r="F483" s="652"/>
      <c r="G483" s="652"/>
      <c r="H483" s="652"/>
      <c r="I483" s="652"/>
      <c r="J483" s="652"/>
      <c r="K483" s="652"/>
      <c r="L483" s="652"/>
      <c r="M483" s="652">
        <v>630</v>
      </c>
      <c r="N483" s="652"/>
      <c r="O483" s="652"/>
      <c r="P483" s="652"/>
      <c r="Q483" s="652"/>
      <c r="R483" s="652"/>
      <c r="S483" s="652"/>
      <c r="T483" s="653"/>
      <c r="U483" s="653"/>
      <c r="V483" s="642">
        <f t="shared" si="15"/>
        <v>9130</v>
      </c>
    </row>
    <row r="484" spans="1:22" s="497" customFormat="1" ht="18" customHeight="1">
      <c r="A484" s="1324" t="s">
        <v>484</v>
      </c>
      <c r="B484" s="652">
        <v>9000</v>
      </c>
      <c r="C484" s="652"/>
      <c r="D484" s="652"/>
      <c r="E484" s="652">
        <v>1900</v>
      </c>
      <c r="F484" s="652"/>
      <c r="G484" s="652"/>
      <c r="H484" s="652"/>
      <c r="I484" s="652"/>
      <c r="J484" s="652"/>
      <c r="K484" s="652"/>
      <c r="L484" s="652"/>
      <c r="M484" s="652"/>
      <c r="N484" s="652"/>
      <c r="O484" s="652"/>
      <c r="P484" s="652"/>
      <c r="Q484" s="652"/>
      <c r="R484" s="652"/>
      <c r="S484" s="652"/>
      <c r="T484" s="653"/>
      <c r="U484" s="653"/>
      <c r="V484" s="642">
        <f t="shared" si="15"/>
        <v>10900</v>
      </c>
    </row>
    <row r="485" spans="1:22" s="497" customFormat="1" ht="18" customHeight="1">
      <c r="A485" s="1324" t="s">
        <v>485</v>
      </c>
      <c r="B485" s="652">
        <v>15400</v>
      </c>
      <c r="C485" s="652"/>
      <c r="D485" s="652"/>
      <c r="E485" s="652">
        <v>3300</v>
      </c>
      <c r="F485" s="652">
        <v>800</v>
      </c>
      <c r="G485" s="652"/>
      <c r="H485" s="652"/>
      <c r="I485" s="652"/>
      <c r="J485" s="652"/>
      <c r="K485" s="652"/>
      <c r="L485" s="652"/>
      <c r="M485" s="652">
        <v>1600</v>
      </c>
      <c r="N485" s="652"/>
      <c r="O485" s="652"/>
      <c r="P485" s="652"/>
      <c r="Q485" s="652"/>
      <c r="R485" s="652"/>
      <c r="S485" s="652"/>
      <c r="T485" s="653"/>
      <c r="U485" s="653"/>
      <c r="V485" s="642">
        <f t="shared" si="15"/>
        <v>21100</v>
      </c>
    </row>
    <row r="486" spans="1:22" s="497" customFormat="1" ht="18" customHeight="1">
      <c r="A486" s="1324" t="s">
        <v>486</v>
      </c>
      <c r="B486" s="652">
        <v>7400</v>
      </c>
      <c r="C486" s="652"/>
      <c r="D486" s="652"/>
      <c r="E486" s="652"/>
      <c r="F486" s="652"/>
      <c r="G486" s="652"/>
      <c r="H486" s="652"/>
      <c r="I486" s="652"/>
      <c r="J486" s="652"/>
      <c r="K486" s="652"/>
      <c r="L486" s="652"/>
      <c r="M486" s="652"/>
      <c r="N486" s="652"/>
      <c r="O486" s="652"/>
      <c r="P486" s="652"/>
      <c r="Q486" s="652"/>
      <c r="R486" s="652"/>
      <c r="S486" s="652"/>
      <c r="T486" s="653"/>
      <c r="U486" s="653"/>
      <c r="V486" s="642">
        <f t="shared" si="15"/>
        <v>7400</v>
      </c>
    </row>
    <row r="487" spans="1:22" s="497" customFormat="1" ht="18" customHeight="1">
      <c r="A487" s="1324" t="s">
        <v>277</v>
      </c>
      <c r="B487" s="652">
        <v>-7922</v>
      </c>
      <c r="C487" s="652"/>
      <c r="D487" s="652"/>
      <c r="E487" s="652">
        <v>-2190</v>
      </c>
      <c r="F487" s="652">
        <v>-320</v>
      </c>
      <c r="G487" s="652"/>
      <c r="H487" s="652"/>
      <c r="I487" s="652"/>
      <c r="J487" s="652"/>
      <c r="K487" s="652"/>
      <c r="L487" s="652"/>
      <c r="M487" s="652"/>
      <c r="N487" s="652"/>
      <c r="O487" s="652"/>
      <c r="P487" s="652"/>
      <c r="Q487" s="652"/>
      <c r="R487" s="652"/>
      <c r="S487" s="652"/>
      <c r="T487" s="653"/>
      <c r="U487" s="653"/>
      <c r="V487" s="642">
        <f t="shared" si="15"/>
        <v>-10432</v>
      </c>
    </row>
    <row r="488" spans="1:22" s="497" customFormat="1" ht="18" customHeight="1">
      <c r="A488" s="1324" t="s">
        <v>488</v>
      </c>
      <c r="B488" s="652">
        <v>-13815</v>
      </c>
      <c r="C488" s="652"/>
      <c r="D488" s="652"/>
      <c r="E488" s="652">
        <v>-4000</v>
      </c>
      <c r="F488" s="652">
        <v>-690</v>
      </c>
      <c r="G488" s="652"/>
      <c r="H488" s="652"/>
      <c r="I488" s="652"/>
      <c r="J488" s="652"/>
      <c r="K488" s="652"/>
      <c r="L488" s="652"/>
      <c r="M488" s="652"/>
      <c r="N488" s="652"/>
      <c r="O488" s="652"/>
      <c r="P488" s="652"/>
      <c r="Q488" s="652"/>
      <c r="R488" s="652"/>
      <c r="S488" s="652"/>
      <c r="T488" s="653"/>
      <c r="U488" s="653"/>
      <c r="V488" s="642">
        <f t="shared" si="15"/>
        <v>-18505</v>
      </c>
    </row>
    <row r="489" spans="1:22" s="497" customFormat="1" ht="18" customHeight="1">
      <c r="A489" s="1324" t="s">
        <v>571</v>
      </c>
      <c r="B489" s="652">
        <v>5830</v>
      </c>
      <c r="C489" s="652"/>
      <c r="D489" s="652"/>
      <c r="E489" s="652">
        <v>40</v>
      </c>
      <c r="F489" s="652">
        <v>50</v>
      </c>
      <c r="G489" s="652"/>
      <c r="H489" s="652"/>
      <c r="I489" s="652"/>
      <c r="J489" s="652"/>
      <c r="K489" s="652"/>
      <c r="L489" s="652"/>
      <c r="M489" s="652">
        <v>1000</v>
      </c>
      <c r="N489" s="652"/>
      <c r="O489" s="652"/>
      <c r="P489" s="652"/>
      <c r="Q489" s="652"/>
      <c r="R489" s="652"/>
      <c r="S489" s="652"/>
      <c r="T489" s="653"/>
      <c r="U489" s="653"/>
      <c r="V489" s="642">
        <f t="shared" si="15"/>
        <v>6920</v>
      </c>
    </row>
    <row r="490" spans="1:22" s="497" customFormat="1" ht="18" customHeight="1">
      <c r="A490" s="1324" t="s">
        <v>573</v>
      </c>
      <c r="B490" s="652">
        <v>21200</v>
      </c>
      <c r="C490" s="652"/>
      <c r="D490" s="652"/>
      <c r="E490" s="652">
        <v>3000</v>
      </c>
      <c r="F490" s="652">
        <v>500</v>
      </c>
      <c r="G490" s="652"/>
      <c r="H490" s="652"/>
      <c r="I490" s="652"/>
      <c r="J490" s="652"/>
      <c r="K490" s="652"/>
      <c r="L490" s="652"/>
      <c r="M490" s="652">
        <v>1800</v>
      </c>
      <c r="N490" s="652"/>
      <c r="O490" s="652"/>
      <c r="P490" s="652"/>
      <c r="Q490" s="652"/>
      <c r="R490" s="652"/>
      <c r="S490" s="652"/>
      <c r="T490" s="653"/>
      <c r="U490" s="653"/>
      <c r="V490" s="642">
        <f t="shared" si="15"/>
        <v>26500</v>
      </c>
    </row>
    <row r="491" spans="1:22" s="497" customFormat="1" ht="18" customHeight="1">
      <c r="A491" s="1324" t="s">
        <v>574</v>
      </c>
      <c r="B491" s="652">
        <v>15560</v>
      </c>
      <c r="C491" s="652"/>
      <c r="D491" s="652"/>
      <c r="E491" s="652">
        <v>2085</v>
      </c>
      <c r="F491" s="652">
        <v>360</v>
      </c>
      <c r="G491" s="652"/>
      <c r="H491" s="652"/>
      <c r="I491" s="652"/>
      <c r="J491" s="652"/>
      <c r="K491" s="652"/>
      <c r="L491" s="652"/>
      <c r="M491" s="652"/>
      <c r="N491" s="652"/>
      <c r="O491" s="652"/>
      <c r="P491" s="652"/>
      <c r="Q491" s="652"/>
      <c r="R491" s="652"/>
      <c r="S491" s="652"/>
      <c r="T491" s="653"/>
      <c r="U491" s="653"/>
      <c r="V491" s="642">
        <f t="shared" si="15"/>
        <v>18005</v>
      </c>
    </row>
    <row r="492" spans="1:22" s="497" customFormat="1" ht="18" customHeight="1">
      <c r="A492" s="1324" t="s">
        <v>575</v>
      </c>
      <c r="B492" s="652">
        <v>5000</v>
      </c>
      <c r="C492" s="652"/>
      <c r="D492" s="652"/>
      <c r="E492" s="652">
        <v>1800</v>
      </c>
      <c r="F492" s="652"/>
      <c r="G492" s="652"/>
      <c r="H492" s="652"/>
      <c r="I492" s="652"/>
      <c r="J492" s="652"/>
      <c r="K492" s="652"/>
      <c r="L492" s="652"/>
      <c r="M492" s="652"/>
      <c r="N492" s="652"/>
      <c r="O492" s="652"/>
      <c r="P492" s="652"/>
      <c r="Q492" s="652"/>
      <c r="R492" s="652"/>
      <c r="S492" s="652"/>
      <c r="T492" s="653"/>
      <c r="U492" s="653"/>
      <c r="V492" s="642">
        <f t="shared" si="15"/>
        <v>6800</v>
      </c>
    </row>
    <row r="493" spans="1:22" s="497" customFormat="1" ht="18.75" customHeight="1">
      <c r="A493" s="1324" t="s">
        <v>593</v>
      </c>
      <c r="B493" s="652">
        <v>-11072</v>
      </c>
      <c r="C493" s="652"/>
      <c r="D493" s="652"/>
      <c r="E493" s="652">
        <v>-1860</v>
      </c>
      <c r="F493" s="652"/>
      <c r="G493" s="652"/>
      <c r="H493" s="652"/>
      <c r="I493" s="652"/>
      <c r="J493" s="652"/>
      <c r="K493" s="652"/>
      <c r="L493" s="652"/>
      <c r="M493" s="652"/>
      <c r="N493" s="652"/>
      <c r="O493" s="652"/>
      <c r="P493" s="652"/>
      <c r="Q493" s="652"/>
      <c r="R493" s="652"/>
      <c r="S493" s="652"/>
      <c r="T493" s="653"/>
      <c r="U493" s="653"/>
      <c r="V493" s="642">
        <f t="shared" si="15"/>
        <v>-12932</v>
      </c>
    </row>
    <row r="494" spans="1:22" s="497" customFormat="1" ht="18" customHeight="1">
      <c r="A494" s="1324" t="s">
        <v>595</v>
      </c>
      <c r="B494" s="652">
        <v>19000</v>
      </c>
      <c r="C494" s="652"/>
      <c r="D494" s="652"/>
      <c r="E494" s="652">
        <v>100</v>
      </c>
      <c r="F494" s="652">
        <v>100</v>
      </c>
      <c r="G494" s="652"/>
      <c r="H494" s="652"/>
      <c r="I494" s="652"/>
      <c r="J494" s="652"/>
      <c r="K494" s="652"/>
      <c r="L494" s="652"/>
      <c r="M494" s="652"/>
      <c r="N494" s="652"/>
      <c r="O494" s="652"/>
      <c r="P494" s="652"/>
      <c r="Q494" s="652"/>
      <c r="R494" s="652"/>
      <c r="S494" s="652"/>
      <c r="T494" s="653"/>
      <c r="U494" s="653"/>
      <c r="V494" s="642">
        <f t="shared" si="15"/>
        <v>19200</v>
      </c>
    </row>
    <row r="495" spans="1:22" s="497" customFormat="1" ht="18" customHeight="1">
      <c r="A495" s="1324" t="s">
        <v>584</v>
      </c>
      <c r="B495" s="652">
        <v>6423</v>
      </c>
      <c r="C495" s="652"/>
      <c r="D495" s="652"/>
      <c r="E495" s="652">
        <v>870</v>
      </c>
      <c r="F495" s="652">
        <v>250</v>
      </c>
      <c r="G495" s="652"/>
      <c r="H495" s="652"/>
      <c r="I495" s="652"/>
      <c r="J495" s="652"/>
      <c r="K495" s="652"/>
      <c r="L495" s="652"/>
      <c r="M495" s="652"/>
      <c r="N495" s="652"/>
      <c r="O495" s="652"/>
      <c r="P495" s="652"/>
      <c r="Q495" s="652"/>
      <c r="R495" s="652"/>
      <c r="S495" s="652"/>
      <c r="T495" s="653"/>
      <c r="U495" s="653"/>
      <c r="V495" s="642">
        <f t="shared" si="15"/>
        <v>7543</v>
      </c>
    </row>
    <row r="496" spans="1:22" s="497" customFormat="1" ht="18" customHeight="1">
      <c r="A496" s="1324" t="s">
        <v>282</v>
      </c>
      <c r="B496" s="652">
        <v>-1000</v>
      </c>
      <c r="C496" s="652"/>
      <c r="D496" s="652"/>
      <c r="E496" s="652">
        <v>-800</v>
      </c>
      <c r="F496" s="652"/>
      <c r="G496" s="652"/>
      <c r="H496" s="652"/>
      <c r="I496" s="652"/>
      <c r="J496" s="652"/>
      <c r="K496" s="652"/>
      <c r="L496" s="652"/>
      <c r="M496" s="652">
        <v>-1000</v>
      </c>
      <c r="N496" s="652"/>
      <c r="O496" s="652"/>
      <c r="P496" s="652"/>
      <c r="Q496" s="652"/>
      <c r="R496" s="652"/>
      <c r="S496" s="652"/>
      <c r="T496" s="653"/>
      <c r="U496" s="653"/>
      <c r="V496" s="642">
        <f t="shared" si="15"/>
        <v>-2800</v>
      </c>
    </row>
    <row r="497" spans="1:22" s="497" customFormat="1" ht="18" customHeight="1">
      <c r="A497" s="1325" t="s">
        <v>246</v>
      </c>
      <c r="B497" s="652">
        <v>9540</v>
      </c>
      <c r="C497" s="652"/>
      <c r="D497" s="652"/>
      <c r="E497" s="652">
        <v>1610</v>
      </c>
      <c r="F497" s="652">
        <v>250</v>
      </c>
      <c r="G497" s="652"/>
      <c r="H497" s="652"/>
      <c r="I497" s="652"/>
      <c r="J497" s="652"/>
      <c r="K497" s="652"/>
      <c r="L497" s="652"/>
      <c r="M497" s="652">
        <v>5200</v>
      </c>
      <c r="N497" s="652"/>
      <c r="O497" s="652"/>
      <c r="P497" s="652"/>
      <c r="Q497" s="652"/>
      <c r="R497" s="652"/>
      <c r="S497" s="652"/>
      <c r="T497" s="653"/>
      <c r="U497" s="653"/>
      <c r="V497" s="642">
        <f t="shared" si="15"/>
        <v>16600</v>
      </c>
    </row>
    <row r="498" spans="1:22" s="497" customFormat="1" ht="18" customHeight="1">
      <c r="A498" s="1325" t="s">
        <v>276</v>
      </c>
      <c r="B498" s="652">
        <v>5000</v>
      </c>
      <c r="C498" s="652"/>
      <c r="D498" s="652"/>
      <c r="E498" s="652"/>
      <c r="F498" s="652"/>
      <c r="G498" s="652"/>
      <c r="H498" s="652"/>
      <c r="I498" s="652"/>
      <c r="J498" s="652"/>
      <c r="K498" s="652"/>
      <c r="L498" s="652"/>
      <c r="M498" s="652"/>
      <c r="N498" s="652"/>
      <c r="O498" s="652"/>
      <c r="P498" s="652"/>
      <c r="Q498" s="652"/>
      <c r="R498" s="652"/>
      <c r="S498" s="652"/>
      <c r="T498" s="653"/>
      <c r="U498" s="653"/>
      <c r="V498" s="642">
        <f t="shared" si="15"/>
        <v>5000</v>
      </c>
    </row>
    <row r="499" spans="1:22" s="497" customFormat="1" ht="18" customHeight="1">
      <c r="A499" s="1325" t="s">
        <v>247</v>
      </c>
      <c r="B499" s="652">
        <v>-7030</v>
      </c>
      <c r="C499" s="652"/>
      <c r="D499" s="652"/>
      <c r="E499" s="652"/>
      <c r="F499" s="652"/>
      <c r="G499" s="652"/>
      <c r="H499" s="652"/>
      <c r="I499" s="652"/>
      <c r="J499" s="652"/>
      <c r="K499" s="652"/>
      <c r="L499" s="652"/>
      <c r="M499" s="652">
        <v>6260</v>
      </c>
      <c r="N499" s="652"/>
      <c r="O499" s="652"/>
      <c r="P499" s="652"/>
      <c r="Q499" s="652"/>
      <c r="R499" s="652"/>
      <c r="S499" s="652"/>
      <c r="T499" s="653"/>
      <c r="U499" s="653"/>
      <c r="V499" s="642">
        <f t="shared" si="15"/>
        <v>-770</v>
      </c>
    </row>
    <row r="500" spans="1:22" s="497" customFormat="1" ht="18" customHeight="1">
      <c r="A500" s="1325" t="s">
        <v>248</v>
      </c>
      <c r="B500" s="652">
        <v>15740</v>
      </c>
      <c r="C500" s="652"/>
      <c r="D500" s="652"/>
      <c r="E500" s="652">
        <v>3890</v>
      </c>
      <c r="F500" s="652">
        <v>590</v>
      </c>
      <c r="G500" s="652"/>
      <c r="H500" s="652"/>
      <c r="I500" s="652"/>
      <c r="J500" s="652"/>
      <c r="K500" s="652"/>
      <c r="L500" s="652"/>
      <c r="M500" s="652">
        <v>2410</v>
      </c>
      <c r="N500" s="652"/>
      <c r="O500" s="652"/>
      <c r="P500" s="652"/>
      <c r="Q500" s="652"/>
      <c r="R500" s="652"/>
      <c r="S500" s="652"/>
      <c r="T500" s="653"/>
      <c r="U500" s="653"/>
      <c r="V500" s="642">
        <f t="shared" si="15"/>
        <v>22630</v>
      </c>
    </row>
    <row r="501" spans="1:22" s="497" customFormat="1" ht="18" customHeight="1">
      <c r="A501" s="1325" t="s">
        <v>688</v>
      </c>
      <c r="B501" s="652">
        <v>17450</v>
      </c>
      <c r="C501" s="652"/>
      <c r="D501" s="652"/>
      <c r="E501" s="652">
        <v>1000</v>
      </c>
      <c r="F501" s="652">
        <v>240</v>
      </c>
      <c r="G501" s="652"/>
      <c r="H501" s="652"/>
      <c r="I501" s="652"/>
      <c r="J501" s="652"/>
      <c r="K501" s="652"/>
      <c r="L501" s="652"/>
      <c r="M501" s="652">
        <v>7000</v>
      </c>
      <c r="N501" s="652"/>
      <c r="O501" s="652"/>
      <c r="P501" s="652"/>
      <c r="Q501" s="652"/>
      <c r="R501" s="652"/>
      <c r="S501" s="652"/>
      <c r="T501" s="653"/>
      <c r="U501" s="653"/>
      <c r="V501" s="642">
        <f t="shared" si="15"/>
        <v>25690</v>
      </c>
    </row>
    <row r="502" spans="1:22" s="497" customFormat="1" ht="18" customHeight="1">
      <c r="A502" s="1326" t="s">
        <v>283</v>
      </c>
      <c r="B502" s="654">
        <v>9000</v>
      </c>
      <c r="C502" s="654"/>
      <c r="D502" s="654"/>
      <c r="E502" s="654"/>
      <c r="F502" s="654"/>
      <c r="G502" s="654"/>
      <c r="H502" s="654"/>
      <c r="I502" s="654"/>
      <c r="J502" s="654"/>
      <c r="K502" s="654"/>
      <c r="L502" s="654"/>
      <c r="M502" s="654">
        <v>3000</v>
      </c>
      <c r="N502" s="654"/>
      <c r="O502" s="654"/>
      <c r="P502" s="654"/>
      <c r="Q502" s="654"/>
      <c r="R502" s="654"/>
      <c r="S502" s="654"/>
      <c r="T502" s="655"/>
      <c r="U502" s="655"/>
      <c r="V502" s="642">
        <f t="shared" si="15"/>
        <v>12000</v>
      </c>
    </row>
    <row r="503" spans="1:22" s="497" customFormat="1" ht="25.5">
      <c r="A503" s="1326" t="s">
        <v>250</v>
      </c>
      <c r="B503" s="652">
        <v>6390</v>
      </c>
      <c r="C503" s="652"/>
      <c r="D503" s="652"/>
      <c r="E503" s="652">
        <v>2000</v>
      </c>
      <c r="F503" s="652"/>
      <c r="G503" s="652"/>
      <c r="H503" s="652"/>
      <c r="I503" s="652"/>
      <c r="J503" s="652"/>
      <c r="K503" s="652"/>
      <c r="L503" s="652"/>
      <c r="M503" s="652">
        <v>2000</v>
      </c>
      <c r="N503" s="652"/>
      <c r="O503" s="652"/>
      <c r="P503" s="652"/>
      <c r="Q503" s="652"/>
      <c r="R503" s="652"/>
      <c r="S503" s="652"/>
      <c r="T503" s="653"/>
      <c r="U503" s="653"/>
      <c r="V503" s="642">
        <f t="shared" si="15"/>
        <v>10390</v>
      </c>
    </row>
    <row r="504" spans="1:22" s="497" customFormat="1" ht="18" customHeight="1">
      <c r="A504" s="1326" t="s">
        <v>693</v>
      </c>
      <c r="B504" s="652">
        <v>9190</v>
      </c>
      <c r="C504" s="652"/>
      <c r="D504" s="652"/>
      <c r="E504" s="652">
        <v>1110</v>
      </c>
      <c r="F504" s="652"/>
      <c r="G504" s="652"/>
      <c r="H504" s="652"/>
      <c r="I504" s="652"/>
      <c r="J504" s="652"/>
      <c r="K504" s="652"/>
      <c r="L504" s="652"/>
      <c r="M504" s="652"/>
      <c r="N504" s="652"/>
      <c r="O504" s="652"/>
      <c r="P504" s="652"/>
      <c r="Q504" s="652"/>
      <c r="R504" s="652"/>
      <c r="S504" s="652"/>
      <c r="T504" s="653"/>
      <c r="U504" s="653"/>
      <c r="V504" s="642">
        <f t="shared" si="15"/>
        <v>10300</v>
      </c>
    </row>
    <row r="505" spans="1:22" s="497" customFormat="1" ht="25.5">
      <c r="A505" s="1326" t="s">
        <v>597</v>
      </c>
      <c r="B505" s="652">
        <v>-18289</v>
      </c>
      <c r="C505" s="652"/>
      <c r="D505" s="652"/>
      <c r="E505" s="652"/>
      <c r="F505" s="652"/>
      <c r="G505" s="652"/>
      <c r="H505" s="652"/>
      <c r="I505" s="652"/>
      <c r="J505" s="652"/>
      <c r="K505" s="652"/>
      <c r="L505" s="652"/>
      <c r="M505" s="652">
        <v>2490</v>
      </c>
      <c r="N505" s="652"/>
      <c r="O505" s="652"/>
      <c r="P505" s="652"/>
      <c r="Q505" s="652"/>
      <c r="R505" s="652"/>
      <c r="S505" s="652"/>
      <c r="T505" s="653"/>
      <c r="U505" s="653"/>
      <c r="V505" s="642">
        <f t="shared" si="15"/>
        <v>-15799</v>
      </c>
    </row>
    <row r="506" spans="1:22" s="497" customFormat="1" ht="51">
      <c r="A506" s="1324" t="s">
        <v>240</v>
      </c>
      <c r="B506" s="652">
        <v>4000</v>
      </c>
      <c r="C506" s="652"/>
      <c r="D506" s="652"/>
      <c r="E506" s="652"/>
      <c r="F506" s="652">
        <v>300</v>
      </c>
      <c r="G506" s="652"/>
      <c r="H506" s="652"/>
      <c r="I506" s="652"/>
      <c r="J506" s="652"/>
      <c r="K506" s="652"/>
      <c r="L506" s="652"/>
      <c r="M506" s="652"/>
      <c r="N506" s="652"/>
      <c r="O506" s="652"/>
      <c r="P506" s="652"/>
      <c r="Q506" s="652"/>
      <c r="R506" s="652"/>
      <c r="S506" s="652"/>
      <c r="T506" s="653"/>
      <c r="U506" s="653"/>
      <c r="V506" s="642">
        <f t="shared" si="15"/>
        <v>4300</v>
      </c>
    </row>
    <row r="507" spans="1:22" s="497" customFormat="1" ht="38.25">
      <c r="A507" s="1324" t="s">
        <v>259</v>
      </c>
      <c r="B507" s="652">
        <v>-8500</v>
      </c>
      <c r="C507" s="652"/>
      <c r="D507" s="652"/>
      <c r="E507" s="652">
        <v>-800</v>
      </c>
      <c r="F507" s="652">
        <v>-1000</v>
      </c>
      <c r="G507" s="652"/>
      <c r="H507" s="652"/>
      <c r="I507" s="652"/>
      <c r="J507" s="652"/>
      <c r="K507" s="652"/>
      <c r="L507" s="652"/>
      <c r="M507" s="652">
        <v>-900</v>
      </c>
      <c r="N507" s="652"/>
      <c r="O507" s="652"/>
      <c r="P507" s="652"/>
      <c r="Q507" s="652"/>
      <c r="R507" s="652"/>
      <c r="S507" s="652"/>
      <c r="T507" s="653"/>
      <c r="U507" s="653"/>
      <c r="V507" s="642">
        <f t="shared" si="15"/>
        <v>-11200</v>
      </c>
    </row>
    <row r="508" spans="1:22" s="497" customFormat="1" ht="25.5">
      <c r="A508" s="1326" t="s">
        <v>236</v>
      </c>
      <c r="B508" s="652"/>
      <c r="C508" s="652"/>
      <c r="D508" s="652"/>
      <c r="E508" s="652"/>
      <c r="F508" s="652">
        <v>-200</v>
      </c>
      <c r="G508" s="652"/>
      <c r="H508" s="652"/>
      <c r="I508" s="652"/>
      <c r="J508" s="652"/>
      <c r="K508" s="652"/>
      <c r="L508" s="652"/>
      <c r="M508" s="652"/>
      <c r="N508" s="652"/>
      <c r="O508" s="652"/>
      <c r="P508" s="652"/>
      <c r="Q508" s="652"/>
      <c r="R508" s="652"/>
      <c r="S508" s="652"/>
      <c r="T508" s="653"/>
      <c r="U508" s="653"/>
      <c r="V508" s="642">
        <f t="shared" si="15"/>
        <v>-200</v>
      </c>
    </row>
    <row r="509" spans="1:22" s="497" customFormat="1" ht="25.5">
      <c r="A509" s="1326" t="s">
        <v>828</v>
      </c>
      <c r="B509" s="652">
        <v>-10000</v>
      </c>
      <c r="C509" s="652"/>
      <c r="D509" s="652"/>
      <c r="E509" s="652"/>
      <c r="F509" s="652"/>
      <c r="G509" s="652"/>
      <c r="H509" s="652"/>
      <c r="I509" s="652"/>
      <c r="J509" s="652"/>
      <c r="K509" s="652"/>
      <c r="L509" s="652"/>
      <c r="M509" s="652">
        <v>4000</v>
      </c>
      <c r="N509" s="652"/>
      <c r="O509" s="652"/>
      <c r="P509" s="652"/>
      <c r="Q509" s="652"/>
      <c r="R509" s="652"/>
      <c r="S509" s="652"/>
      <c r="T509" s="653"/>
      <c r="U509" s="653"/>
      <c r="V509" s="642">
        <f t="shared" si="15"/>
        <v>-6000</v>
      </c>
    </row>
    <row r="510" spans="1:22" s="497" customFormat="1" ht="18" customHeight="1">
      <c r="A510" s="1326" t="s">
        <v>215</v>
      </c>
      <c r="B510" s="652">
        <v>2000</v>
      </c>
      <c r="C510" s="652"/>
      <c r="D510" s="652"/>
      <c r="E510" s="652">
        <v>600</v>
      </c>
      <c r="F510" s="652">
        <v>70</v>
      </c>
      <c r="G510" s="652"/>
      <c r="H510" s="652"/>
      <c r="I510" s="652"/>
      <c r="J510" s="652"/>
      <c r="K510" s="652"/>
      <c r="L510" s="652"/>
      <c r="M510" s="652">
        <v>400</v>
      </c>
      <c r="N510" s="652"/>
      <c r="O510" s="652"/>
      <c r="P510" s="652"/>
      <c r="Q510" s="652"/>
      <c r="R510" s="652"/>
      <c r="S510" s="652"/>
      <c r="T510" s="653"/>
      <c r="U510" s="653"/>
      <c r="V510" s="642">
        <f t="shared" si="15"/>
        <v>3070</v>
      </c>
    </row>
    <row r="511" spans="1:22" s="497" customFormat="1" ht="18" customHeight="1">
      <c r="A511" s="1325" t="s">
        <v>209</v>
      </c>
      <c r="B511" s="652">
        <v>12800</v>
      </c>
      <c r="C511" s="652"/>
      <c r="D511" s="652"/>
      <c r="E511" s="652">
        <v>1800</v>
      </c>
      <c r="F511" s="652">
        <v>220</v>
      </c>
      <c r="G511" s="652"/>
      <c r="H511" s="652"/>
      <c r="I511" s="652"/>
      <c r="J511" s="652"/>
      <c r="K511" s="652"/>
      <c r="L511" s="652"/>
      <c r="M511" s="652"/>
      <c r="N511" s="652"/>
      <c r="O511" s="652"/>
      <c r="P511" s="652"/>
      <c r="Q511" s="652"/>
      <c r="R511" s="652"/>
      <c r="S511" s="652"/>
      <c r="T511" s="653"/>
      <c r="U511" s="653"/>
      <c r="V511" s="642">
        <f t="shared" si="15"/>
        <v>14820</v>
      </c>
    </row>
    <row r="512" ht="20.25" customHeight="1">
      <c r="A512" s="600"/>
    </row>
    <row r="513" ht="22.5" customHeight="1">
      <c r="A513" s="600"/>
    </row>
    <row r="514" ht="12.75">
      <c r="A514" s="600"/>
    </row>
    <row r="515" spans="1:17" ht="23.25">
      <c r="A515" s="600"/>
      <c r="B515" s="855" t="s">
        <v>172</v>
      </c>
      <c r="C515" s="1681"/>
      <c r="D515" s="855"/>
      <c r="P515" s="855" t="s">
        <v>174</v>
      </c>
      <c r="Q515" s="1683"/>
    </row>
    <row r="516" spans="1:17" ht="18.75" customHeight="1">
      <c r="A516" s="600"/>
      <c r="B516" s="1682" t="s">
        <v>173</v>
      </c>
      <c r="C516" s="1681"/>
      <c r="D516" s="855"/>
      <c r="P516" s="1682" t="s">
        <v>175</v>
      </c>
      <c r="Q516" s="1683"/>
    </row>
    <row r="517" ht="12.75">
      <c r="A517" s="600"/>
    </row>
    <row r="518" ht="12.75">
      <c r="A518" s="600"/>
    </row>
    <row r="519" ht="12.75">
      <c r="A519" s="600"/>
    </row>
    <row r="520" ht="12.75">
      <c r="A520" s="600"/>
    </row>
    <row r="521" ht="12.75">
      <c r="A521" s="600"/>
    </row>
    <row r="522" ht="12.75">
      <c r="A522" s="600"/>
    </row>
    <row r="523" ht="12.75">
      <c r="A523" s="600"/>
    </row>
    <row r="524" ht="12.75">
      <c r="A524" s="600"/>
    </row>
    <row r="525" ht="12.75">
      <c r="A525" s="600"/>
    </row>
    <row r="526" ht="12.75">
      <c r="A526" s="600"/>
    </row>
    <row r="527" ht="12.75">
      <c r="A527" s="600"/>
    </row>
    <row r="528" ht="12.75">
      <c r="A528" s="600"/>
    </row>
    <row r="529" ht="12.75">
      <c r="A529" s="600"/>
    </row>
    <row r="530" ht="12.75">
      <c r="A530" s="600"/>
    </row>
    <row r="531" ht="12.75">
      <c r="A531" s="600"/>
    </row>
    <row r="532" ht="12.75">
      <c r="A532" s="600"/>
    </row>
    <row r="533" ht="12.75">
      <c r="A533" s="600"/>
    </row>
    <row r="534" ht="12.75">
      <c r="A534" s="600"/>
    </row>
    <row r="535" ht="12.75">
      <c r="A535" s="600"/>
    </row>
    <row r="536" ht="12.75">
      <c r="A536" s="600"/>
    </row>
    <row r="537" ht="12.75">
      <c r="A537" s="600"/>
    </row>
    <row r="538" ht="12.75">
      <c r="A538" s="600"/>
    </row>
    <row r="539" ht="12.75">
      <c r="A539" s="600"/>
    </row>
    <row r="540" ht="12.75">
      <c r="A540" s="600"/>
    </row>
    <row r="541" ht="12.75">
      <c r="A541" s="600"/>
    </row>
    <row r="542" ht="12.75">
      <c r="A542" s="600"/>
    </row>
    <row r="543" ht="12.75">
      <c r="A543" s="600"/>
    </row>
    <row r="544" ht="12.75">
      <c r="A544" s="600"/>
    </row>
    <row r="545" ht="12.75">
      <c r="A545" s="600"/>
    </row>
    <row r="546" ht="12.75">
      <c r="A546" s="600"/>
    </row>
    <row r="547" ht="12.75">
      <c r="A547" s="600"/>
    </row>
    <row r="548" ht="12.75">
      <c r="A548" s="600"/>
    </row>
    <row r="549" ht="12.75">
      <c r="A549" s="600"/>
    </row>
    <row r="550" ht="12.75">
      <c r="A550" s="600"/>
    </row>
    <row r="551" ht="12.75">
      <c r="A551" s="600"/>
    </row>
    <row r="552" ht="12.75">
      <c r="A552" s="600"/>
    </row>
    <row r="553" ht="12.75">
      <c r="A553" s="600"/>
    </row>
    <row r="554" ht="12.75">
      <c r="A554" s="600"/>
    </row>
    <row r="555" ht="12.75">
      <c r="A555" s="600"/>
    </row>
    <row r="556" ht="12.75">
      <c r="A556" s="600"/>
    </row>
    <row r="557" ht="12.75">
      <c r="A557" s="600"/>
    </row>
    <row r="558" ht="12.75">
      <c r="A558" s="600"/>
    </row>
    <row r="559" ht="12.75">
      <c r="A559" s="600"/>
    </row>
    <row r="560" ht="12.75">
      <c r="A560" s="600"/>
    </row>
    <row r="561" ht="12.75">
      <c r="A561" s="600"/>
    </row>
    <row r="562" ht="12.75">
      <c r="A562" s="600"/>
    </row>
    <row r="563" ht="12.75">
      <c r="A563" s="600"/>
    </row>
    <row r="564" ht="12.75">
      <c r="A564" s="600"/>
    </row>
    <row r="565" ht="12.75">
      <c r="A565" s="600"/>
    </row>
    <row r="566" ht="12.75">
      <c r="A566" s="600"/>
    </row>
    <row r="567" ht="12.75">
      <c r="A567" s="600"/>
    </row>
    <row r="568" ht="12.75">
      <c r="A568" s="600"/>
    </row>
    <row r="569" ht="12.75">
      <c r="A569" s="600"/>
    </row>
    <row r="570" ht="12.75">
      <c r="A570" s="600"/>
    </row>
    <row r="571" ht="12.75">
      <c r="A571" s="600"/>
    </row>
  </sheetData>
  <mergeCells count="1">
    <mergeCell ref="B3:D3"/>
  </mergeCells>
  <printOptions/>
  <pageMargins left="0.3937007874015748" right="0.3937007874015748" top="0.9055118110236221" bottom="0.7086614173228347" header="0.5118110236220472" footer="0.5118110236220472"/>
  <pageSetup firstPageNumber="70" useFirstPageNumber="1" horizontalDpi="600" verticalDpi="600" orientation="landscape" paperSize="9" scale="60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G32" sqref="G32:H33"/>
    </sheetView>
  </sheetViews>
  <sheetFormatPr defaultColWidth="9.00390625" defaultRowHeight="12.75"/>
  <cols>
    <col min="1" max="1" width="6.625" style="1133" customWidth="1"/>
    <col min="2" max="2" width="8.125" style="1133" customWidth="1"/>
    <col min="3" max="3" width="7.625" style="1133" customWidth="1"/>
    <col min="4" max="4" width="68.375" style="1133" customWidth="1"/>
    <col min="5" max="5" width="18.875" style="1135" customWidth="1"/>
    <col min="6" max="7" width="16.00390625" style="1135" customWidth="1"/>
    <col min="8" max="8" width="17.75390625" style="1135" customWidth="1"/>
    <col min="9" max="10" width="14.125" style="0" customWidth="1"/>
  </cols>
  <sheetData>
    <row r="1" spans="1:8" ht="18" customHeight="1">
      <c r="A1" s="1130"/>
      <c r="B1" s="1130"/>
      <c r="C1" s="1130"/>
      <c r="D1" s="1131"/>
      <c r="E1" s="1132"/>
      <c r="F1" s="1132"/>
      <c r="G1" s="50" t="s">
        <v>62</v>
      </c>
      <c r="H1" s="22"/>
    </row>
    <row r="2" spans="2:8" ht="14.25" customHeight="1">
      <c r="B2" s="1134" t="s">
        <v>628</v>
      </c>
      <c r="C2" s="1132"/>
      <c r="D2" s="1132"/>
      <c r="E2" s="1132"/>
      <c r="F2" s="1132"/>
      <c r="G2" s="22" t="s">
        <v>15</v>
      </c>
      <c r="H2" s="22"/>
    </row>
    <row r="3" spans="2:8" ht="14.25" customHeight="1">
      <c r="B3" s="1134" t="s">
        <v>545</v>
      </c>
      <c r="C3" s="1132"/>
      <c r="D3" s="1132"/>
      <c r="G3" s="22" t="s">
        <v>337</v>
      </c>
      <c r="H3" s="22"/>
    </row>
    <row r="4" spans="1:8" ht="14.25" customHeight="1">
      <c r="A4" s="1660"/>
      <c r="B4" s="1661"/>
      <c r="C4" s="1661"/>
      <c r="D4" s="1661"/>
      <c r="E4" s="1132"/>
      <c r="F4" s="1132"/>
      <c r="G4" s="22" t="s">
        <v>787</v>
      </c>
      <c r="H4" s="22"/>
    </row>
    <row r="5" spans="1:8" ht="9.75" customHeight="1">
      <c r="A5" s="1138"/>
      <c r="B5" s="1136"/>
      <c r="C5" s="1136"/>
      <c r="D5" s="1136"/>
      <c r="E5" s="1136"/>
      <c r="F5" s="1136"/>
      <c r="G5" s="1136"/>
      <c r="H5" s="1136"/>
    </row>
    <row r="6" spans="1:8" ht="12" customHeight="1" thickBot="1">
      <c r="A6" s="1139"/>
      <c r="B6" s="1139"/>
      <c r="C6" s="1139"/>
      <c r="D6" s="1131"/>
      <c r="E6" s="1139"/>
      <c r="F6" s="1139"/>
      <c r="G6" s="1139"/>
      <c r="H6" s="1098" t="s">
        <v>338</v>
      </c>
    </row>
    <row r="7" spans="1:8" ht="81.75" customHeight="1" thickBot="1" thickTop="1">
      <c r="A7" s="1140" t="s">
        <v>342</v>
      </c>
      <c r="B7" s="1140" t="s">
        <v>343</v>
      </c>
      <c r="C7" s="1140" t="s">
        <v>375</v>
      </c>
      <c r="D7" s="1140" t="s">
        <v>339</v>
      </c>
      <c r="E7" s="118" t="s">
        <v>716</v>
      </c>
      <c r="F7" s="1141" t="s">
        <v>379</v>
      </c>
      <c r="G7" s="1141" t="s">
        <v>380</v>
      </c>
      <c r="H7" s="1141" t="s">
        <v>393</v>
      </c>
    </row>
    <row r="8" spans="1:8" ht="15" customHeight="1" thickBot="1" thickTop="1">
      <c r="A8" s="1142">
        <v>1</v>
      </c>
      <c r="B8" s="1142">
        <v>2</v>
      </c>
      <c r="C8" s="1142">
        <v>3</v>
      </c>
      <c r="D8" s="211">
        <v>4</v>
      </c>
      <c r="E8" s="1142">
        <v>5</v>
      </c>
      <c r="F8" s="1142">
        <v>6</v>
      </c>
      <c r="G8" s="1142">
        <v>7</v>
      </c>
      <c r="H8" s="1142">
        <v>8</v>
      </c>
    </row>
    <row r="9" spans="1:8" ht="29.25" customHeight="1" thickBot="1" thickTop="1">
      <c r="A9" s="1150"/>
      <c r="B9" s="1150"/>
      <c r="C9" s="1150"/>
      <c r="D9" s="1151" t="s">
        <v>629</v>
      </c>
      <c r="E9" s="1152">
        <v>417000</v>
      </c>
      <c r="F9" s="1152">
        <f>F10+F14+F19+F23+F27</f>
        <v>8000</v>
      </c>
      <c r="G9" s="1152">
        <f>G10+G14+G19+G23+G27</f>
        <v>8000</v>
      </c>
      <c r="H9" s="1152">
        <f aca="true" t="shared" si="0" ref="H9:H14">E9+G9-F9</f>
        <v>417000</v>
      </c>
    </row>
    <row r="10" spans="1:8" ht="15" customHeight="1">
      <c r="A10" s="1153"/>
      <c r="B10" s="1153"/>
      <c r="C10" s="1153"/>
      <c r="D10" s="1154" t="s">
        <v>630</v>
      </c>
      <c r="E10" s="559">
        <v>15800</v>
      </c>
      <c r="F10" s="559"/>
      <c r="G10" s="559">
        <f>G11</f>
        <v>400</v>
      </c>
      <c r="H10" s="559">
        <f t="shared" si="0"/>
        <v>16200</v>
      </c>
    </row>
    <row r="11" spans="1:8" ht="16.5" customHeight="1">
      <c r="A11" s="74">
        <v>750</v>
      </c>
      <c r="B11" s="526"/>
      <c r="C11" s="526"/>
      <c r="D11" s="1155" t="s">
        <v>371</v>
      </c>
      <c r="E11" s="74">
        <v>15800</v>
      </c>
      <c r="F11" s="74"/>
      <c r="G11" s="87">
        <f>G12</f>
        <v>400</v>
      </c>
      <c r="H11" s="74">
        <f t="shared" si="0"/>
        <v>16200</v>
      </c>
    </row>
    <row r="12" spans="1:8" ht="17.25" customHeight="1">
      <c r="A12" s="1144"/>
      <c r="B12" s="1145">
        <v>75022</v>
      </c>
      <c r="C12" s="1145"/>
      <c r="D12" s="1146" t="s">
        <v>622</v>
      </c>
      <c r="E12" s="559">
        <v>15800</v>
      </c>
      <c r="F12" s="559"/>
      <c r="G12" s="559">
        <f>G13</f>
        <v>400</v>
      </c>
      <c r="H12" s="559">
        <f t="shared" si="0"/>
        <v>16200</v>
      </c>
    </row>
    <row r="13" spans="1:8" ht="17.25" customHeight="1">
      <c r="A13" s="1156"/>
      <c r="B13" s="553"/>
      <c r="C13" s="1157">
        <v>4300</v>
      </c>
      <c r="D13" s="1158" t="s">
        <v>384</v>
      </c>
      <c r="E13" s="152">
        <v>2600</v>
      </c>
      <c r="F13" s="152"/>
      <c r="G13" s="152">
        <v>400</v>
      </c>
      <c r="H13" s="152">
        <f t="shared" si="0"/>
        <v>3000</v>
      </c>
    </row>
    <row r="14" spans="1:8" s="240" customFormat="1" ht="16.5" customHeight="1">
      <c r="A14" s="1144"/>
      <c r="B14" s="1159"/>
      <c r="C14" s="1160"/>
      <c r="D14" s="1161" t="s">
        <v>632</v>
      </c>
      <c r="E14" s="559">
        <v>18500</v>
      </c>
      <c r="F14" s="559">
        <f>F15</f>
        <v>8000</v>
      </c>
      <c r="G14" s="559"/>
      <c r="H14" s="559">
        <f t="shared" si="0"/>
        <v>10500</v>
      </c>
    </row>
    <row r="15" spans="1:8" ht="17.25" customHeight="1">
      <c r="A15" s="525">
        <v>750</v>
      </c>
      <c r="B15" s="1162"/>
      <c r="C15" s="526"/>
      <c r="D15" s="1155" t="s">
        <v>371</v>
      </c>
      <c r="E15" s="74">
        <v>18500</v>
      </c>
      <c r="F15" s="87">
        <f>F16</f>
        <v>8000</v>
      </c>
      <c r="G15" s="87"/>
      <c r="H15" s="74">
        <f>E15-F15+G15</f>
        <v>10500</v>
      </c>
    </row>
    <row r="16" spans="1:8" ht="15.75" customHeight="1">
      <c r="A16" s="1144"/>
      <c r="B16" s="1145">
        <v>75022</v>
      </c>
      <c r="C16" s="1145"/>
      <c r="D16" s="1146" t="s">
        <v>622</v>
      </c>
      <c r="E16" s="559">
        <v>18500</v>
      </c>
      <c r="F16" s="559">
        <f>F17+F18</f>
        <v>8000</v>
      </c>
      <c r="G16" s="559"/>
      <c r="H16" s="559">
        <f>E16-F16+G16</f>
        <v>10500</v>
      </c>
    </row>
    <row r="17" spans="1:8" ht="17.25" customHeight="1">
      <c r="A17" s="1156"/>
      <c r="B17" s="553"/>
      <c r="C17" s="1163">
        <v>3030</v>
      </c>
      <c r="D17" s="1164" t="s">
        <v>623</v>
      </c>
      <c r="E17" s="152">
        <v>10500</v>
      </c>
      <c r="F17" s="152">
        <v>2200</v>
      </c>
      <c r="G17" s="152"/>
      <c r="H17" s="152">
        <f>E17-F17+G17</f>
        <v>8300</v>
      </c>
    </row>
    <row r="18" spans="1:8" ht="17.25" customHeight="1">
      <c r="A18" s="1156"/>
      <c r="B18" s="553"/>
      <c r="C18" s="1174">
        <v>4300</v>
      </c>
      <c r="D18" s="1175" t="s">
        <v>384</v>
      </c>
      <c r="E18" s="152">
        <v>5800</v>
      </c>
      <c r="F18" s="152">
        <v>5800</v>
      </c>
      <c r="G18" s="152"/>
      <c r="H18" s="152">
        <f>E18-F18+G18</f>
        <v>0</v>
      </c>
    </row>
    <row r="19" spans="1:8" s="240" customFormat="1" ht="16.5" customHeight="1">
      <c r="A19" s="1166"/>
      <c r="B19" s="1167"/>
      <c r="C19" s="1168"/>
      <c r="D19" s="1161" t="s">
        <v>633</v>
      </c>
      <c r="E19" s="1169">
        <v>20100</v>
      </c>
      <c r="F19" s="559"/>
      <c r="G19" s="559">
        <f>G20</f>
        <v>3500</v>
      </c>
      <c r="H19" s="559">
        <f aca="true" t="shared" si="1" ref="H19:H30">E19+G19-F19</f>
        <v>23600</v>
      </c>
    </row>
    <row r="20" spans="1:8" ht="15.75" customHeight="1">
      <c r="A20" s="74">
        <v>750</v>
      </c>
      <c r="B20" s="526"/>
      <c r="C20" s="526"/>
      <c r="D20" s="1155" t="s">
        <v>371</v>
      </c>
      <c r="E20" s="597">
        <v>20100</v>
      </c>
      <c r="F20" s="87"/>
      <c r="G20" s="87">
        <f>G21</f>
        <v>3500</v>
      </c>
      <c r="H20" s="74">
        <f t="shared" si="1"/>
        <v>23600</v>
      </c>
    </row>
    <row r="21" spans="1:8" ht="17.25" customHeight="1">
      <c r="A21" s="1144"/>
      <c r="B21" s="1145">
        <v>75022</v>
      </c>
      <c r="C21" s="1145"/>
      <c r="D21" s="1146" t="s">
        <v>622</v>
      </c>
      <c r="E21" s="1170">
        <v>20100</v>
      </c>
      <c r="F21" s="559"/>
      <c r="G21" s="559">
        <f>G22</f>
        <v>3500</v>
      </c>
      <c r="H21" s="559">
        <f t="shared" si="1"/>
        <v>23600</v>
      </c>
    </row>
    <row r="22" spans="1:8" ht="18.75" customHeight="1">
      <c r="A22" s="1156"/>
      <c r="B22" s="553"/>
      <c r="C22" s="1157">
        <v>4260</v>
      </c>
      <c r="D22" s="1158" t="s">
        <v>464</v>
      </c>
      <c r="E22" s="1158">
        <v>5800</v>
      </c>
      <c r="F22" s="579"/>
      <c r="G22" s="579">
        <v>3500</v>
      </c>
      <c r="H22" s="152">
        <f t="shared" si="1"/>
        <v>9300</v>
      </c>
    </row>
    <row r="23" spans="1:8" s="240" customFormat="1" ht="15.75" customHeight="1">
      <c r="A23" s="1166"/>
      <c r="B23" s="1167"/>
      <c r="C23" s="1168"/>
      <c r="D23" s="1161" t="s">
        <v>634</v>
      </c>
      <c r="E23" s="1169">
        <v>19200</v>
      </c>
      <c r="F23" s="559"/>
      <c r="G23" s="559">
        <f>G24</f>
        <v>3100</v>
      </c>
      <c r="H23" s="559">
        <f t="shared" si="1"/>
        <v>22300</v>
      </c>
    </row>
    <row r="24" spans="1:8" ht="18" customHeight="1">
      <c r="A24" s="74">
        <v>750</v>
      </c>
      <c r="B24" s="526"/>
      <c r="C24" s="526"/>
      <c r="D24" s="1155" t="s">
        <v>371</v>
      </c>
      <c r="E24" s="597">
        <v>19200</v>
      </c>
      <c r="F24" s="87"/>
      <c r="G24" s="87">
        <f>G25</f>
        <v>3100</v>
      </c>
      <c r="H24" s="74">
        <f t="shared" si="1"/>
        <v>22300</v>
      </c>
    </row>
    <row r="25" spans="1:8" ht="18" customHeight="1">
      <c r="A25" s="1144"/>
      <c r="B25" s="1145">
        <v>75022</v>
      </c>
      <c r="C25" s="1145"/>
      <c r="D25" s="1146" t="s">
        <v>622</v>
      </c>
      <c r="E25" s="1170">
        <v>19200</v>
      </c>
      <c r="F25" s="559"/>
      <c r="G25" s="559">
        <f>SUM(G26:G26)</f>
        <v>3100</v>
      </c>
      <c r="H25" s="559">
        <f t="shared" si="1"/>
        <v>22300</v>
      </c>
    </row>
    <row r="26" spans="1:8" ht="15.75" customHeight="1">
      <c r="A26" s="1156"/>
      <c r="B26" s="553"/>
      <c r="C26" s="1157">
        <v>4260</v>
      </c>
      <c r="D26" s="1158" t="s">
        <v>464</v>
      </c>
      <c r="E26" s="1158">
        <v>5000</v>
      </c>
      <c r="F26" s="579"/>
      <c r="G26" s="579">
        <v>3100</v>
      </c>
      <c r="H26" s="152">
        <f t="shared" si="1"/>
        <v>8100</v>
      </c>
    </row>
    <row r="27" spans="1:8" s="240" customFormat="1" ht="15" customHeight="1">
      <c r="A27" s="1166"/>
      <c r="B27" s="1167"/>
      <c r="C27" s="1168"/>
      <c r="D27" s="1161" t="s">
        <v>635</v>
      </c>
      <c r="E27" s="1169">
        <v>20700</v>
      </c>
      <c r="F27" s="1167"/>
      <c r="G27" s="559">
        <f>G28</f>
        <v>1000</v>
      </c>
      <c r="H27" s="559">
        <f t="shared" si="1"/>
        <v>21700</v>
      </c>
    </row>
    <row r="28" spans="1:8" ht="15.75" customHeight="1">
      <c r="A28" s="74">
        <v>750</v>
      </c>
      <c r="B28" s="526"/>
      <c r="C28" s="526"/>
      <c r="D28" s="1155" t="s">
        <v>371</v>
      </c>
      <c r="E28" s="597">
        <v>20700</v>
      </c>
      <c r="F28" s="87"/>
      <c r="G28" s="87">
        <f>G29</f>
        <v>1000</v>
      </c>
      <c r="H28" s="74">
        <f t="shared" si="1"/>
        <v>21700</v>
      </c>
    </row>
    <row r="29" spans="1:8" ht="15" customHeight="1">
      <c r="A29" s="1144"/>
      <c r="B29" s="1145">
        <v>75022</v>
      </c>
      <c r="C29" s="1145"/>
      <c r="D29" s="1146" t="s">
        <v>622</v>
      </c>
      <c r="E29" s="1170">
        <v>20700</v>
      </c>
      <c r="F29" s="559"/>
      <c r="G29" s="559">
        <f>G30</f>
        <v>1000</v>
      </c>
      <c r="H29" s="559">
        <f t="shared" si="1"/>
        <v>21700</v>
      </c>
    </row>
    <row r="30" spans="1:8" ht="15.75" customHeight="1">
      <c r="A30" s="1165"/>
      <c r="B30" s="152"/>
      <c r="C30" s="1157">
        <v>4260</v>
      </c>
      <c r="D30" s="1158" t="s">
        <v>464</v>
      </c>
      <c r="E30" s="1158">
        <v>7900</v>
      </c>
      <c r="F30" s="579"/>
      <c r="G30" s="579">
        <v>1000</v>
      </c>
      <c r="H30" s="152">
        <f t="shared" si="1"/>
        <v>8900</v>
      </c>
    </row>
    <row r="31" ht="22.5" customHeight="1"/>
    <row r="32" spans="2:7" ht="15">
      <c r="B32" s="1" t="s">
        <v>172</v>
      </c>
      <c r="D32"/>
      <c r="G32" s="1" t="s">
        <v>174</v>
      </c>
    </row>
    <row r="33" spans="2:7" ht="13.5" customHeight="1">
      <c r="B33" s="48" t="s">
        <v>173</v>
      </c>
      <c r="D33"/>
      <c r="G33" s="48" t="s">
        <v>175</v>
      </c>
    </row>
  </sheetData>
  <mergeCells count="1">
    <mergeCell ref="A4:D4"/>
  </mergeCells>
  <printOptions horizontalCentered="1"/>
  <pageMargins left="0.4724409448818898" right="0.4724409448818898" top="0.55" bottom="0.77" header="0.42" footer="0.5118110236220472"/>
  <pageSetup firstPageNumber="86" useFirstPageNumber="1" horizontalDpi="600" verticalDpi="600" orientation="landscape" paperSize="9" scale="8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5"/>
  <dimension ref="A5:Z51"/>
  <sheetViews>
    <sheetView zoomScale="70" zoomScaleNormal="70" zoomScaleSheetLayoutView="75" workbookViewId="0" topLeftCell="A34">
      <selection activeCell="M46" sqref="M46:P47"/>
    </sheetView>
  </sheetViews>
  <sheetFormatPr defaultColWidth="9.00390625" defaultRowHeight="12.75"/>
  <cols>
    <col min="1" max="1" width="5.75390625" style="274" customWidth="1"/>
    <col min="2" max="2" width="8.25390625" style="274" customWidth="1"/>
    <col min="3" max="3" width="47.875" style="46" customWidth="1"/>
    <col min="4" max="4" width="18.75390625" style="1" customWidth="1"/>
    <col min="5" max="12" width="13.75390625" style="1" customWidth="1"/>
    <col min="13" max="16" width="13.75390625" style="2" customWidth="1"/>
    <col min="17" max="17" width="22.75390625" style="1" customWidth="1"/>
    <col min="18" max="18" width="13.875" style="1" customWidth="1"/>
    <col min="19" max="16384" width="9.125" style="1" customWidth="1"/>
  </cols>
  <sheetData>
    <row r="1" ht="20.25" customHeight="1"/>
    <row r="2" ht="21.75" customHeight="1"/>
    <row r="3" ht="21.75" customHeight="1"/>
    <row r="4" ht="19.5" customHeight="1"/>
    <row r="5" spans="14:15" ht="15">
      <c r="N5" s="1" t="s">
        <v>445</v>
      </c>
      <c r="O5" s="1"/>
    </row>
    <row r="6" spans="2:15" ht="15" customHeight="1">
      <c r="B6" s="275"/>
      <c r="N6" s="1" t="s">
        <v>15</v>
      </c>
      <c r="O6" s="1"/>
    </row>
    <row r="7" spans="3:15" ht="15.75">
      <c r="C7" s="276" t="s">
        <v>727</v>
      </c>
      <c r="N7" s="1" t="s">
        <v>337</v>
      </c>
      <c r="O7" s="1"/>
    </row>
    <row r="8" spans="14:15" ht="14.25" customHeight="1">
      <c r="N8" s="1" t="s">
        <v>787</v>
      </c>
      <c r="O8" s="1"/>
    </row>
    <row r="9" spans="3:12" ht="6" customHeight="1">
      <c r="C9" s="277"/>
      <c r="D9" s="2"/>
      <c r="E9" s="2"/>
      <c r="F9" s="2"/>
      <c r="G9" s="2"/>
      <c r="H9" s="2"/>
      <c r="I9" s="2"/>
      <c r="J9" s="2"/>
      <c r="K9" s="2"/>
      <c r="L9" s="2"/>
    </row>
    <row r="10" spans="3:16" ht="20.25" customHeight="1" thickBot="1">
      <c r="C10" s="277"/>
      <c r="D10" s="2"/>
      <c r="E10" s="2"/>
      <c r="F10" s="2"/>
      <c r="G10" s="2"/>
      <c r="H10" s="2"/>
      <c r="I10" s="2"/>
      <c r="J10" s="2"/>
      <c r="K10" s="2"/>
      <c r="L10" s="2"/>
      <c r="M10" s="278"/>
      <c r="N10" s="278"/>
      <c r="O10" s="278"/>
      <c r="P10" s="279" t="s">
        <v>338</v>
      </c>
    </row>
    <row r="11" spans="1:16" ht="18" customHeight="1" thickTop="1">
      <c r="A11" s="280"/>
      <c r="B11" s="280"/>
      <c r="C11" s="281" t="s">
        <v>339</v>
      </c>
      <c r="D11" s="281" t="s">
        <v>540</v>
      </c>
      <c r="E11" s="1662" t="s">
        <v>341</v>
      </c>
      <c r="F11" s="1663"/>
      <c r="G11" s="1663"/>
      <c r="H11" s="1663"/>
      <c r="I11" s="1663"/>
      <c r="J11" s="1663"/>
      <c r="K11" s="1663"/>
      <c r="L11" s="1663"/>
      <c r="M11" s="1663"/>
      <c r="N11" s="1663"/>
      <c r="O11" s="1663"/>
      <c r="P11" s="1664"/>
    </row>
    <row r="12" spans="1:16" ht="26.25" customHeight="1" thickBot="1">
      <c r="A12" s="282" t="s">
        <v>342</v>
      </c>
      <c r="B12" s="283" t="s">
        <v>728</v>
      </c>
      <c r="C12" s="284" t="s">
        <v>729</v>
      </c>
      <c r="D12" s="284" t="s">
        <v>541</v>
      </c>
      <c r="E12" s="284" t="s">
        <v>345</v>
      </c>
      <c r="F12" s="284" t="s">
        <v>346</v>
      </c>
      <c r="G12" s="284" t="s">
        <v>347</v>
      </c>
      <c r="H12" s="284" t="s">
        <v>348</v>
      </c>
      <c r="I12" s="284" t="s">
        <v>349</v>
      </c>
      <c r="J12" s="284" t="s">
        <v>350</v>
      </c>
      <c r="K12" s="284" t="s">
        <v>351</v>
      </c>
      <c r="L12" s="284" t="s">
        <v>352</v>
      </c>
      <c r="M12" s="285" t="s">
        <v>353</v>
      </c>
      <c r="N12" s="285" t="s">
        <v>354</v>
      </c>
      <c r="O12" s="285" t="s">
        <v>355</v>
      </c>
      <c r="P12" s="285" t="s">
        <v>356</v>
      </c>
    </row>
    <row r="13" spans="1:22" s="22" customFormat="1" ht="14.25" thickBot="1" thickTop="1">
      <c r="A13" s="286">
        <v>1</v>
      </c>
      <c r="B13" s="286">
        <v>2</v>
      </c>
      <c r="C13" s="287">
        <v>3</v>
      </c>
      <c r="D13" s="288">
        <v>4</v>
      </c>
      <c r="E13" s="288">
        <v>5</v>
      </c>
      <c r="F13" s="288">
        <v>6</v>
      </c>
      <c r="G13" s="288">
        <v>7</v>
      </c>
      <c r="H13" s="288">
        <v>8</v>
      </c>
      <c r="I13" s="288">
        <v>9</v>
      </c>
      <c r="J13" s="288">
        <v>10</v>
      </c>
      <c r="K13" s="288">
        <v>11</v>
      </c>
      <c r="L13" s="288">
        <v>12</v>
      </c>
      <c r="M13" s="288">
        <v>13</v>
      </c>
      <c r="N13" s="288">
        <v>14</v>
      </c>
      <c r="O13" s="288">
        <v>15</v>
      </c>
      <c r="P13" s="288">
        <v>16</v>
      </c>
      <c r="Q13" s="33"/>
      <c r="R13" s="33"/>
      <c r="S13" s="33"/>
      <c r="T13" s="33"/>
      <c r="U13" s="33"/>
      <c r="V13" s="33"/>
    </row>
    <row r="14" spans="1:26" s="275" customFormat="1" ht="30.75" customHeight="1" thickBot="1" thickTop="1">
      <c r="A14" s="289"/>
      <c r="B14" s="290"/>
      <c r="C14" s="291" t="s">
        <v>730</v>
      </c>
      <c r="D14" s="292">
        <f aca="true" t="shared" si="0" ref="D14:D30">SUM(E14:P14)</f>
        <v>4292895</v>
      </c>
      <c r="E14" s="293"/>
      <c r="F14" s="293"/>
      <c r="G14" s="293"/>
      <c r="H14" s="293"/>
      <c r="I14" s="293"/>
      <c r="J14" s="293"/>
      <c r="K14" s="293"/>
      <c r="L14" s="293"/>
      <c r="M14" s="293"/>
      <c r="N14" s="293">
        <f aca="true" t="shared" si="1" ref="N14:P15">N15</f>
        <v>982792</v>
      </c>
      <c r="O14" s="293">
        <f t="shared" si="1"/>
        <v>1550684</v>
      </c>
      <c r="P14" s="293">
        <f t="shared" si="1"/>
        <v>1759419</v>
      </c>
      <c r="Q14" s="294"/>
      <c r="R14" s="295"/>
      <c r="S14" s="295"/>
      <c r="T14" s="295"/>
      <c r="U14" s="295"/>
      <c r="V14" s="295"/>
      <c r="W14" s="296"/>
      <c r="X14" s="296"/>
      <c r="Y14" s="296"/>
      <c r="Z14" s="296"/>
    </row>
    <row r="15" spans="1:26" s="301" customFormat="1" ht="24" customHeight="1" thickBot="1" thickTop="1">
      <c r="A15" s="297"/>
      <c r="B15" s="297"/>
      <c r="C15" s="298" t="s">
        <v>359</v>
      </c>
      <c r="D15" s="292">
        <f t="shared" si="0"/>
        <v>4292895</v>
      </c>
      <c r="E15" s="292"/>
      <c r="F15" s="292"/>
      <c r="G15" s="292"/>
      <c r="H15" s="292"/>
      <c r="I15" s="292"/>
      <c r="J15" s="292"/>
      <c r="K15" s="292"/>
      <c r="L15" s="292"/>
      <c r="M15" s="292"/>
      <c r="N15" s="292">
        <f t="shared" si="1"/>
        <v>982792</v>
      </c>
      <c r="O15" s="292">
        <f t="shared" si="1"/>
        <v>1550684</v>
      </c>
      <c r="P15" s="292">
        <f t="shared" si="1"/>
        <v>1759419</v>
      </c>
      <c r="Q15" s="299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16" ht="23.25" customHeight="1" thickTop="1">
      <c r="A16" s="302"/>
      <c r="B16" s="302"/>
      <c r="C16" s="303" t="s">
        <v>731</v>
      </c>
      <c r="D16" s="304">
        <f t="shared" si="0"/>
        <v>4292895</v>
      </c>
      <c r="E16" s="304"/>
      <c r="F16" s="304"/>
      <c r="G16" s="304"/>
      <c r="H16" s="304"/>
      <c r="I16" s="304"/>
      <c r="J16" s="304"/>
      <c r="K16" s="304"/>
      <c r="L16" s="304"/>
      <c r="M16" s="304"/>
      <c r="N16" s="304">
        <f>N17+N31</f>
        <v>982792</v>
      </c>
      <c r="O16" s="304">
        <f>O17+O31</f>
        <v>1550684</v>
      </c>
      <c r="P16" s="304">
        <f>P17+P31</f>
        <v>1759419</v>
      </c>
    </row>
    <row r="17" spans="1:16" ht="25.5" customHeight="1">
      <c r="A17" s="302"/>
      <c r="B17" s="302"/>
      <c r="C17" s="305" t="s">
        <v>726</v>
      </c>
      <c r="D17" s="306">
        <f t="shared" si="0"/>
        <v>2311395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>
        <f>N18+N25+N28</f>
        <v>682792</v>
      </c>
      <c r="O17" s="306">
        <f>O18+O25+O28</f>
        <v>1482184</v>
      </c>
      <c r="P17" s="306">
        <f>P18+P25+P28</f>
        <v>146419</v>
      </c>
    </row>
    <row r="18" spans="1:16" s="48" customFormat="1" ht="39.75" customHeight="1" thickBot="1">
      <c r="A18" s="307"/>
      <c r="B18" s="307"/>
      <c r="C18" s="308" t="s">
        <v>720</v>
      </c>
      <c r="D18" s="309">
        <f t="shared" si="0"/>
        <v>1373837</v>
      </c>
      <c r="E18" s="309"/>
      <c r="F18" s="309"/>
      <c r="G18" s="309"/>
      <c r="H18" s="309"/>
      <c r="I18" s="309"/>
      <c r="J18" s="309"/>
      <c r="K18" s="309"/>
      <c r="L18" s="309"/>
      <c r="M18" s="309"/>
      <c r="N18" s="309">
        <f>N19+N21+N23</f>
        <v>92836</v>
      </c>
      <c r="O18" s="309">
        <f>O19+O21+O23</f>
        <v>1134582</v>
      </c>
      <c r="P18" s="309">
        <f>P19+P21+P23</f>
        <v>146419</v>
      </c>
    </row>
    <row r="19" spans="1:16" s="4" customFormat="1" ht="21.75" customHeight="1" thickTop="1">
      <c r="A19" s="310">
        <v>801</v>
      </c>
      <c r="B19" s="310"/>
      <c r="C19" s="311" t="s">
        <v>367</v>
      </c>
      <c r="D19" s="41">
        <f t="shared" si="0"/>
        <v>185674</v>
      </c>
      <c r="E19" s="41"/>
      <c r="F19" s="41"/>
      <c r="G19" s="41"/>
      <c r="H19" s="41"/>
      <c r="I19" s="41"/>
      <c r="J19" s="41"/>
      <c r="K19" s="41"/>
      <c r="L19" s="41"/>
      <c r="M19" s="41"/>
      <c r="N19" s="41">
        <f>N20</f>
        <v>92836</v>
      </c>
      <c r="O19" s="41">
        <f>O20</f>
        <v>46419</v>
      </c>
      <c r="P19" s="41">
        <f>P20</f>
        <v>46419</v>
      </c>
    </row>
    <row r="20" spans="1:16" s="312" customFormat="1" ht="22.5" customHeight="1">
      <c r="A20" s="420"/>
      <c r="B20" s="420">
        <v>80101</v>
      </c>
      <c r="C20" s="129" t="s">
        <v>706</v>
      </c>
      <c r="D20" s="43">
        <f t="shared" si="0"/>
        <v>185674</v>
      </c>
      <c r="E20" s="43"/>
      <c r="F20" s="43"/>
      <c r="G20" s="43"/>
      <c r="H20" s="43"/>
      <c r="I20" s="43"/>
      <c r="J20" s="43"/>
      <c r="K20" s="43"/>
      <c r="L20" s="43"/>
      <c r="M20" s="43"/>
      <c r="N20" s="43">
        <v>92836</v>
      </c>
      <c r="O20" s="43">
        <v>46419</v>
      </c>
      <c r="P20" s="43">
        <v>46419</v>
      </c>
    </row>
    <row r="21" spans="1:16" s="4" customFormat="1" ht="21.75" customHeight="1">
      <c r="A21" s="310">
        <v>852</v>
      </c>
      <c r="B21" s="310"/>
      <c r="C21" s="311" t="s">
        <v>368</v>
      </c>
      <c r="D21" s="41">
        <f t="shared" si="0"/>
        <v>215000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>
        <f>O22</f>
        <v>115000</v>
      </c>
      <c r="P21" s="41">
        <f>P22</f>
        <v>100000</v>
      </c>
    </row>
    <row r="22" spans="1:16" s="312" customFormat="1" ht="22.5" customHeight="1">
      <c r="A22" s="420"/>
      <c r="B22" s="420">
        <v>85295</v>
      </c>
      <c r="C22" s="129" t="s">
        <v>366</v>
      </c>
      <c r="D22" s="43">
        <f t="shared" si="0"/>
        <v>215000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>
        <v>115000</v>
      </c>
      <c r="P22" s="43">
        <v>100000</v>
      </c>
    </row>
    <row r="23" spans="1:16" s="4" customFormat="1" ht="21.75" customHeight="1">
      <c r="A23" s="310">
        <v>854</v>
      </c>
      <c r="B23" s="310"/>
      <c r="C23" s="311" t="s">
        <v>369</v>
      </c>
      <c r="D23" s="41">
        <f t="shared" si="0"/>
        <v>973163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f>O24</f>
        <v>973163</v>
      </c>
      <c r="P23" s="41"/>
    </row>
    <row r="24" spans="1:16" s="312" customFormat="1" ht="22.5" customHeight="1">
      <c r="A24" s="419"/>
      <c r="B24" s="420">
        <v>85415</v>
      </c>
      <c r="C24" s="129" t="s">
        <v>705</v>
      </c>
      <c r="D24" s="43">
        <f t="shared" si="0"/>
        <v>973163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>
        <v>973163</v>
      </c>
      <c r="P24" s="43"/>
    </row>
    <row r="25" spans="1:16" s="48" customFormat="1" ht="39.75" customHeight="1" thickBot="1">
      <c r="A25" s="307"/>
      <c r="B25" s="307"/>
      <c r="C25" s="308" t="s">
        <v>637</v>
      </c>
      <c r="D25" s="309">
        <f t="shared" si="0"/>
        <v>30000</v>
      </c>
      <c r="E25" s="309"/>
      <c r="F25" s="309"/>
      <c r="G25" s="309"/>
      <c r="H25" s="309"/>
      <c r="I25" s="309"/>
      <c r="J25" s="309"/>
      <c r="K25" s="309"/>
      <c r="L25" s="309"/>
      <c r="M25" s="309"/>
      <c r="N25" s="309">
        <f>N26</f>
        <v>30000</v>
      </c>
      <c r="O25" s="309"/>
      <c r="P25" s="309"/>
    </row>
    <row r="26" spans="1:16" s="4" customFormat="1" ht="21.75" customHeight="1" thickTop="1">
      <c r="A26" s="310">
        <v>710</v>
      </c>
      <c r="B26" s="310"/>
      <c r="C26" s="1192" t="s">
        <v>756</v>
      </c>
      <c r="D26" s="41">
        <f t="shared" si="0"/>
        <v>30000</v>
      </c>
      <c r="E26" s="41"/>
      <c r="F26" s="41"/>
      <c r="G26" s="41"/>
      <c r="H26" s="41"/>
      <c r="I26" s="41"/>
      <c r="J26" s="41"/>
      <c r="K26" s="41"/>
      <c r="L26" s="41"/>
      <c r="M26" s="41"/>
      <c r="N26" s="41">
        <f>N27</f>
        <v>30000</v>
      </c>
      <c r="O26" s="41"/>
      <c r="P26" s="41"/>
    </row>
    <row r="27" spans="1:16" s="312" customFormat="1" ht="22.5" customHeight="1">
      <c r="A27" s="419"/>
      <c r="B27" s="420">
        <v>71035</v>
      </c>
      <c r="C27" s="1193" t="s">
        <v>332</v>
      </c>
      <c r="D27" s="43">
        <f t="shared" si="0"/>
        <v>30000</v>
      </c>
      <c r="E27" s="43"/>
      <c r="F27" s="43"/>
      <c r="G27" s="43"/>
      <c r="H27" s="43"/>
      <c r="I27" s="43"/>
      <c r="J27" s="43"/>
      <c r="K27" s="43"/>
      <c r="L27" s="43"/>
      <c r="M27" s="43"/>
      <c r="N27" s="43">
        <v>30000</v>
      </c>
      <c r="O27" s="43"/>
      <c r="P27" s="43"/>
    </row>
    <row r="28" spans="1:16" s="48" customFormat="1" ht="51" customHeight="1" thickBot="1">
      <c r="A28" s="307"/>
      <c r="B28" s="307"/>
      <c r="C28" s="308" t="s">
        <v>713</v>
      </c>
      <c r="D28" s="309">
        <f t="shared" si="0"/>
        <v>907558</v>
      </c>
      <c r="E28" s="309"/>
      <c r="F28" s="309"/>
      <c r="G28" s="309"/>
      <c r="H28" s="309"/>
      <c r="I28" s="309"/>
      <c r="J28" s="309"/>
      <c r="K28" s="309"/>
      <c r="L28" s="309"/>
      <c r="M28" s="309"/>
      <c r="N28" s="309">
        <f>N29</f>
        <v>559956</v>
      </c>
      <c r="O28" s="309">
        <f>O29</f>
        <v>347602</v>
      </c>
      <c r="P28" s="309"/>
    </row>
    <row r="29" spans="1:16" s="4" customFormat="1" ht="48" thickTop="1">
      <c r="A29" s="310">
        <v>751</v>
      </c>
      <c r="B29" s="1128"/>
      <c r="C29" s="1129" t="s">
        <v>624</v>
      </c>
      <c r="D29" s="41">
        <f t="shared" si="0"/>
        <v>907558</v>
      </c>
      <c r="E29" s="41"/>
      <c r="F29" s="41"/>
      <c r="G29" s="41"/>
      <c r="H29" s="41"/>
      <c r="I29" s="41"/>
      <c r="J29" s="41"/>
      <c r="K29" s="41"/>
      <c r="L29" s="41"/>
      <c r="M29" s="41"/>
      <c r="N29" s="41">
        <f>N30</f>
        <v>559956</v>
      </c>
      <c r="O29" s="41">
        <f>O30</f>
        <v>347602</v>
      </c>
      <c r="P29" s="41"/>
    </row>
    <row r="30" spans="1:16" s="695" customFormat="1" ht="60">
      <c r="A30" s="1203"/>
      <c r="B30" s="693">
        <v>75109</v>
      </c>
      <c r="C30" s="955" t="s">
        <v>625</v>
      </c>
      <c r="D30" s="446">
        <f t="shared" si="0"/>
        <v>907558</v>
      </c>
      <c r="E30" s="446"/>
      <c r="F30" s="446"/>
      <c r="G30" s="446"/>
      <c r="H30" s="446"/>
      <c r="I30" s="446"/>
      <c r="J30" s="969"/>
      <c r="K30" s="446"/>
      <c r="L30" s="446"/>
      <c r="M30" s="446"/>
      <c r="N30" s="446">
        <v>559956</v>
      </c>
      <c r="O30" s="446">
        <v>347602</v>
      </c>
      <c r="P30" s="446"/>
    </row>
    <row r="31" spans="1:16" ht="21.75" customHeight="1">
      <c r="A31" s="302"/>
      <c r="B31" s="302"/>
      <c r="C31" s="305" t="s">
        <v>8</v>
      </c>
      <c r="D31" s="306">
        <f aca="true" t="shared" si="2" ref="D31:D41">SUM(E31:P31)</f>
        <v>1981500</v>
      </c>
      <c r="E31" s="306"/>
      <c r="F31" s="306"/>
      <c r="G31" s="306"/>
      <c r="H31" s="306"/>
      <c r="I31" s="306"/>
      <c r="J31" s="306"/>
      <c r="K31" s="306"/>
      <c r="L31" s="306"/>
      <c r="M31" s="306"/>
      <c r="N31" s="306">
        <f>N32+N38</f>
        <v>300000</v>
      </c>
      <c r="O31" s="306">
        <f>O32+O38</f>
        <v>68500</v>
      </c>
      <c r="P31" s="306">
        <f>P32+P38</f>
        <v>1613000</v>
      </c>
    </row>
    <row r="32" spans="1:16" s="48" customFormat="1" ht="51" customHeight="1" thickBot="1">
      <c r="A32" s="307"/>
      <c r="B32" s="307"/>
      <c r="C32" s="308" t="s">
        <v>539</v>
      </c>
      <c r="D32" s="309">
        <f t="shared" si="2"/>
        <v>1744500</v>
      </c>
      <c r="E32" s="309"/>
      <c r="F32" s="309"/>
      <c r="G32" s="309"/>
      <c r="H32" s="309"/>
      <c r="I32" s="309"/>
      <c r="J32" s="309"/>
      <c r="K32" s="309"/>
      <c r="L32" s="309"/>
      <c r="M32" s="309"/>
      <c r="N32" s="309">
        <f>N35+N33</f>
        <v>200000</v>
      </c>
      <c r="O32" s="309"/>
      <c r="P32" s="309">
        <f>P35+P33</f>
        <v>1544500</v>
      </c>
    </row>
    <row r="33" spans="1:16" s="4" customFormat="1" ht="21.75" customHeight="1" thickTop="1">
      <c r="A33" s="310">
        <v>600</v>
      </c>
      <c r="B33" s="310"/>
      <c r="C33" s="311" t="s">
        <v>364</v>
      </c>
      <c r="D33" s="41">
        <f>SUM(E33:P33)</f>
        <v>1544500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>
        <f>P34</f>
        <v>1544500</v>
      </c>
    </row>
    <row r="34" spans="1:16" s="312" customFormat="1" ht="30">
      <c r="A34" s="420"/>
      <c r="B34" s="420">
        <v>60015</v>
      </c>
      <c r="C34" s="129" t="s">
        <v>712</v>
      </c>
      <c r="D34" s="43">
        <f>SUM(E34:P34)</f>
        <v>1544500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v>1544500</v>
      </c>
    </row>
    <row r="35" spans="1:16" s="4" customFormat="1" ht="22.5" customHeight="1">
      <c r="A35" s="310">
        <v>852</v>
      </c>
      <c r="B35" s="310"/>
      <c r="C35" s="958" t="s">
        <v>368</v>
      </c>
      <c r="D35" s="41">
        <f t="shared" si="2"/>
        <v>200000</v>
      </c>
      <c r="E35" s="41"/>
      <c r="F35" s="41"/>
      <c r="G35" s="41"/>
      <c r="H35" s="41"/>
      <c r="I35" s="41"/>
      <c r="J35" s="41"/>
      <c r="K35" s="41"/>
      <c r="L35" s="41"/>
      <c r="M35" s="41"/>
      <c r="N35" s="41">
        <f>N36</f>
        <v>200000</v>
      </c>
      <c r="O35" s="41"/>
      <c r="P35" s="41"/>
    </row>
    <row r="36" spans="1:16" s="312" customFormat="1" ht="22.5" customHeight="1">
      <c r="A36" s="420"/>
      <c r="B36" s="420">
        <v>85295</v>
      </c>
      <c r="C36" s="957" t="s">
        <v>366</v>
      </c>
      <c r="D36" s="43">
        <f t="shared" si="2"/>
        <v>200000</v>
      </c>
      <c r="E36" s="43"/>
      <c r="F36" s="43"/>
      <c r="G36" s="43"/>
      <c r="H36" s="43"/>
      <c r="I36" s="43"/>
      <c r="J36" s="43"/>
      <c r="K36" s="43"/>
      <c r="L36" s="43"/>
      <c r="M36" s="43"/>
      <c r="N36" s="43">
        <v>200000</v>
      </c>
      <c r="O36" s="43"/>
      <c r="P36" s="43"/>
    </row>
    <row r="37" spans="1:16" s="312" customFormat="1" ht="35.25" customHeight="1">
      <c r="A37" s="1629"/>
      <c r="B37" s="1629"/>
      <c r="C37" s="1630"/>
      <c r="D37" s="1592"/>
      <c r="E37" s="1592"/>
      <c r="F37" s="1592"/>
      <c r="G37" s="1592"/>
      <c r="H37" s="1592"/>
      <c r="I37" s="1592"/>
      <c r="J37" s="1592"/>
      <c r="K37" s="1592"/>
      <c r="L37" s="1592"/>
      <c r="M37" s="1592"/>
      <c r="N37" s="1592"/>
      <c r="O37" s="1592"/>
      <c r="P37" s="1592"/>
    </row>
    <row r="38" spans="1:16" s="48" customFormat="1" ht="33" customHeight="1" thickBot="1">
      <c r="A38" s="307"/>
      <c r="B38" s="307"/>
      <c r="C38" s="308" t="s">
        <v>74</v>
      </c>
      <c r="D38" s="309">
        <f t="shared" si="2"/>
        <v>237000</v>
      </c>
      <c r="E38" s="309"/>
      <c r="F38" s="309"/>
      <c r="G38" s="309"/>
      <c r="H38" s="309"/>
      <c r="I38" s="309"/>
      <c r="J38" s="309"/>
      <c r="K38" s="309"/>
      <c r="L38" s="309"/>
      <c r="M38" s="309"/>
      <c r="N38" s="309">
        <f>N39+N42</f>
        <v>100000</v>
      </c>
      <c r="O38" s="309">
        <f>O39+O42</f>
        <v>68500</v>
      </c>
      <c r="P38" s="309">
        <f>P39+P42</f>
        <v>68500</v>
      </c>
    </row>
    <row r="39" spans="1:16" s="4" customFormat="1" ht="21.75" customHeight="1" thickTop="1">
      <c r="A39" s="310">
        <v>852</v>
      </c>
      <c r="B39" s="310"/>
      <c r="C39" s="311" t="s">
        <v>368</v>
      </c>
      <c r="D39" s="41">
        <f t="shared" si="2"/>
        <v>220000</v>
      </c>
      <c r="E39" s="41"/>
      <c r="F39" s="41"/>
      <c r="G39" s="41"/>
      <c r="H39" s="41"/>
      <c r="I39" s="41"/>
      <c r="J39" s="41"/>
      <c r="K39" s="41"/>
      <c r="L39" s="41"/>
      <c r="M39" s="41"/>
      <c r="N39" s="41">
        <f>N40+N41</f>
        <v>100000</v>
      </c>
      <c r="O39" s="41">
        <f>O40+O41</f>
        <v>60000</v>
      </c>
      <c r="P39" s="41">
        <f>P40+P41</f>
        <v>60000</v>
      </c>
    </row>
    <row r="40" spans="1:16" s="695" customFormat="1" ht="22.5" customHeight="1">
      <c r="A40" s="1203"/>
      <c r="B40" s="693">
        <v>85203</v>
      </c>
      <c r="C40" s="694" t="s">
        <v>789</v>
      </c>
      <c r="D40" s="446">
        <f t="shared" si="2"/>
        <v>190000</v>
      </c>
      <c r="E40" s="446"/>
      <c r="F40" s="446"/>
      <c r="G40" s="446"/>
      <c r="H40" s="446"/>
      <c r="I40" s="446"/>
      <c r="J40" s="446"/>
      <c r="K40" s="446"/>
      <c r="L40" s="446"/>
      <c r="M40" s="446"/>
      <c r="N40" s="446">
        <v>100000</v>
      </c>
      <c r="O40" s="446">
        <v>45000</v>
      </c>
      <c r="P40" s="446">
        <v>45000</v>
      </c>
    </row>
    <row r="41" spans="1:16" s="695" customFormat="1" ht="22.5" customHeight="1">
      <c r="A41" s="1202"/>
      <c r="B41" s="1202">
        <v>85295</v>
      </c>
      <c r="C41" s="694" t="s">
        <v>366</v>
      </c>
      <c r="D41" s="446">
        <f t="shared" si="2"/>
        <v>30000</v>
      </c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>
        <v>15000</v>
      </c>
      <c r="P41" s="444">
        <v>15000</v>
      </c>
    </row>
    <row r="42" spans="1:16" s="4" customFormat="1" ht="31.5">
      <c r="A42" s="310">
        <v>853</v>
      </c>
      <c r="B42" s="310"/>
      <c r="C42" s="40" t="s">
        <v>412</v>
      </c>
      <c r="D42" s="41">
        <f>SUM(E42:P42)</f>
        <v>17000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>
        <f>O43</f>
        <v>8500</v>
      </c>
      <c r="P42" s="41">
        <f>P43</f>
        <v>8500</v>
      </c>
    </row>
    <row r="43" spans="1:16" s="695" customFormat="1" ht="22.5" customHeight="1">
      <c r="A43" s="693"/>
      <c r="B43" s="693">
        <v>85321</v>
      </c>
      <c r="C43" s="1412" t="s">
        <v>205</v>
      </c>
      <c r="D43" s="446">
        <f>SUM(E43:P43)</f>
        <v>17000</v>
      </c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>
        <v>8500</v>
      </c>
      <c r="P43" s="446">
        <v>8500</v>
      </c>
    </row>
    <row r="44" ht="33" customHeight="1"/>
    <row r="45" ht="27" customHeight="1"/>
    <row r="46" spans="2:15" ht="23.25">
      <c r="B46" s="855" t="s">
        <v>172</v>
      </c>
      <c r="C46" s="1681"/>
      <c r="D46"/>
      <c r="M46" s="855" t="s">
        <v>174</v>
      </c>
      <c r="N46" s="1683"/>
      <c r="O46" s="1684"/>
    </row>
    <row r="47" spans="2:15" ht="20.25" customHeight="1">
      <c r="B47" s="1682" t="s">
        <v>173</v>
      </c>
      <c r="C47" s="1681"/>
      <c r="D47"/>
      <c r="M47" s="1682" t="s">
        <v>175</v>
      </c>
      <c r="N47" s="1683"/>
      <c r="O47" s="1684"/>
    </row>
    <row r="48" ht="15">
      <c r="D48" s="2"/>
    </row>
    <row r="51" ht="15">
      <c r="D51" s="2"/>
    </row>
  </sheetData>
  <mergeCells count="1">
    <mergeCell ref="E11:P11"/>
  </mergeCells>
  <printOptions horizontalCentered="1"/>
  <pageMargins left="0.3937007874015748" right="0.3937007874015748" top="0.34" bottom="0.4724409448818898" header="0.19" footer="0.3937007874015748"/>
  <pageSetup firstPageNumber="87" useFirstPageNumber="1" horizontalDpi="300" verticalDpi="300" orientation="landscape" paperSize="9" scale="56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6"/>
  <dimension ref="A1:R484"/>
  <sheetViews>
    <sheetView zoomScale="68" zoomScaleNormal="68" zoomScaleSheetLayoutView="75" workbookViewId="0" topLeftCell="A8">
      <pane ySplit="1020" topLeftCell="BM214" activePane="bottomLeft" state="split"/>
      <selection pane="topLeft" activeCell="M8" sqref="M8"/>
      <selection pane="bottomLeft" activeCell="M234" sqref="M234:O235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7.75390625" style="2" customWidth="1"/>
    <col min="5" max="16" width="14.375" style="2" customWidth="1"/>
    <col min="17" max="17" width="10.25390625" style="786" bestFit="1" customWidth="1"/>
    <col min="18" max="16384" width="9.125" style="1" customWidth="1"/>
  </cols>
  <sheetData>
    <row r="1" ht="19.5" customHeight="1">
      <c r="N1" s="2" t="s">
        <v>446</v>
      </c>
    </row>
    <row r="2" ht="19.5" customHeight="1">
      <c r="N2" s="1" t="s">
        <v>15</v>
      </c>
    </row>
    <row r="3" spans="3:14" ht="19.5" customHeight="1">
      <c r="C3" s="3" t="s">
        <v>336</v>
      </c>
      <c r="N3" s="1" t="s">
        <v>337</v>
      </c>
    </row>
    <row r="4" spans="3:14" ht="19.5" customHeight="1">
      <c r="C4" s="4"/>
      <c r="N4" s="1" t="s">
        <v>787</v>
      </c>
    </row>
    <row r="5" ht="6" customHeight="1">
      <c r="C5" s="4"/>
    </row>
    <row r="6" spans="8:16" ht="18.75" thickBot="1">
      <c r="H6" s="5"/>
      <c r="P6" s="2" t="s">
        <v>338</v>
      </c>
    </row>
    <row r="7" spans="1:16" ht="19.5" customHeight="1" thickTop="1">
      <c r="A7" s="6"/>
      <c r="B7" s="6"/>
      <c r="C7" s="7" t="s">
        <v>339</v>
      </c>
      <c r="D7" s="8" t="s">
        <v>405</v>
      </c>
      <c r="E7" s="9"/>
      <c r="F7" s="10" t="s">
        <v>341</v>
      </c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23.25" customHeight="1" thickBot="1">
      <c r="A8" s="12" t="s">
        <v>342</v>
      </c>
      <c r="B8" s="12" t="s">
        <v>343</v>
      </c>
      <c r="C8" s="13" t="s">
        <v>344</v>
      </c>
      <c r="D8" s="14" t="s">
        <v>541</v>
      </c>
      <c r="E8" s="15" t="s">
        <v>345</v>
      </c>
      <c r="F8" s="15" t="s">
        <v>346</v>
      </c>
      <c r="G8" s="15" t="s">
        <v>347</v>
      </c>
      <c r="H8" s="15" t="s">
        <v>348</v>
      </c>
      <c r="I8" s="15" t="s">
        <v>349</v>
      </c>
      <c r="J8" s="15" t="s">
        <v>350</v>
      </c>
      <c r="K8" s="15" t="s">
        <v>351</v>
      </c>
      <c r="L8" s="973" t="s">
        <v>352</v>
      </c>
      <c r="M8" s="973" t="s">
        <v>353</v>
      </c>
      <c r="N8" s="15" t="s">
        <v>354</v>
      </c>
      <c r="O8" s="15" t="s">
        <v>355</v>
      </c>
      <c r="P8" s="15" t="s">
        <v>356</v>
      </c>
    </row>
    <row r="9" spans="1:17" s="18" customFormat="1" ht="14.25" customHeight="1" thickBot="1" thickTop="1">
      <c r="A9" s="16">
        <v>1</v>
      </c>
      <c r="B9" s="16">
        <v>2</v>
      </c>
      <c r="C9" s="16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786"/>
    </row>
    <row r="10" spans="1:17" s="22" customFormat="1" ht="22.5" customHeight="1" thickBot="1" thickTop="1">
      <c r="A10" s="19"/>
      <c r="B10" s="19"/>
      <c r="C10" s="20" t="s">
        <v>357</v>
      </c>
      <c r="D10" s="21">
        <f>SUM(E10:P10)</f>
        <v>4292895</v>
      </c>
      <c r="E10" s="21">
        <f aca="true" t="shared" si="0" ref="E10:P10">E12+E130+E134+E142+E150+E154+E158+E163+E168+E181+E188</f>
        <v>-20000</v>
      </c>
      <c r="F10" s="21">
        <f t="shared" si="0"/>
        <v>-5000</v>
      </c>
      <c r="G10" s="21">
        <f t="shared" si="0"/>
        <v>-11241</v>
      </c>
      <c r="H10" s="21">
        <f t="shared" si="0"/>
        <v>-15836</v>
      </c>
      <c r="I10" s="21">
        <f t="shared" si="0"/>
        <v>-5000</v>
      </c>
      <c r="J10" s="21">
        <f t="shared" si="0"/>
        <v>-31635</v>
      </c>
      <c r="K10" s="21">
        <f t="shared" si="0"/>
        <v>-875760</v>
      </c>
      <c r="L10" s="21">
        <f t="shared" si="0"/>
        <v>-311237</v>
      </c>
      <c r="M10" s="21">
        <f t="shared" si="0"/>
        <v>-47625030</v>
      </c>
      <c r="N10" s="21">
        <f t="shared" si="0"/>
        <v>47523398</v>
      </c>
      <c r="O10" s="21">
        <f t="shared" si="0"/>
        <v>3980515</v>
      </c>
      <c r="P10" s="21">
        <f t="shared" si="0"/>
        <v>1689721</v>
      </c>
      <c r="Q10" s="787"/>
    </row>
    <row r="11" spans="1:17" s="22" customFormat="1" ht="12.75" customHeight="1">
      <c r="A11" s="23"/>
      <c r="B11" s="23"/>
      <c r="C11" s="24" t="s">
        <v>358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786"/>
    </row>
    <row r="12" spans="1:17" s="22" customFormat="1" ht="23.25" customHeight="1">
      <c r="A12" s="23"/>
      <c r="B12" s="23"/>
      <c r="C12" s="27" t="s">
        <v>359</v>
      </c>
      <c r="D12" s="28">
        <f>SUM(E12:P12)</f>
        <v>-2110154</v>
      </c>
      <c r="E12" s="29">
        <f>E13+E17+E21+E31+E35+E39+E50+E83+E97</f>
        <v>-20000</v>
      </c>
      <c r="F12" s="29">
        <f>F13+F17+F21+F31+F35+F39+F50+F83+F97</f>
        <v>-5000</v>
      </c>
      <c r="G12" s="29">
        <f aca="true" t="shared" si="1" ref="G12:P12">G13+G17+G21+G31+G35+G39+G50+G83+G97</f>
        <v>-1241</v>
      </c>
      <c r="H12" s="29">
        <f t="shared" si="1"/>
        <v>-5000</v>
      </c>
      <c r="I12" s="29">
        <f t="shared" si="1"/>
        <v>-5000</v>
      </c>
      <c r="J12" s="29">
        <f t="shared" si="1"/>
        <v>-6635</v>
      </c>
      <c r="K12" s="29">
        <f t="shared" si="1"/>
        <v>-609496</v>
      </c>
      <c r="L12" s="29">
        <f t="shared" si="1"/>
        <v>-18952</v>
      </c>
      <c r="M12" s="29">
        <f t="shared" si="1"/>
        <v>-37062952</v>
      </c>
      <c r="N12" s="29">
        <f t="shared" si="1"/>
        <v>32132662</v>
      </c>
      <c r="O12" s="29">
        <f t="shared" si="1"/>
        <v>2522474</v>
      </c>
      <c r="P12" s="29">
        <f t="shared" si="1"/>
        <v>968986</v>
      </c>
      <c r="Q12" s="786"/>
    </row>
    <row r="13" spans="1:18" s="33" customFormat="1" ht="45" customHeight="1">
      <c r="A13" s="30"/>
      <c r="B13" s="30"/>
      <c r="C13" s="31" t="s">
        <v>322</v>
      </c>
      <c r="D13" s="32">
        <f>SUM(E13:P13)</f>
        <v>-40000</v>
      </c>
      <c r="E13" s="32"/>
      <c r="F13" s="32"/>
      <c r="G13" s="32"/>
      <c r="H13" s="32"/>
      <c r="I13" s="32"/>
      <c r="J13" s="32"/>
      <c r="K13" s="32"/>
      <c r="L13" s="32"/>
      <c r="M13" s="32">
        <f>M14</f>
        <v>-40000</v>
      </c>
      <c r="N13" s="32"/>
      <c r="O13" s="32"/>
      <c r="P13" s="32"/>
      <c r="Q13" s="788"/>
      <c r="R13" s="34"/>
    </row>
    <row r="14" spans="1:17" s="22" customFormat="1" ht="21.75" customHeight="1" thickBot="1">
      <c r="A14" s="35"/>
      <c r="B14" s="35"/>
      <c r="C14" s="36" t="s">
        <v>360</v>
      </c>
      <c r="D14" s="37">
        <f>SUM(E14:P14)</f>
        <v>-40000</v>
      </c>
      <c r="E14" s="37"/>
      <c r="F14" s="37"/>
      <c r="G14" s="37"/>
      <c r="H14" s="37"/>
      <c r="I14" s="37"/>
      <c r="J14" s="37"/>
      <c r="K14" s="37"/>
      <c r="L14" s="37"/>
      <c r="M14" s="37">
        <f>M15</f>
        <v>-40000</v>
      </c>
      <c r="N14" s="37"/>
      <c r="O14" s="37"/>
      <c r="P14" s="37"/>
      <c r="Q14" s="786"/>
    </row>
    <row r="15" spans="1:17" s="22" customFormat="1" ht="30" customHeight="1" thickTop="1">
      <c r="A15" s="38">
        <v>754</v>
      </c>
      <c r="B15" s="39"/>
      <c r="C15" s="40" t="s">
        <v>361</v>
      </c>
      <c r="D15" s="41">
        <f>SUM(E15:P15)</f>
        <v>-40000</v>
      </c>
      <c r="E15" s="41"/>
      <c r="F15" s="41"/>
      <c r="G15" s="41"/>
      <c r="H15" s="41"/>
      <c r="I15" s="41"/>
      <c r="J15" s="41"/>
      <c r="K15" s="41"/>
      <c r="L15" s="41"/>
      <c r="M15" s="41">
        <f>M16</f>
        <v>-40000</v>
      </c>
      <c r="N15" s="41"/>
      <c r="O15" s="41"/>
      <c r="P15" s="41"/>
      <c r="Q15" s="786"/>
    </row>
    <row r="16" spans="1:17" s="130" customFormat="1" ht="18.75" customHeight="1">
      <c r="A16" s="42"/>
      <c r="B16" s="420">
        <v>75495</v>
      </c>
      <c r="C16" s="784" t="s">
        <v>366</v>
      </c>
      <c r="D16" s="43">
        <f>SUM(E16:P16)</f>
        <v>-40000</v>
      </c>
      <c r="E16" s="43"/>
      <c r="F16" s="43"/>
      <c r="G16" s="43"/>
      <c r="H16" s="43"/>
      <c r="I16" s="43"/>
      <c r="J16" s="43"/>
      <c r="K16" s="43"/>
      <c r="L16" s="43"/>
      <c r="M16" s="43">
        <v>-40000</v>
      </c>
      <c r="N16" s="43"/>
      <c r="O16" s="43"/>
      <c r="P16" s="43"/>
      <c r="Q16" s="789"/>
    </row>
    <row r="17" spans="1:18" s="33" customFormat="1" ht="17.25" customHeight="1">
      <c r="A17" s="30"/>
      <c r="B17" s="30"/>
      <c r="C17" s="31" t="s">
        <v>27</v>
      </c>
      <c r="D17" s="32">
        <f aca="true" t="shared" si="2" ref="D17:D110">SUM(E17:P17)</f>
        <v>-537856</v>
      </c>
      <c r="E17" s="32"/>
      <c r="F17" s="32"/>
      <c r="G17" s="32"/>
      <c r="H17" s="32"/>
      <c r="I17" s="32"/>
      <c r="J17" s="32"/>
      <c r="K17" s="32"/>
      <c r="L17" s="32"/>
      <c r="M17" s="32"/>
      <c r="N17" s="32">
        <f>N18</f>
        <v>-537856</v>
      </c>
      <c r="O17" s="32"/>
      <c r="P17" s="32"/>
      <c r="Q17" s="788"/>
      <c r="R17" s="34"/>
    </row>
    <row r="18" spans="1:17" s="22" customFormat="1" ht="21.75" customHeight="1" thickBot="1">
      <c r="A18" s="35"/>
      <c r="B18" s="35"/>
      <c r="C18" s="36" t="s">
        <v>360</v>
      </c>
      <c r="D18" s="37">
        <f t="shared" si="2"/>
        <v>-537856</v>
      </c>
      <c r="E18" s="37"/>
      <c r="F18" s="37"/>
      <c r="G18" s="37"/>
      <c r="H18" s="37"/>
      <c r="I18" s="37"/>
      <c r="J18" s="37"/>
      <c r="K18" s="37"/>
      <c r="L18" s="37"/>
      <c r="M18" s="37"/>
      <c r="N18" s="37">
        <f>N19</f>
        <v>-537856</v>
      </c>
      <c r="O18" s="37"/>
      <c r="P18" s="37"/>
      <c r="Q18" s="786"/>
    </row>
    <row r="19" spans="1:17" s="22" customFormat="1" ht="21.75" customHeight="1" thickTop="1">
      <c r="A19" s="38">
        <v>758</v>
      </c>
      <c r="B19" s="39"/>
      <c r="C19" s="40" t="s">
        <v>362</v>
      </c>
      <c r="D19" s="41">
        <f t="shared" si="2"/>
        <v>-537856</v>
      </c>
      <c r="E19" s="41"/>
      <c r="F19" s="41"/>
      <c r="G19" s="41"/>
      <c r="H19" s="41"/>
      <c r="I19" s="41"/>
      <c r="J19" s="41"/>
      <c r="K19" s="41"/>
      <c r="L19" s="41"/>
      <c r="M19" s="41"/>
      <c r="N19" s="41">
        <f>N20</f>
        <v>-537856</v>
      </c>
      <c r="O19" s="41"/>
      <c r="P19" s="41"/>
      <c r="Q19" s="786"/>
    </row>
    <row r="20" spans="1:17" s="130" customFormat="1" ht="18.75" customHeight="1">
      <c r="A20" s="42"/>
      <c r="B20" s="420">
        <v>75818</v>
      </c>
      <c r="C20" s="129" t="s">
        <v>363</v>
      </c>
      <c r="D20" s="43">
        <f t="shared" si="2"/>
        <v>-537856</v>
      </c>
      <c r="E20" s="43"/>
      <c r="F20" s="43"/>
      <c r="G20" s="43"/>
      <c r="H20" s="43"/>
      <c r="I20" s="43"/>
      <c r="J20" s="43"/>
      <c r="K20" s="43"/>
      <c r="L20" s="43"/>
      <c r="M20" s="43"/>
      <c r="N20" s="43">
        <f>-59000-205066-5000-268790</f>
        <v>-537856</v>
      </c>
      <c r="O20" s="43"/>
      <c r="P20" s="43"/>
      <c r="Q20" s="789"/>
    </row>
    <row r="21" spans="1:18" s="33" customFormat="1" ht="18.75" customHeight="1">
      <c r="A21" s="30"/>
      <c r="B21" s="30"/>
      <c r="C21" s="31" t="s">
        <v>546</v>
      </c>
      <c r="D21" s="32">
        <f aca="true" t="shared" si="3" ref="D21:D27">SUM(E21:P21)</f>
        <v>1574500</v>
      </c>
      <c r="E21" s="32">
        <f>E22+E28</f>
        <v>-20000</v>
      </c>
      <c r="F21" s="32"/>
      <c r="G21" s="32"/>
      <c r="H21" s="32"/>
      <c r="I21" s="32"/>
      <c r="J21" s="32"/>
      <c r="K21" s="32"/>
      <c r="L21" s="32"/>
      <c r="M21" s="32"/>
      <c r="N21" s="32">
        <f>N22+N28</f>
        <v>20000</v>
      </c>
      <c r="O21" s="32">
        <f>O22+O28</f>
        <v>20000</v>
      </c>
      <c r="P21" s="32">
        <f>P22+P28</f>
        <v>1554500</v>
      </c>
      <c r="Q21" s="788"/>
      <c r="R21" s="34"/>
    </row>
    <row r="22" spans="1:17" s="22" customFormat="1" ht="21.75" customHeight="1" thickBot="1">
      <c r="A22" s="35"/>
      <c r="B22" s="35"/>
      <c r="C22" s="36" t="s">
        <v>360</v>
      </c>
      <c r="D22" s="37">
        <f t="shared" si="3"/>
        <v>1544500</v>
      </c>
      <c r="E22" s="37">
        <f>E23+E25</f>
        <v>-20000</v>
      </c>
      <c r="F22" s="37"/>
      <c r="G22" s="37"/>
      <c r="H22" s="37"/>
      <c r="I22" s="37"/>
      <c r="J22" s="37"/>
      <c r="K22" s="37"/>
      <c r="L22" s="37"/>
      <c r="M22" s="37"/>
      <c r="N22" s="37">
        <f>N23+N25</f>
        <v>20000</v>
      </c>
      <c r="O22" s="37"/>
      <c r="P22" s="37">
        <f>P23+P25</f>
        <v>1544500</v>
      </c>
      <c r="Q22" s="786"/>
    </row>
    <row r="23" spans="1:17" s="22" customFormat="1" ht="21.75" customHeight="1" thickTop="1">
      <c r="A23" s="38">
        <v>600</v>
      </c>
      <c r="B23" s="39"/>
      <c r="C23" s="40" t="s">
        <v>364</v>
      </c>
      <c r="D23" s="41">
        <f t="shared" si="3"/>
        <v>1544500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>
        <f>P24</f>
        <v>1544500</v>
      </c>
      <c r="Q23" s="786"/>
    </row>
    <row r="24" spans="1:17" s="130" customFormat="1" ht="21.75" customHeight="1">
      <c r="A24" s="42"/>
      <c r="B24" s="420">
        <v>60015</v>
      </c>
      <c r="C24" s="129" t="s">
        <v>712</v>
      </c>
      <c r="D24" s="43">
        <f t="shared" si="3"/>
        <v>1544500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v>1544500</v>
      </c>
      <c r="Q24" s="789"/>
    </row>
    <row r="25" spans="1:17" s="22" customFormat="1" ht="30" customHeight="1">
      <c r="A25" s="38">
        <v>900</v>
      </c>
      <c r="B25" s="39"/>
      <c r="C25" s="40" t="s">
        <v>600</v>
      </c>
      <c r="D25" s="41">
        <f t="shared" si="3"/>
        <v>0</v>
      </c>
      <c r="E25" s="41">
        <f>SUM(E26:E27)</f>
        <v>-20000</v>
      </c>
      <c r="F25" s="41"/>
      <c r="G25" s="41"/>
      <c r="H25" s="41"/>
      <c r="I25" s="41"/>
      <c r="J25" s="41"/>
      <c r="K25" s="41"/>
      <c r="L25" s="41"/>
      <c r="M25" s="41"/>
      <c r="N25" s="41">
        <f>SUM(N26:N27)</f>
        <v>20000</v>
      </c>
      <c r="O25" s="41"/>
      <c r="P25" s="41"/>
      <c r="Q25" s="786"/>
    </row>
    <row r="26" spans="1:17" s="130" customFormat="1" ht="21.75" customHeight="1">
      <c r="A26" s="42"/>
      <c r="B26" s="420">
        <v>90003</v>
      </c>
      <c r="C26" s="129" t="s">
        <v>802</v>
      </c>
      <c r="D26" s="43">
        <f t="shared" si="3"/>
        <v>-20000</v>
      </c>
      <c r="E26" s="43">
        <v>-20000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789"/>
    </row>
    <row r="27" spans="1:17" s="130" customFormat="1" ht="21.75" customHeight="1">
      <c r="A27" s="42"/>
      <c r="B27" s="420">
        <v>90095</v>
      </c>
      <c r="C27" s="129" t="s">
        <v>366</v>
      </c>
      <c r="D27" s="43">
        <f t="shared" si="3"/>
        <v>20000</v>
      </c>
      <c r="E27" s="43"/>
      <c r="F27" s="43"/>
      <c r="G27" s="43"/>
      <c r="H27" s="43"/>
      <c r="I27" s="43"/>
      <c r="J27" s="43"/>
      <c r="K27" s="43"/>
      <c r="L27" s="43"/>
      <c r="M27" s="43"/>
      <c r="N27" s="43">
        <v>20000</v>
      </c>
      <c r="O27" s="43"/>
      <c r="P27" s="43"/>
      <c r="Q27" s="789"/>
    </row>
    <row r="28" spans="1:17" s="22" customFormat="1" ht="30.75" customHeight="1" thickBot="1">
      <c r="A28" s="35"/>
      <c r="B28" s="35"/>
      <c r="C28" s="36" t="s">
        <v>847</v>
      </c>
      <c r="D28" s="37">
        <f aca="true" t="shared" si="4" ref="D28:D34">SUM(E28:P28)</f>
        <v>30000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>
        <f>O29</f>
        <v>20000</v>
      </c>
      <c r="P28" s="37">
        <f>P29</f>
        <v>10000</v>
      </c>
      <c r="Q28" s="786"/>
    </row>
    <row r="29" spans="1:17" s="22" customFormat="1" ht="21" customHeight="1" thickTop="1">
      <c r="A29" s="38">
        <v>710</v>
      </c>
      <c r="B29" s="39"/>
      <c r="C29" s="40" t="s">
        <v>756</v>
      </c>
      <c r="D29" s="41">
        <f>SUM(E29:P29)</f>
        <v>30000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f>O30</f>
        <v>20000</v>
      </c>
      <c r="P29" s="41">
        <f>P30</f>
        <v>10000</v>
      </c>
      <c r="Q29" s="786"/>
    </row>
    <row r="30" spans="1:17" s="130" customFormat="1" ht="19.5" customHeight="1">
      <c r="A30" s="42"/>
      <c r="B30" s="420">
        <v>71035</v>
      </c>
      <c r="C30" s="129" t="s">
        <v>332</v>
      </c>
      <c r="D30" s="43">
        <f>SUM(E30:P30)</f>
        <v>30000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20000</v>
      </c>
      <c r="P30" s="43">
        <v>10000</v>
      </c>
      <c r="Q30" s="789"/>
    </row>
    <row r="31" spans="1:18" s="33" customFormat="1" ht="30" customHeight="1">
      <c r="A31" s="30"/>
      <c r="B31" s="30"/>
      <c r="C31" s="31" t="s">
        <v>2</v>
      </c>
      <c r="D31" s="32">
        <f t="shared" si="4"/>
        <v>59000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>
        <f>O32</f>
        <v>59000</v>
      </c>
      <c r="P31" s="32"/>
      <c r="Q31" s="788"/>
      <c r="R31" s="34"/>
    </row>
    <row r="32" spans="1:17" s="22" customFormat="1" ht="21.75" customHeight="1" thickBot="1">
      <c r="A32" s="35"/>
      <c r="B32" s="35"/>
      <c r="C32" s="36" t="s">
        <v>360</v>
      </c>
      <c r="D32" s="37">
        <f t="shared" si="4"/>
        <v>59000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>
        <f>O33</f>
        <v>59000</v>
      </c>
      <c r="P32" s="37"/>
      <c r="Q32" s="786"/>
    </row>
    <row r="33" spans="1:17" s="22" customFormat="1" ht="18.75" customHeight="1" thickTop="1">
      <c r="A33" s="38">
        <v>750</v>
      </c>
      <c r="B33" s="39"/>
      <c r="C33" s="40" t="s">
        <v>371</v>
      </c>
      <c r="D33" s="41">
        <f t="shared" si="4"/>
        <v>59000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>
        <f>O34</f>
        <v>59000</v>
      </c>
      <c r="P33" s="41"/>
      <c r="Q33" s="786"/>
    </row>
    <row r="34" spans="1:17" s="130" customFormat="1" ht="24.75" customHeight="1">
      <c r="A34" s="42"/>
      <c r="B34" s="420">
        <v>75023</v>
      </c>
      <c r="C34" s="474" t="s">
        <v>386</v>
      </c>
      <c r="D34" s="43">
        <f t="shared" si="4"/>
        <v>59000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>
        <v>59000</v>
      </c>
      <c r="P34" s="43"/>
      <c r="Q34" s="789"/>
    </row>
    <row r="35" spans="1:18" s="33" customFormat="1" ht="18.75" customHeight="1">
      <c r="A35" s="30"/>
      <c r="B35" s="30"/>
      <c r="C35" s="31" t="s">
        <v>547</v>
      </c>
      <c r="D35" s="32">
        <f>SUM(E35:P35)</f>
        <v>205066</v>
      </c>
      <c r="E35" s="32"/>
      <c r="F35" s="32"/>
      <c r="G35" s="32"/>
      <c r="H35" s="32"/>
      <c r="I35" s="32"/>
      <c r="J35" s="32"/>
      <c r="K35" s="32"/>
      <c r="L35" s="32"/>
      <c r="M35" s="32"/>
      <c r="N35" s="32">
        <f>N36</f>
        <v>205066</v>
      </c>
      <c r="O35" s="32"/>
      <c r="P35" s="32"/>
      <c r="Q35" s="788"/>
      <c r="R35" s="34"/>
    </row>
    <row r="36" spans="1:17" s="22" customFormat="1" ht="21.75" customHeight="1" thickBot="1">
      <c r="A36" s="35"/>
      <c r="B36" s="35"/>
      <c r="C36" s="36" t="s">
        <v>360</v>
      </c>
      <c r="D36" s="37">
        <f>SUM(E36:P36)</f>
        <v>205066</v>
      </c>
      <c r="E36" s="37"/>
      <c r="F36" s="37"/>
      <c r="G36" s="37"/>
      <c r="H36" s="37"/>
      <c r="I36" s="37"/>
      <c r="J36" s="37"/>
      <c r="K36" s="37"/>
      <c r="L36" s="37"/>
      <c r="M36" s="37"/>
      <c r="N36" s="37">
        <f>N37</f>
        <v>205066</v>
      </c>
      <c r="O36" s="37"/>
      <c r="P36" s="37"/>
      <c r="Q36" s="786"/>
    </row>
    <row r="37" spans="1:17" s="22" customFormat="1" ht="32.25" thickTop="1">
      <c r="A37" s="38">
        <v>900</v>
      </c>
      <c r="B37" s="39"/>
      <c r="C37" s="40" t="s">
        <v>600</v>
      </c>
      <c r="D37" s="41">
        <f>SUM(E37:P37)</f>
        <v>205066</v>
      </c>
      <c r="E37" s="41"/>
      <c r="F37" s="41"/>
      <c r="G37" s="41"/>
      <c r="H37" s="41"/>
      <c r="I37" s="41"/>
      <c r="J37" s="41"/>
      <c r="K37" s="41"/>
      <c r="L37" s="41"/>
      <c r="M37" s="41"/>
      <c r="N37" s="41">
        <f>N38</f>
        <v>205066</v>
      </c>
      <c r="O37" s="41"/>
      <c r="P37" s="41"/>
      <c r="Q37" s="786"/>
    </row>
    <row r="38" spans="1:17" s="130" customFormat="1" ht="20.25" customHeight="1">
      <c r="A38" s="42"/>
      <c r="B38" s="420">
        <v>90002</v>
      </c>
      <c r="C38" s="474" t="s">
        <v>801</v>
      </c>
      <c r="D38" s="43">
        <f>SUM(E38:P38)</f>
        <v>205066</v>
      </c>
      <c r="E38" s="43"/>
      <c r="F38" s="43"/>
      <c r="G38" s="43"/>
      <c r="H38" s="43"/>
      <c r="I38" s="43"/>
      <c r="J38" s="43"/>
      <c r="K38" s="43"/>
      <c r="L38" s="43"/>
      <c r="M38" s="43"/>
      <c r="N38" s="43">
        <v>205066</v>
      </c>
      <c r="O38" s="43"/>
      <c r="P38" s="43"/>
      <c r="Q38" s="789"/>
    </row>
    <row r="39" spans="1:18" s="33" customFormat="1" ht="21" customHeight="1">
      <c r="A39" s="30"/>
      <c r="B39" s="30"/>
      <c r="C39" s="31" t="s">
        <v>314</v>
      </c>
      <c r="D39" s="32">
        <f t="shared" si="2"/>
        <v>682874</v>
      </c>
      <c r="E39" s="32"/>
      <c r="F39" s="32"/>
      <c r="G39" s="32"/>
      <c r="H39" s="32"/>
      <c r="I39" s="32"/>
      <c r="J39" s="32">
        <f>J40+J47</f>
        <v>-4500</v>
      </c>
      <c r="K39" s="32"/>
      <c r="L39" s="32">
        <f>L40+L47</f>
        <v>-3384</v>
      </c>
      <c r="M39" s="32"/>
      <c r="N39" s="32">
        <f>N40+N47</f>
        <v>3173</v>
      </c>
      <c r="O39" s="32">
        <f>O40+O47</f>
        <v>904385</v>
      </c>
      <c r="P39" s="32">
        <f>P40+P47</f>
        <v>-216800</v>
      </c>
      <c r="Q39" s="788"/>
      <c r="R39" s="34"/>
    </row>
    <row r="40" spans="1:17" s="130" customFormat="1" ht="21.75" customHeight="1" thickBot="1">
      <c r="A40" s="44"/>
      <c r="B40" s="44"/>
      <c r="C40" s="134" t="s">
        <v>360</v>
      </c>
      <c r="D40" s="135">
        <f>SUM(E40:P40)</f>
        <v>-224684</v>
      </c>
      <c r="E40" s="135"/>
      <c r="F40" s="135"/>
      <c r="G40" s="135"/>
      <c r="H40" s="135"/>
      <c r="I40" s="135"/>
      <c r="J40" s="135">
        <f>J41+J44</f>
        <v>-4500</v>
      </c>
      <c r="K40" s="135"/>
      <c r="L40" s="135">
        <f>L41+L44</f>
        <v>-3384</v>
      </c>
      <c r="M40" s="135"/>
      <c r="N40" s="135"/>
      <c r="O40" s="135"/>
      <c r="P40" s="135">
        <f>P41+P44</f>
        <v>-216800</v>
      </c>
      <c r="Q40" s="789"/>
    </row>
    <row r="41" spans="1:17" s="22" customFormat="1" ht="21.75" customHeight="1" thickTop="1">
      <c r="A41" s="38">
        <v>801</v>
      </c>
      <c r="B41" s="39"/>
      <c r="C41" s="40" t="s">
        <v>367</v>
      </c>
      <c r="D41" s="41">
        <f t="shared" si="2"/>
        <v>-216800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>
        <f>P42</f>
        <v>-216800</v>
      </c>
      <c r="Q41" s="786"/>
    </row>
    <row r="42" spans="1:17" s="130" customFormat="1" ht="21.75" customHeight="1">
      <c r="A42" s="222"/>
      <c r="B42" s="222">
        <v>80101</v>
      </c>
      <c r="C42" s="129" t="s">
        <v>706</v>
      </c>
      <c r="D42" s="43">
        <f t="shared" si="2"/>
        <v>-216800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f>-95000-121800</f>
        <v>-216800</v>
      </c>
      <c r="Q42" s="789"/>
    </row>
    <row r="43" spans="1:17" s="130" customFormat="1" ht="21.75" customHeight="1">
      <c r="A43" s="1590"/>
      <c r="B43" s="1590"/>
      <c r="C43" s="1591"/>
      <c r="D43" s="1592"/>
      <c r="E43" s="1592"/>
      <c r="F43" s="1592"/>
      <c r="G43" s="1592"/>
      <c r="H43" s="1592"/>
      <c r="I43" s="1592"/>
      <c r="J43" s="1592"/>
      <c r="K43" s="1592"/>
      <c r="L43" s="1592"/>
      <c r="M43" s="1592"/>
      <c r="N43" s="1592"/>
      <c r="O43" s="1592"/>
      <c r="P43" s="1592"/>
      <c r="Q43" s="789"/>
    </row>
    <row r="44" spans="1:17" s="22" customFormat="1" ht="21.75" customHeight="1">
      <c r="A44" s="41">
        <v>854</v>
      </c>
      <c r="B44" s="39"/>
      <c r="C44" s="40" t="s">
        <v>369</v>
      </c>
      <c r="D44" s="41">
        <f t="shared" si="2"/>
        <v>-7884</v>
      </c>
      <c r="E44" s="41"/>
      <c r="F44" s="41"/>
      <c r="G44" s="41"/>
      <c r="H44" s="41"/>
      <c r="I44" s="41"/>
      <c r="J44" s="41">
        <f>SUM(J45:J46)</f>
        <v>-4500</v>
      </c>
      <c r="K44" s="41"/>
      <c r="L44" s="41">
        <f>SUM(L45:L46)</f>
        <v>-3384</v>
      </c>
      <c r="M44" s="41"/>
      <c r="N44" s="41"/>
      <c r="O44" s="41"/>
      <c r="P44" s="41"/>
      <c r="Q44" s="786"/>
    </row>
    <row r="45" spans="1:17" s="130" customFormat="1" ht="21.75" customHeight="1">
      <c r="A45" s="221"/>
      <c r="B45" s="222">
        <v>85407</v>
      </c>
      <c r="C45" s="129" t="s">
        <v>709</v>
      </c>
      <c r="D45" s="43">
        <f t="shared" si="2"/>
        <v>-4500</v>
      </c>
      <c r="E45" s="43"/>
      <c r="F45" s="43"/>
      <c r="G45" s="43"/>
      <c r="H45" s="43"/>
      <c r="I45" s="43"/>
      <c r="J45" s="43">
        <v>-4500</v>
      </c>
      <c r="K45" s="43"/>
      <c r="L45" s="43"/>
      <c r="M45" s="43"/>
      <c r="N45" s="43"/>
      <c r="O45" s="43"/>
      <c r="P45" s="43"/>
      <c r="Q45" s="789"/>
    </row>
    <row r="46" spans="1:17" s="130" customFormat="1" ht="21.75" customHeight="1">
      <c r="A46" s="42"/>
      <c r="B46" s="222">
        <v>85410</v>
      </c>
      <c r="C46" s="129" t="s">
        <v>732</v>
      </c>
      <c r="D46" s="43">
        <f t="shared" si="2"/>
        <v>-3384</v>
      </c>
      <c r="E46" s="43"/>
      <c r="F46" s="43"/>
      <c r="G46" s="43"/>
      <c r="H46" s="43"/>
      <c r="I46" s="43"/>
      <c r="J46" s="43"/>
      <c r="K46" s="43"/>
      <c r="L46" s="43">
        <v>-3384</v>
      </c>
      <c r="M46" s="43"/>
      <c r="N46" s="43"/>
      <c r="O46" s="43"/>
      <c r="P46" s="43"/>
      <c r="Q46" s="789"/>
    </row>
    <row r="47" spans="1:17" s="130" customFormat="1" ht="36" customHeight="1" thickBot="1">
      <c r="A47" s="44"/>
      <c r="B47" s="44"/>
      <c r="C47" s="36" t="s">
        <v>398</v>
      </c>
      <c r="D47" s="135">
        <f>SUM(E47:P47)</f>
        <v>907558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>
        <f>N48</f>
        <v>3173</v>
      </c>
      <c r="O47" s="135">
        <f>O48</f>
        <v>904385</v>
      </c>
      <c r="P47" s="135"/>
      <c r="Q47" s="789"/>
    </row>
    <row r="48" spans="1:17" s="22" customFormat="1" ht="48" thickTop="1">
      <c r="A48" s="41">
        <v>751</v>
      </c>
      <c r="B48" s="38"/>
      <c r="C48" s="311" t="s">
        <v>624</v>
      </c>
      <c r="D48" s="41">
        <f>SUM(E48:P48)</f>
        <v>907558</v>
      </c>
      <c r="E48" s="41"/>
      <c r="F48" s="41"/>
      <c r="G48" s="41"/>
      <c r="H48" s="41"/>
      <c r="I48" s="41"/>
      <c r="J48" s="41"/>
      <c r="K48" s="41"/>
      <c r="L48" s="41"/>
      <c r="M48" s="41"/>
      <c r="N48" s="41">
        <f>N49</f>
        <v>3173</v>
      </c>
      <c r="O48" s="41">
        <f>O49</f>
        <v>904385</v>
      </c>
      <c r="P48" s="41"/>
      <c r="Q48" s="786"/>
    </row>
    <row r="49" spans="1:17" s="130" customFormat="1" ht="60.75">
      <c r="A49" s="221"/>
      <c r="B49" s="222">
        <v>75109</v>
      </c>
      <c r="C49" s="955" t="s">
        <v>625</v>
      </c>
      <c r="D49" s="43">
        <f>SUM(E49:P49)</f>
        <v>907558</v>
      </c>
      <c r="E49" s="43"/>
      <c r="F49" s="43"/>
      <c r="G49" s="43"/>
      <c r="H49" s="43"/>
      <c r="I49" s="43"/>
      <c r="J49" s="43"/>
      <c r="K49" s="43"/>
      <c r="L49" s="43"/>
      <c r="M49" s="43"/>
      <c r="N49" s="43">
        <v>3173</v>
      </c>
      <c r="O49" s="43">
        <v>904385</v>
      </c>
      <c r="P49" s="43"/>
      <c r="Q49" s="789"/>
    </row>
    <row r="50" spans="1:17" s="133" customFormat="1" ht="21.75" customHeight="1">
      <c r="A50" s="42"/>
      <c r="B50" s="42"/>
      <c r="C50" s="131" t="s">
        <v>319</v>
      </c>
      <c r="D50" s="132">
        <f t="shared" si="2"/>
        <v>-4065738</v>
      </c>
      <c r="E50" s="132"/>
      <c r="F50" s="132">
        <f>F51+F80</f>
        <v>-5000</v>
      </c>
      <c r="G50" s="132"/>
      <c r="H50" s="132">
        <f>H51+H80</f>
        <v>-5000</v>
      </c>
      <c r="I50" s="132">
        <f>I51+I80</f>
        <v>-5000</v>
      </c>
      <c r="J50" s="132"/>
      <c r="K50" s="132">
        <f>K51+K80</f>
        <v>-608196</v>
      </c>
      <c r="L50" s="132"/>
      <c r="M50" s="132">
        <f>M51+M80</f>
        <v>-403314</v>
      </c>
      <c r="N50" s="132">
        <f>N51+N80</f>
        <v>-3589807</v>
      </c>
      <c r="O50" s="132">
        <f>O51+O80</f>
        <v>945511</v>
      </c>
      <c r="P50" s="132">
        <f>P51+P80</f>
        <v>-394932</v>
      </c>
      <c r="Q50" s="790"/>
    </row>
    <row r="51" spans="1:17" s="130" customFormat="1" ht="21.75" customHeight="1" thickBot="1">
      <c r="A51" s="44"/>
      <c r="B51" s="44"/>
      <c r="C51" s="134" t="s">
        <v>360</v>
      </c>
      <c r="D51" s="135">
        <f t="shared" si="2"/>
        <v>-4065738</v>
      </c>
      <c r="E51" s="135"/>
      <c r="F51" s="135">
        <f>F52+F70+F72</f>
        <v>-5000</v>
      </c>
      <c r="G51" s="135"/>
      <c r="H51" s="135">
        <f>H52+H70+H72</f>
        <v>-5000</v>
      </c>
      <c r="I51" s="135">
        <f>I52+I70+I72</f>
        <v>-5000</v>
      </c>
      <c r="J51" s="135"/>
      <c r="K51" s="135">
        <f>K52+K70+K72</f>
        <v>-608196</v>
      </c>
      <c r="L51" s="135"/>
      <c r="M51" s="135">
        <f>M52+M70+M72</f>
        <v>-403314</v>
      </c>
      <c r="N51" s="135">
        <f>N52+N70+N72</f>
        <v>-3580647</v>
      </c>
      <c r="O51" s="135">
        <f>O52+O70+O72</f>
        <v>926351</v>
      </c>
      <c r="P51" s="135">
        <f>P52+P70+P72</f>
        <v>-384932</v>
      </c>
      <c r="Q51" s="789"/>
    </row>
    <row r="52" spans="1:17" s="22" customFormat="1" ht="21.75" customHeight="1" thickTop="1">
      <c r="A52" s="38">
        <v>801</v>
      </c>
      <c r="B52" s="39"/>
      <c r="C52" s="40" t="s">
        <v>367</v>
      </c>
      <c r="D52" s="41">
        <f t="shared" si="2"/>
        <v>-4383459</v>
      </c>
      <c r="E52" s="41"/>
      <c r="F52" s="41">
        <f>SUM(F53:F69)</f>
        <v>-5000</v>
      </c>
      <c r="G52" s="41"/>
      <c r="H52" s="41">
        <f>SUM(H53:H69)</f>
        <v>-5000</v>
      </c>
      <c r="I52" s="41">
        <f>SUM(I53:I69)</f>
        <v>-5000</v>
      </c>
      <c r="J52" s="41"/>
      <c r="K52" s="41">
        <f>SUM(K53:K69)</f>
        <v>-608196</v>
      </c>
      <c r="L52" s="41"/>
      <c r="M52" s="41">
        <f>SUM(M53:M69)</f>
        <v>-95043</v>
      </c>
      <c r="N52" s="41">
        <f>SUM(N53:N69)</f>
        <v>-3473182</v>
      </c>
      <c r="O52" s="41">
        <f>SUM(O53:O69)</f>
        <v>76604</v>
      </c>
      <c r="P52" s="41">
        <f>SUM(P53:P69)</f>
        <v>-268642</v>
      </c>
      <c r="Q52" s="786"/>
    </row>
    <row r="53" spans="1:17" s="130" customFormat="1" ht="21.75" customHeight="1">
      <c r="A53" s="221"/>
      <c r="B53" s="222">
        <v>80101</v>
      </c>
      <c r="C53" s="129" t="s">
        <v>706</v>
      </c>
      <c r="D53" s="43">
        <f t="shared" si="2"/>
        <v>-771401</v>
      </c>
      <c r="E53" s="43"/>
      <c r="F53" s="43"/>
      <c r="G53" s="43"/>
      <c r="H53" s="43"/>
      <c r="I53" s="43"/>
      <c r="J53" s="43"/>
      <c r="K53" s="43"/>
      <c r="L53" s="43"/>
      <c r="M53" s="43"/>
      <c r="N53" s="43">
        <v>-335365</v>
      </c>
      <c r="O53" s="43">
        <v>-170123</v>
      </c>
      <c r="P53" s="43">
        <v>-265913</v>
      </c>
      <c r="Q53" s="789"/>
    </row>
    <row r="54" spans="1:17" s="130" customFormat="1" ht="21.75" customHeight="1">
      <c r="A54" s="42"/>
      <c r="B54" s="222">
        <v>80102</v>
      </c>
      <c r="C54" s="129" t="s">
        <v>809</v>
      </c>
      <c r="D54" s="43">
        <f t="shared" si="2"/>
        <v>-239837</v>
      </c>
      <c r="E54" s="43"/>
      <c r="F54" s="43"/>
      <c r="G54" s="43"/>
      <c r="H54" s="43"/>
      <c r="I54" s="43"/>
      <c r="J54" s="43"/>
      <c r="K54" s="43"/>
      <c r="L54" s="43"/>
      <c r="M54" s="43"/>
      <c r="N54" s="43">
        <v>-239837</v>
      </c>
      <c r="O54" s="43"/>
      <c r="P54" s="43"/>
      <c r="Q54" s="789"/>
    </row>
    <row r="55" spans="1:17" s="130" customFormat="1" ht="33.75" customHeight="1">
      <c r="A55" s="42"/>
      <c r="B55" s="222">
        <v>80103</v>
      </c>
      <c r="C55" s="129" t="s">
        <v>808</v>
      </c>
      <c r="D55" s="43">
        <f t="shared" si="2"/>
        <v>-25590</v>
      </c>
      <c r="E55" s="43"/>
      <c r="F55" s="43"/>
      <c r="G55" s="43"/>
      <c r="H55" s="43"/>
      <c r="I55" s="43"/>
      <c r="J55" s="43"/>
      <c r="K55" s="43"/>
      <c r="L55" s="43"/>
      <c r="M55" s="43"/>
      <c r="N55" s="43">
        <v>-15590</v>
      </c>
      <c r="O55" s="43">
        <v>-10000</v>
      </c>
      <c r="P55" s="43"/>
      <c r="Q55" s="789"/>
    </row>
    <row r="56" spans="1:17" s="130" customFormat="1" ht="21.75" customHeight="1">
      <c r="A56" s="42"/>
      <c r="B56" s="222">
        <v>80104</v>
      </c>
      <c r="C56" s="129" t="s">
        <v>704</v>
      </c>
      <c r="D56" s="43">
        <f t="shared" si="2"/>
        <v>-608196</v>
      </c>
      <c r="E56" s="43"/>
      <c r="F56" s="43"/>
      <c r="G56" s="43"/>
      <c r="H56" s="43"/>
      <c r="I56" s="43"/>
      <c r="J56" s="43"/>
      <c r="K56" s="43">
        <v>-608196</v>
      </c>
      <c r="L56" s="43"/>
      <c r="M56" s="43"/>
      <c r="N56" s="43">
        <v>154</v>
      </c>
      <c r="O56" s="43">
        <v>1309</v>
      </c>
      <c r="P56" s="43">
        <v>-1463</v>
      </c>
      <c r="Q56" s="789"/>
    </row>
    <row r="57" spans="1:17" s="130" customFormat="1" ht="21.75" customHeight="1">
      <c r="A57" s="42"/>
      <c r="B57" s="222">
        <v>80110</v>
      </c>
      <c r="C57" s="129" t="s">
        <v>707</v>
      </c>
      <c r="D57" s="43">
        <f t="shared" si="2"/>
        <v>-1758048</v>
      </c>
      <c r="E57" s="43"/>
      <c r="F57" s="43"/>
      <c r="G57" s="43"/>
      <c r="H57" s="43"/>
      <c r="I57" s="43"/>
      <c r="J57" s="43"/>
      <c r="K57" s="43"/>
      <c r="L57" s="43"/>
      <c r="M57" s="43"/>
      <c r="N57" s="43">
        <v>-1666986</v>
      </c>
      <c r="O57" s="43">
        <v>20775</v>
      </c>
      <c r="P57" s="43">
        <v>-111837</v>
      </c>
      <c r="Q57" s="789"/>
    </row>
    <row r="58" spans="1:17" s="130" customFormat="1" ht="21.75" customHeight="1">
      <c r="A58" s="42"/>
      <c r="B58" s="222">
        <v>80111</v>
      </c>
      <c r="C58" s="129" t="s">
        <v>833</v>
      </c>
      <c r="D58" s="43">
        <f t="shared" si="2"/>
        <v>-44000</v>
      </c>
      <c r="E58" s="43"/>
      <c r="F58" s="43"/>
      <c r="G58" s="43"/>
      <c r="H58" s="43"/>
      <c r="I58" s="43"/>
      <c r="J58" s="43"/>
      <c r="K58" s="43"/>
      <c r="L58" s="43"/>
      <c r="M58" s="43"/>
      <c r="N58" s="43">
        <v>-44000</v>
      </c>
      <c r="O58" s="43"/>
      <c r="P58" s="43"/>
      <c r="Q58" s="789"/>
    </row>
    <row r="59" spans="1:17" s="130" customFormat="1" ht="21.75" customHeight="1">
      <c r="A59" s="42"/>
      <c r="B59" s="222">
        <v>80113</v>
      </c>
      <c r="C59" s="129" t="s">
        <v>834</v>
      </c>
      <c r="D59" s="43">
        <f t="shared" si="2"/>
        <v>-38000</v>
      </c>
      <c r="E59" s="43"/>
      <c r="F59" s="43">
        <v>-5000</v>
      </c>
      <c r="G59" s="43"/>
      <c r="H59" s="43">
        <v>-5000</v>
      </c>
      <c r="I59" s="43">
        <v>-5000</v>
      </c>
      <c r="J59" s="43"/>
      <c r="K59" s="43"/>
      <c r="L59" s="43"/>
      <c r="M59" s="43">
        <v>-5000</v>
      </c>
      <c r="N59" s="43">
        <v>-18000</v>
      </c>
      <c r="O59" s="43"/>
      <c r="P59" s="43"/>
      <c r="Q59" s="789"/>
    </row>
    <row r="60" spans="1:17" s="130" customFormat="1" ht="21.75" customHeight="1">
      <c r="A60" s="42"/>
      <c r="B60" s="222">
        <v>80120</v>
      </c>
      <c r="C60" s="129" t="s">
        <v>708</v>
      </c>
      <c r="D60" s="43">
        <f t="shared" si="2"/>
        <v>-373600</v>
      </c>
      <c r="E60" s="43"/>
      <c r="F60" s="43"/>
      <c r="G60" s="43"/>
      <c r="H60" s="43"/>
      <c r="I60" s="43"/>
      <c r="J60" s="43"/>
      <c r="K60" s="43"/>
      <c r="L60" s="43"/>
      <c r="M60" s="43"/>
      <c r="N60" s="43">
        <v>-443162</v>
      </c>
      <c r="O60" s="43">
        <v>114171</v>
      </c>
      <c r="P60" s="43">
        <v>-44609</v>
      </c>
      <c r="Q60" s="789"/>
    </row>
    <row r="61" spans="1:17" s="130" customFormat="1" ht="21.75" customHeight="1">
      <c r="A61" s="42"/>
      <c r="B61" s="222">
        <v>80123</v>
      </c>
      <c r="C61" s="129" t="s">
        <v>836</v>
      </c>
      <c r="D61" s="43">
        <f t="shared" si="2"/>
        <v>-56800</v>
      </c>
      <c r="E61" s="43"/>
      <c r="F61" s="43"/>
      <c r="G61" s="43"/>
      <c r="H61" s="43"/>
      <c r="I61" s="43"/>
      <c r="J61" s="43"/>
      <c r="K61" s="43"/>
      <c r="L61" s="43"/>
      <c r="M61" s="43"/>
      <c r="N61" s="43">
        <v>-55112</v>
      </c>
      <c r="O61" s="43"/>
      <c r="P61" s="43">
        <v>-1688</v>
      </c>
      <c r="Q61" s="789"/>
    </row>
    <row r="62" spans="1:17" s="130" customFormat="1" ht="21.75" customHeight="1">
      <c r="A62" s="42"/>
      <c r="B62" s="222">
        <v>80130</v>
      </c>
      <c r="C62" s="129" t="s">
        <v>414</v>
      </c>
      <c r="D62" s="43">
        <f t="shared" si="2"/>
        <v>-78246</v>
      </c>
      <c r="E62" s="43"/>
      <c r="F62" s="43"/>
      <c r="G62" s="43"/>
      <c r="H62" s="43"/>
      <c r="I62" s="43"/>
      <c r="J62" s="43"/>
      <c r="K62" s="43"/>
      <c r="L62" s="43"/>
      <c r="M62" s="43"/>
      <c r="N62" s="43">
        <v>-386736</v>
      </c>
      <c r="O62" s="43">
        <v>150472</v>
      </c>
      <c r="P62" s="43">
        <v>158018</v>
      </c>
      <c r="Q62" s="789"/>
    </row>
    <row r="63" spans="1:17" s="130" customFormat="1" ht="21.75" customHeight="1">
      <c r="A63" s="42"/>
      <c r="B63" s="222">
        <v>80132</v>
      </c>
      <c r="C63" s="129" t="s">
        <v>838</v>
      </c>
      <c r="D63" s="43">
        <f t="shared" si="2"/>
        <v>-192000</v>
      </c>
      <c r="E63" s="43"/>
      <c r="F63" s="43"/>
      <c r="G63" s="43"/>
      <c r="H63" s="43"/>
      <c r="I63" s="43"/>
      <c r="J63" s="43"/>
      <c r="K63" s="43"/>
      <c r="L63" s="43"/>
      <c r="M63" s="43"/>
      <c r="N63" s="43">
        <v>-172000</v>
      </c>
      <c r="O63" s="43">
        <v>-20000</v>
      </c>
      <c r="P63" s="43"/>
      <c r="Q63" s="789"/>
    </row>
    <row r="64" spans="1:17" s="130" customFormat="1" ht="21.75" customHeight="1">
      <c r="A64" s="42"/>
      <c r="B64" s="222">
        <v>80134</v>
      </c>
      <c r="C64" s="129" t="s">
        <v>839</v>
      </c>
      <c r="D64" s="43">
        <f t="shared" si="2"/>
        <v>-82038</v>
      </c>
      <c r="E64" s="43"/>
      <c r="F64" s="43"/>
      <c r="G64" s="43"/>
      <c r="H64" s="43"/>
      <c r="I64" s="43"/>
      <c r="J64" s="43"/>
      <c r="K64" s="43"/>
      <c r="L64" s="43"/>
      <c r="M64" s="43"/>
      <c r="N64" s="43">
        <v>-72038</v>
      </c>
      <c r="O64" s="43">
        <v>-10000</v>
      </c>
      <c r="P64" s="43"/>
      <c r="Q64" s="789"/>
    </row>
    <row r="65" spans="1:17" s="130" customFormat="1" ht="45.75">
      <c r="A65" s="42"/>
      <c r="B65" s="222">
        <v>80140</v>
      </c>
      <c r="C65" s="129" t="s">
        <v>733</v>
      </c>
      <c r="D65" s="43">
        <f t="shared" si="2"/>
        <v>-100000</v>
      </c>
      <c r="E65" s="43"/>
      <c r="F65" s="43"/>
      <c r="G65" s="43"/>
      <c r="H65" s="43"/>
      <c r="I65" s="43"/>
      <c r="J65" s="43"/>
      <c r="K65" s="43"/>
      <c r="L65" s="43"/>
      <c r="M65" s="43"/>
      <c r="N65" s="43">
        <v>-100000</v>
      </c>
      <c r="O65" s="43"/>
      <c r="P65" s="43"/>
      <c r="Q65" s="789"/>
    </row>
    <row r="66" spans="1:17" s="130" customFormat="1" ht="20.25" customHeight="1">
      <c r="A66" s="42"/>
      <c r="B66" s="222">
        <v>80145</v>
      </c>
      <c r="C66" s="129" t="s">
        <v>780</v>
      </c>
      <c r="D66" s="43">
        <f t="shared" si="2"/>
        <v>0</v>
      </c>
      <c r="E66" s="43"/>
      <c r="F66" s="43"/>
      <c r="G66" s="43"/>
      <c r="H66" s="43"/>
      <c r="I66" s="43"/>
      <c r="J66" s="43"/>
      <c r="K66" s="43"/>
      <c r="L66" s="43"/>
      <c r="M66" s="43">
        <v>-30000</v>
      </c>
      <c r="N66" s="43">
        <v>31150</v>
      </c>
      <c r="O66" s="43"/>
      <c r="P66" s="43">
        <v>-1150</v>
      </c>
      <c r="Q66" s="789"/>
    </row>
    <row r="67" spans="1:17" s="130" customFormat="1" ht="21.75" customHeight="1">
      <c r="A67" s="42"/>
      <c r="B67" s="222">
        <v>80146</v>
      </c>
      <c r="C67" s="129" t="s">
        <v>710</v>
      </c>
      <c r="D67" s="43">
        <f t="shared" si="2"/>
        <v>-15703</v>
      </c>
      <c r="E67" s="43"/>
      <c r="F67" s="43"/>
      <c r="G67" s="43"/>
      <c r="H67" s="43"/>
      <c r="I67" s="43"/>
      <c r="J67" s="43"/>
      <c r="K67" s="43"/>
      <c r="L67" s="43"/>
      <c r="M67" s="43"/>
      <c r="N67" s="43">
        <v>-15703</v>
      </c>
      <c r="O67" s="43"/>
      <c r="P67" s="43"/>
      <c r="Q67" s="789"/>
    </row>
    <row r="68" spans="1:17" s="130" customFormat="1" ht="21.75" customHeight="1">
      <c r="A68" s="42"/>
      <c r="B68" s="222">
        <v>80195</v>
      </c>
      <c r="C68" s="129" t="s">
        <v>366</v>
      </c>
      <c r="D68" s="43">
        <f t="shared" si="2"/>
        <v>0</v>
      </c>
      <c r="E68" s="43"/>
      <c r="F68" s="43"/>
      <c r="G68" s="43"/>
      <c r="H68" s="43"/>
      <c r="I68" s="43"/>
      <c r="J68" s="43"/>
      <c r="K68" s="43"/>
      <c r="L68" s="43"/>
      <c r="M68" s="43">
        <v>-48543</v>
      </c>
      <c r="N68" s="43">
        <v>48543</v>
      </c>
      <c r="O68" s="43"/>
      <c r="P68" s="43"/>
      <c r="Q68" s="789"/>
    </row>
    <row r="69" spans="1:17" s="130" customFormat="1" ht="21.75" customHeight="1">
      <c r="A69" s="42"/>
      <c r="B69" s="44">
        <v>80197</v>
      </c>
      <c r="C69" s="433" t="s">
        <v>781</v>
      </c>
      <c r="D69" s="43">
        <f t="shared" si="2"/>
        <v>0</v>
      </c>
      <c r="E69" s="434"/>
      <c r="F69" s="434"/>
      <c r="G69" s="434"/>
      <c r="H69" s="434"/>
      <c r="I69" s="434"/>
      <c r="J69" s="434"/>
      <c r="K69" s="434"/>
      <c r="L69" s="434"/>
      <c r="M69" s="434">
        <v>-11500</v>
      </c>
      <c r="N69" s="434">
        <v>11500</v>
      </c>
      <c r="O69" s="434"/>
      <c r="P69" s="434"/>
      <c r="Q69" s="789"/>
    </row>
    <row r="70" spans="1:17" s="22" customFormat="1" ht="21.75" customHeight="1">
      <c r="A70" s="38">
        <v>851</v>
      </c>
      <c r="B70" s="39"/>
      <c r="C70" s="40" t="s">
        <v>370</v>
      </c>
      <c r="D70" s="41">
        <f>SUM(E70:P70)</f>
        <v>0</v>
      </c>
      <c r="E70" s="41"/>
      <c r="F70" s="41"/>
      <c r="G70" s="41"/>
      <c r="H70" s="41"/>
      <c r="I70" s="41"/>
      <c r="J70" s="41"/>
      <c r="K70" s="41"/>
      <c r="L70" s="41"/>
      <c r="M70" s="41">
        <f>M71</f>
        <v>-50000</v>
      </c>
      <c r="N70" s="41">
        <f>N71</f>
        <v>50000</v>
      </c>
      <c r="O70" s="41"/>
      <c r="P70" s="41"/>
      <c r="Q70" s="786"/>
    </row>
    <row r="71" spans="1:17" s="130" customFormat="1" ht="21.75" customHeight="1">
      <c r="A71" s="221"/>
      <c r="B71" s="222">
        <v>85154</v>
      </c>
      <c r="C71" s="129" t="s">
        <v>394</v>
      </c>
      <c r="D71" s="43">
        <f>SUM(E71:P71)</f>
        <v>0</v>
      </c>
      <c r="E71" s="43"/>
      <c r="F71" s="43"/>
      <c r="G71" s="43"/>
      <c r="H71" s="43"/>
      <c r="I71" s="43"/>
      <c r="J71" s="43"/>
      <c r="K71" s="43"/>
      <c r="L71" s="43"/>
      <c r="M71" s="43">
        <v>-50000</v>
      </c>
      <c r="N71" s="43">
        <v>50000</v>
      </c>
      <c r="O71" s="43"/>
      <c r="P71" s="43"/>
      <c r="Q71" s="789"/>
    </row>
    <row r="72" spans="1:17" s="22" customFormat="1" ht="21.75" customHeight="1">
      <c r="A72" s="38">
        <v>854</v>
      </c>
      <c r="B72" s="39"/>
      <c r="C72" s="40" t="s">
        <v>369</v>
      </c>
      <c r="D72" s="41">
        <f t="shared" si="2"/>
        <v>317721</v>
      </c>
      <c r="E72" s="41"/>
      <c r="F72" s="41"/>
      <c r="G72" s="41"/>
      <c r="H72" s="41"/>
      <c r="I72" s="41"/>
      <c r="J72" s="41"/>
      <c r="K72" s="41"/>
      <c r="L72" s="41"/>
      <c r="M72" s="41">
        <f>SUM(M73:M79)</f>
        <v>-258271</v>
      </c>
      <c r="N72" s="41">
        <f>SUM(N73:N79)</f>
        <v>-157465</v>
      </c>
      <c r="O72" s="41">
        <f>SUM(O73:O79)</f>
        <v>849747</v>
      </c>
      <c r="P72" s="41">
        <f>SUM(P73:P79)</f>
        <v>-116290</v>
      </c>
      <c r="Q72" s="786"/>
    </row>
    <row r="73" spans="1:17" s="130" customFormat="1" ht="21.75" customHeight="1">
      <c r="A73" s="221"/>
      <c r="B73" s="222">
        <v>85401</v>
      </c>
      <c r="C73" s="129" t="s">
        <v>841</v>
      </c>
      <c r="D73" s="43">
        <f t="shared" si="2"/>
        <v>-64730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>
        <v>-8960</v>
      </c>
      <c r="P73" s="43">
        <v>-55770</v>
      </c>
      <c r="Q73" s="789"/>
    </row>
    <row r="74" spans="1:17" s="130" customFormat="1" ht="21.75" customHeight="1">
      <c r="A74" s="42"/>
      <c r="B74" s="222">
        <v>85403</v>
      </c>
      <c r="C74" s="129" t="s">
        <v>842</v>
      </c>
      <c r="D74" s="43">
        <f t="shared" si="2"/>
        <v>-52000</v>
      </c>
      <c r="E74" s="43"/>
      <c r="F74" s="43"/>
      <c r="G74" s="43"/>
      <c r="H74" s="43"/>
      <c r="I74" s="43"/>
      <c r="J74" s="43"/>
      <c r="K74" s="43"/>
      <c r="L74" s="43"/>
      <c r="M74" s="43"/>
      <c r="N74" s="43">
        <v>-41110</v>
      </c>
      <c r="O74" s="43">
        <v>-5000</v>
      </c>
      <c r="P74" s="43">
        <v>-5890</v>
      </c>
      <c r="Q74" s="789"/>
    </row>
    <row r="75" spans="1:17" s="130" customFormat="1" ht="30.75" customHeight="1">
      <c r="A75" s="42"/>
      <c r="B75" s="222">
        <v>85406</v>
      </c>
      <c r="C75" s="129" t="s">
        <v>843</v>
      </c>
      <c r="D75" s="43">
        <f t="shared" si="2"/>
        <v>-53542</v>
      </c>
      <c r="E75" s="43"/>
      <c r="F75" s="43"/>
      <c r="G75" s="43"/>
      <c r="H75" s="43"/>
      <c r="I75" s="43"/>
      <c r="J75" s="43"/>
      <c r="K75" s="43"/>
      <c r="L75" s="43"/>
      <c r="M75" s="43"/>
      <c r="N75" s="43">
        <v>-13542</v>
      </c>
      <c r="O75" s="43">
        <v>-40000</v>
      </c>
      <c r="P75" s="43"/>
      <c r="Q75" s="789"/>
    </row>
    <row r="76" spans="1:17" s="130" customFormat="1" ht="21.75" customHeight="1">
      <c r="A76" s="42"/>
      <c r="B76" s="44">
        <v>85407</v>
      </c>
      <c r="C76" s="433" t="s">
        <v>709</v>
      </c>
      <c r="D76" s="434">
        <f t="shared" si="2"/>
        <v>-16000</v>
      </c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>
        <v>-16000</v>
      </c>
      <c r="P76" s="434"/>
      <c r="Q76" s="789"/>
    </row>
    <row r="77" spans="1:17" s="130" customFormat="1" ht="21.75" customHeight="1">
      <c r="A77" s="44"/>
      <c r="B77" s="222">
        <v>85410</v>
      </c>
      <c r="C77" s="129" t="s">
        <v>732</v>
      </c>
      <c r="D77" s="43">
        <f t="shared" si="2"/>
        <v>-132909</v>
      </c>
      <c r="E77" s="43"/>
      <c r="F77" s="43"/>
      <c r="G77" s="43"/>
      <c r="H77" s="43"/>
      <c r="I77" s="43"/>
      <c r="J77" s="43"/>
      <c r="K77" s="43"/>
      <c r="L77" s="43"/>
      <c r="M77" s="43"/>
      <c r="N77" s="43">
        <v>-129453</v>
      </c>
      <c r="O77" s="43">
        <v>-3456</v>
      </c>
      <c r="P77" s="43"/>
      <c r="Q77" s="789"/>
    </row>
    <row r="78" spans="1:17" s="130" customFormat="1" ht="21.75" customHeight="1">
      <c r="A78" s="42"/>
      <c r="B78" s="44">
        <v>85415</v>
      </c>
      <c r="C78" s="433" t="s">
        <v>705</v>
      </c>
      <c r="D78" s="434">
        <f t="shared" si="2"/>
        <v>910532</v>
      </c>
      <c r="E78" s="434"/>
      <c r="F78" s="434"/>
      <c r="G78" s="434"/>
      <c r="H78" s="434"/>
      <c r="I78" s="434"/>
      <c r="J78" s="434"/>
      <c r="K78" s="434"/>
      <c r="L78" s="434"/>
      <c r="M78" s="434">
        <v>-122271</v>
      </c>
      <c r="N78" s="434">
        <v>59640</v>
      </c>
      <c r="O78" s="434">
        <v>973163</v>
      </c>
      <c r="P78" s="434"/>
      <c r="Q78" s="789"/>
    </row>
    <row r="79" spans="1:17" s="130" customFormat="1" ht="21.75" customHeight="1">
      <c r="A79" s="42"/>
      <c r="B79" s="222">
        <v>85495</v>
      </c>
      <c r="C79" s="129" t="s">
        <v>366</v>
      </c>
      <c r="D79" s="43">
        <f t="shared" si="2"/>
        <v>-273630</v>
      </c>
      <c r="E79" s="43"/>
      <c r="F79" s="43"/>
      <c r="G79" s="43"/>
      <c r="H79" s="43"/>
      <c r="I79" s="43"/>
      <c r="J79" s="43"/>
      <c r="K79" s="43"/>
      <c r="L79" s="43"/>
      <c r="M79" s="43">
        <v>-136000</v>
      </c>
      <c r="N79" s="43">
        <v>-33000</v>
      </c>
      <c r="O79" s="43">
        <v>-50000</v>
      </c>
      <c r="P79" s="43">
        <v>-54630</v>
      </c>
      <c r="Q79" s="789"/>
    </row>
    <row r="80" spans="1:17" s="130" customFormat="1" ht="31.5" thickBot="1">
      <c r="A80" s="44"/>
      <c r="B80" s="44"/>
      <c r="C80" s="134" t="s">
        <v>847</v>
      </c>
      <c r="D80" s="135">
        <f>SUM(E80:P80)</f>
        <v>0</v>
      </c>
      <c r="E80" s="135"/>
      <c r="F80" s="135"/>
      <c r="G80" s="135"/>
      <c r="H80" s="135"/>
      <c r="I80" s="135"/>
      <c r="J80" s="135"/>
      <c r="K80" s="135"/>
      <c r="L80" s="135"/>
      <c r="M80" s="135"/>
      <c r="N80" s="135">
        <f aca="true" t="shared" si="5" ref="N80:P81">N81</f>
        <v>-9160</v>
      </c>
      <c r="O80" s="135">
        <f t="shared" si="5"/>
        <v>19160</v>
      </c>
      <c r="P80" s="135">
        <f t="shared" si="5"/>
        <v>-10000</v>
      </c>
      <c r="Q80" s="789"/>
    </row>
    <row r="81" spans="1:17" s="22" customFormat="1" ht="21.75" customHeight="1" thickTop="1">
      <c r="A81" s="38">
        <v>801</v>
      </c>
      <c r="B81" s="39"/>
      <c r="C81" s="40" t="s">
        <v>367</v>
      </c>
      <c r="D81" s="41">
        <f>SUM(E81:P81)</f>
        <v>0</v>
      </c>
      <c r="E81" s="41"/>
      <c r="F81" s="41"/>
      <c r="G81" s="41"/>
      <c r="H81" s="41"/>
      <c r="I81" s="41"/>
      <c r="J81" s="41"/>
      <c r="K81" s="41"/>
      <c r="L81" s="41"/>
      <c r="M81" s="41"/>
      <c r="N81" s="41">
        <f t="shared" si="5"/>
        <v>-9160</v>
      </c>
      <c r="O81" s="41">
        <f t="shared" si="5"/>
        <v>19160</v>
      </c>
      <c r="P81" s="41">
        <f t="shared" si="5"/>
        <v>-10000</v>
      </c>
      <c r="Q81" s="786"/>
    </row>
    <row r="82" spans="1:17" s="130" customFormat="1" ht="21.75" customHeight="1">
      <c r="A82" s="221"/>
      <c r="B82" s="222">
        <v>80104</v>
      </c>
      <c r="C82" s="129" t="s">
        <v>704</v>
      </c>
      <c r="D82" s="43">
        <f>SUM(E82:P82)</f>
        <v>0</v>
      </c>
      <c r="E82" s="43"/>
      <c r="F82" s="43"/>
      <c r="G82" s="43"/>
      <c r="H82" s="43"/>
      <c r="I82" s="43"/>
      <c r="J82" s="43"/>
      <c r="K82" s="43"/>
      <c r="L82" s="43"/>
      <c r="M82" s="43"/>
      <c r="N82" s="43">
        <v>-9160</v>
      </c>
      <c r="O82" s="43">
        <v>19160</v>
      </c>
      <c r="P82" s="43">
        <v>-10000</v>
      </c>
      <c r="Q82" s="789"/>
    </row>
    <row r="83" spans="1:17" s="33" customFormat="1" ht="21.75" customHeight="1">
      <c r="A83" s="30"/>
      <c r="B83" s="30"/>
      <c r="C83" s="31" t="s">
        <v>563</v>
      </c>
      <c r="D83" s="32">
        <f t="shared" si="2"/>
        <v>12000</v>
      </c>
      <c r="E83" s="32"/>
      <c r="F83" s="32"/>
      <c r="G83" s="32">
        <f>G84+G94</f>
        <v>-1241</v>
      </c>
      <c r="H83" s="32"/>
      <c r="I83" s="32"/>
      <c r="J83" s="32">
        <f aca="true" t="shared" si="6" ref="J83:P83">J84+J94</f>
        <v>-2135</v>
      </c>
      <c r="K83" s="32">
        <f t="shared" si="6"/>
        <v>-1300</v>
      </c>
      <c r="L83" s="32">
        <f t="shared" si="6"/>
        <v>-15568</v>
      </c>
      <c r="M83" s="32">
        <f t="shared" si="6"/>
        <v>-61024</v>
      </c>
      <c r="N83" s="32">
        <f t="shared" si="6"/>
        <v>43472</v>
      </c>
      <c r="O83" s="32">
        <f t="shared" si="6"/>
        <v>23578</v>
      </c>
      <c r="P83" s="32">
        <f t="shared" si="6"/>
        <v>26218</v>
      </c>
      <c r="Q83" s="788"/>
    </row>
    <row r="84" spans="1:17" s="22" customFormat="1" ht="21.75" customHeight="1" thickBot="1">
      <c r="A84" s="35"/>
      <c r="B84" s="35"/>
      <c r="C84" s="36" t="s">
        <v>360</v>
      </c>
      <c r="D84" s="37">
        <f t="shared" si="2"/>
        <v>-5000</v>
      </c>
      <c r="E84" s="37"/>
      <c r="F84" s="37"/>
      <c r="G84" s="37">
        <f>G85+G87+G89+G91</f>
        <v>-1241</v>
      </c>
      <c r="H84" s="37"/>
      <c r="I84" s="37"/>
      <c r="J84" s="37">
        <f aca="true" t="shared" si="7" ref="J84:P84">J85+J87+J89+J91</f>
        <v>-2135</v>
      </c>
      <c r="K84" s="37">
        <f t="shared" si="7"/>
        <v>-1300</v>
      </c>
      <c r="L84" s="37">
        <f t="shared" si="7"/>
        <v>-15568</v>
      </c>
      <c r="M84" s="37">
        <f t="shared" si="7"/>
        <v>-61024</v>
      </c>
      <c r="N84" s="37">
        <f t="shared" si="7"/>
        <v>39472</v>
      </c>
      <c r="O84" s="37">
        <f t="shared" si="7"/>
        <v>10578</v>
      </c>
      <c r="P84" s="37">
        <f t="shared" si="7"/>
        <v>26218</v>
      </c>
      <c r="Q84" s="786"/>
    </row>
    <row r="85" spans="1:17" s="22" customFormat="1" ht="21.75" customHeight="1" thickTop="1">
      <c r="A85" s="38">
        <v>630</v>
      </c>
      <c r="B85" s="39"/>
      <c r="C85" s="40" t="s">
        <v>811</v>
      </c>
      <c r="D85" s="41">
        <f>SUM(E85:P85)</f>
        <v>0</v>
      </c>
      <c r="E85" s="41"/>
      <c r="F85" s="41"/>
      <c r="G85" s="41">
        <f>G86</f>
        <v>-1241</v>
      </c>
      <c r="H85" s="41"/>
      <c r="I85" s="41"/>
      <c r="J85" s="41">
        <f aca="true" t="shared" si="8" ref="J85:P85">J86</f>
        <v>-2135</v>
      </c>
      <c r="K85" s="41">
        <f t="shared" si="8"/>
        <v>-1300</v>
      </c>
      <c r="L85" s="41">
        <f t="shared" si="8"/>
        <v>-3968</v>
      </c>
      <c r="M85" s="41">
        <f t="shared" si="8"/>
        <v>-2000</v>
      </c>
      <c r="N85" s="41">
        <f t="shared" si="8"/>
        <v>3848</v>
      </c>
      <c r="O85" s="41">
        <f t="shared" si="8"/>
        <v>5578</v>
      </c>
      <c r="P85" s="41">
        <f t="shared" si="8"/>
        <v>1218</v>
      </c>
      <c r="Q85" s="786"/>
    </row>
    <row r="86" spans="1:17" s="130" customFormat="1" ht="18">
      <c r="A86" s="221"/>
      <c r="B86" s="222">
        <v>63003</v>
      </c>
      <c r="C86" s="129" t="s">
        <v>812</v>
      </c>
      <c r="D86" s="43">
        <f>SUM(E86:P86)</f>
        <v>0</v>
      </c>
      <c r="E86" s="43"/>
      <c r="F86" s="43"/>
      <c r="G86" s="43">
        <v>-1241</v>
      </c>
      <c r="H86" s="43"/>
      <c r="I86" s="43"/>
      <c r="J86" s="43">
        <v>-2135</v>
      </c>
      <c r="K86" s="43">
        <v>-1300</v>
      </c>
      <c r="L86" s="43">
        <v>-3968</v>
      </c>
      <c r="M86" s="43">
        <v>-2000</v>
      </c>
      <c r="N86" s="43">
        <v>3848</v>
      </c>
      <c r="O86" s="43">
        <v>5578</v>
      </c>
      <c r="P86" s="43">
        <v>1218</v>
      </c>
      <c r="Q86" s="789"/>
    </row>
    <row r="87" spans="1:17" s="22" customFormat="1" ht="21.75" customHeight="1">
      <c r="A87" s="38">
        <v>851</v>
      </c>
      <c r="B87" s="39"/>
      <c r="C87" s="40" t="s">
        <v>370</v>
      </c>
      <c r="D87" s="41">
        <f t="shared" si="2"/>
        <v>-5000</v>
      </c>
      <c r="E87" s="41"/>
      <c r="F87" s="41"/>
      <c r="G87" s="41"/>
      <c r="H87" s="41"/>
      <c r="I87" s="41"/>
      <c r="J87" s="41"/>
      <c r="K87" s="41"/>
      <c r="L87" s="41"/>
      <c r="M87" s="41"/>
      <c r="N87" s="41">
        <f>N88</f>
        <v>-5000</v>
      </c>
      <c r="O87" s="41"/>
      <c r="P87" s="41"/>
      <c r="Q87" s="786"/>
    </row>
    <row r="88" spans="1:17" s="130" customFormat="1" ht="21.75" customHeight="1">
      <c r="A88" s="42"/>
      <c r="B88" s="222">
        <v>85149</v>
      </c>
      <c r="C88" s="129" t="s">
        <v>467</v>
      </c>
      <c r="D88" s="43">
        <f t="shared" si="2"/>
        <v>-5000</v>
      </c>
      <c r="E88" s="43"/>
      <c r="F88" s="43"/>
      <c r="G88" s="43"/>
      <c r="H88" s="43"/>
      <c r="I88" s="43"/>
      <c r="J88" s="43"/>
      <c r="K88" s="43"/>
      <c r="L88" s="43"/>
      <c r="M88" s="43"/>
      <c r="N88" s="43">
        <v>-5000</v>
      </c>
      <c r="O88" s="43"/>
      <c r="P88" s="43"/>
      <c r="Q88" s="789"/>
    </row>
    <row r="89" spans="1:17" s="22" customFormat="1" ht="21.75" customHeight="1">
      <c r="A89" s="38">
        <v>854</v>
      </c>
      <c r="B89" s="39"/>
      <c r="C89" s="40" t="s">
        <v>369</v>
      </c>
      <c r="D89" s="41">
        <f aca="true" t="shared" si="9" ref="D89:D96">SUM(E89:P89)</f>
        <v>0</v>
      </c>
      <c r="E89" s="41"/>
      <c r="F89" s="41"/>
      <c r="G89" s="41"/>
      <c r="H89" s="41"/>
      <c r="I89" s="41"/>
      <c r="J89" s="41"/>
      <c r="K89" s="41"/>
      <c r="L89" s="41">
        <f>L90</f>
        <v>-11600</v>
      </c>
      <c r="M89" s="41"/>
      <c r="N89" s="41">
        <f>N90</f>
        <v>11600</v>
      </c>
      <c r="O89" s="41"/>
      <c r="P89" s="41"/>
      <c r="Q89" s="786"/>
    </row>
    <row r="90" spans="1:17" s="130" customFormat="1" ht="45.75">
      <c r="A90" s="221"/>
      <c r="B90" s="222">
        <v>85412</v>
      </c>
      <c r="C90" s="474" t="s">
        <v>148</v>
      </c>
      <c r="D90" s="43">
        <f t="shared" si="9"/>
        <v>0</v>
      </c>
      <c r="E90" s="43"/>
      <c r="F90" s="43"/>
      <c r="G90" s="43"/>
      <c r="H90" s="43"/>
      <c r="I90" s="43"/>
      <c r="J90" s="43"/>
      <c r="K90" s="43"/>
      <c r="L90" s="43">
        <v>-11600</v>
      </c>
      <c r="M90" s="43"/>
      <c r="N90" s="43">
        <v>11600</v>
      </c>
      <c r="O90" s="43"/>
      <c r="P90" s="43"/>
      <c r="Q90" s="789"/>
    </row>
    <row r="91" spans="1:17" s="22" customFormat="1" ht="21.75" customHeight="1">
      <c r="A91" s="38">
        <v>926</v>
      </c>
      <c r="B91" s="39"/>
      <c r="C91" s="40" t="s">
        <v>804</v>
      </c>
      <c r="D91" s="41">
        <f t="shared" si="9"/>
        <v>0</v>
      </c>
      <c r="E91" s="41"/>
      <c r="F91" s="41"/>
      <c r="G91" s="41"/>
      <c r="H91" s="41"/>
      <c r="I91" s="41"/>
      <c r="J91" s="41"/>
      <c r="K91" s="41"/>
      <c r="L91" s="41"/>
      <c r="M91" s="41">
        <f>SUM(M92:M93)</f>
        <v>-59024</v>
      </c>
      <c r="N91" s="41">
        <f>SUM(N92:N93)</f>
        <v>29024</v>
      </c>
      <c r="O91" s="41">
        <f>SUM(O92:O93)</f>
        <v>5000</v>
      </c>
      <c r="P91" s="41">
        <f>SUM(P92:P93)</f>
        <v>25000</v>
      </c>
      <c r="Q91" s="786"/>
    </row>
    <row r="92" spans="1:17" s="130" customFormat="1" ht="21.75" customHeight="1">
      <c r="A92" s="42"/>
      <c r="B92" s="222">
        <v>92604</v>
      </c>
      <c r="C92" s="129" t="s">
        <v>806</v>
      </c>
      <c r="D92" s="43">
        <f t="shared" si="9"/>
        <v>0</v>
      </c>
      <c r="E92" s="43"/>
      <c r="F92" s="43"/>
      <c r="G92" s="43"/>
      <c r="H92" s="43"/>
      <c r="I92" s="43"/>
      <c r="J92" s="43"/>
      <c r="K92" s="43"/>
      <c r="L92" s="43"/>
      <c r="M92" s="43">
        <v>-38424</v>
      </c>
      <c r="N92" s="43">
        <v>38424</v>
      </c>
      <c r="O92" s="43"/>
      <c r="P92" s="43"/>
      <c r="Q92" s="789"/>
    </row>
    <row r="93" spans="1:17" s="130" customFormat="1" ht="21.75" customHeight="1">
      <c r="A93" s="42"/>
      <c r="B93" s="222">
        <v>92605</v>
      </c>
      <c r="C93" s="129" t="s">
        <v>840</v>
      </c>
      <c r="D93" s="43">
        <f t="shared" si="9"/>
        <v>0</v>
      </c>
      <c r="E93" s="43"/>
      <c r="F93" s="43"/>
      <c r="G93" s="43"/>
      <c r="H93" s="43"/>
      <c r="I93" s="43"/>
      <c r="J93" s="43"/>
      <c r="K93" s="43"/>
      <c r="L93" s="43"/>
      <c r="M93" s="43">
        <f>-20600</f>
        <v>-20600</v>
      </c>
      <c r="N93" s="43">
        <f>20600-30000</f>
        <v>-9400</v>
      </c>
      <c r="O93" s="43">
        <v>5000</v>
      </c>
      <c r="P93" s="43">
        <v>25000</v>
      </c>
      <c r="Q93" s="789"/>
    </row>
    <row r="94" spans="1:17" s="22" customFormat="1" ht="46.5" thickBot="1">
      <c r="A94" s="35"/>
      <c r="B94" s="35"/>
      <c r="C94" s="36" t="s">
        <v>399</v>
      </c>
      <c r="D94" s="37">
        <f t="shared" si="9"/>
        <v>17000</v>
      </c>
      <c r="E94" s="37"/>
      <c r="F94" s="37"/>
      <c r="G94" s="37"/>
      <c r="H94" s="37"/>
      <c r="I94" s="37"/>
      <c r="J94" s="37"/>
      <c r="K94" s="37"/>
      <c r="L94" s="37"/>
      <c r="M94" s="37"/>
      <c r="N94" s="37">
        <f>N95</f>
        <v>4000</v>
      </c>
      <c r="O94" s="37">
        <f>O95</f>
        <v>13000</v>
      </c>
      <c r="P94" s="37"/>
      <c r="Q94" s="786"/>
    </row>
    <row r="95" spans="1:17" s="22" customFormat="1" ht="32.25" thickTop="1">
      <c r="A95" s="38">
        <v>853</v>
      </c>
      <c r="B95" s="39"/>
      <c r="C95" s="40" t="s">
        <v>412</v>
      </c>
      <c r="D95" s="41">
        <f t="shared" si="9"/>
        <v>17000</v>
      </c>
      <c r="E95" s="41"/>
      <c r="F95" s="41"/>
      <c r="G95" s="41"/>
      <c r="H95" s="41"/>
      <c r="I95" s="41"/>
      <c r="J95" s="41"/>
      <c r="K95" s="41"/>
      <c r="L95" s="41"/>
      <c r="M95" s="41"/>
      <c r="N95" s="41">
        <f>N96</f>
        <v>4000</v>
      </c>
      <c r="O95" s="41">
        <f>O96</f>
        <v>13000</v>
      </c>
      <c r="P95" s="41"/>
      <c r="Q95" s="786"/>
    </row>
    <row r="96" spans="1:17" s="130" customFormat="1" ht="30.75">
      <c r="A96" s="221"/>
      <c r="B96" s="222">
        <v>85321</v>
      </c>
      <c r="C96" s="129" t="s">
        <v>321</v>
      </c>
      <c r="D96" s="43">
        <f t="shared" si="9"/>
        <v>17000</v>
      </c>
      <c r="E96" s="43"/>
      <c r="F96" s="43"/>
      <c r="G96" s="43"/>
      <c r="H96" s="43"/>
      <c r="I96" s="43"/>
      <c r="J96" s="43"/>
      <c r="K96" s="43"/>
      <c r="L96" s="43"/>
      <c r="M96" s="43"/>
      <c r="N96" s="43">
        <v>4000</v>
      </c>
      <c r="O96" s="43">
        <v>13000</v>
      </c>
      <c r="P96" s="43"/>
      <c r="Q96" s="789"/>
    </row>
    <row r="97" spans="1:17" s="33" customFormat="1" ht="21.75" customHeight="1">
      <c r="A97" s="30"/>
      <c r="B97" s="30"/>
      <c r="C97" s="31" t="s">
        <v>562</v>
      </c>
      <c r="D97" s="32">
        <f t="shared" si="2"/>
        <v>0</v>
      </c>
      <c r="E97" s="32"/>
      <c r="F97" s="32"/>
      <c r="G97" s="32"/>
      <c r="H97" s="32"/>
      <c r="I97" s="32"/>
      <c r="J97" s="32"/>
      <c r="K97" s="32"/>
      <c r="L97" s="32"/>
      <c r="M97" s="32">
        <f>M98+M127</f>
        <v>-36558614</v>
      </c>
      <c r="N97" s="32">
        <f>N98+N127</f>
        <v>35988614</v>
      </c>
      <c r="O97" s="32">
        <f>O98+O127</f>
        <v>570000</v>
      </c>
      <c r="P97" s="32"/>
      <c r="Q97" s="788"/>
    </row>
    <row r="98" spans="1:17" s="22" customFormat="1" ht="21.75" customHeight="1" thickBot="1">
      <c r="A98" s="35"/>
      <c r="B98" s="35"/>
      <c r="C98" s="36" t="s">
        <v>360</v>
      </c>
      <c r="D98" s="37">
        <f t="shared" si="2"/>
        <v>0</v>
      </c>
      <c r="E98" s="37"/>
      <c r="F98" s="37"/>
      <c r="G98" s="37"/>
      <c r="H98" s="37"/>
      <c r="I98" s="37"/>
      <c r="J98" s="37"/>
      <c r="K98" s="37"/>
      <c r="L98" s="37"/>
      <c r="M98" s="37">
        <f>M99+M104+M106+M109+M115+M117+M121+M124</f>
        <v>-36415852</v>
      </c>
      <c r="N98" s="37">
        <f>N99+N104+N106+N109+N115+N117+N121+N124</f>
        <v>35845852</v>
      </c>
      <c r="O98" s="37">
        <f>O99+O104+O106+O109+O115+O117+O121+O124</f>
        <v>570000</v>
      </c>
      <c r="P98" s="37"/>
      <c r="Q98" s="786"/>
    </row>
    <row r="99" spans="1:17" s="22" customFormat="1" ht="21.75" customHeight="1" thickTop="1">
      <c r="A99" s="38">
        <v>600</v>
      </c>
      <c r="B99" s="39"/>
      <c r="C99" s="40" t="s">
        <v>364</v>
      </c>
      <c r="D99" s="41">
        <f t="shared" si="2"/>
        <v>0</v>
      </c>
      <c r="E99" s="41"/>
      <c r="F99" s="41"/>
      <c r="G99" s="41"/>
      <c r="H99" s="41"/>
      <c r="I99" s="41"/>
      <c r="J99" s="41"/>
      <c r="K99" s="41"/>
      <c r="L99" s="41"/>
      <c r="M99" s="41">
        <f>SUM(M100:M103)</f>
        <v>-10048479</v>
      </c>
      <c r="N99" s="41">
        <f>SUM(N100:N103)</f>
        <v>10048479</v>
      </c>
      <c r="O99" s="41"/>
      <c r="P99" s="41"/>
      <c r="Q99" s="786"/>
    </row>
    <row r="100" spans="1:17" s="220" customFormat="1" ht="21.75" customHeight="1">
      <c r="A100" s="399"/>
      <c r="B100" s="400">
        <v>60004</v>
      </c>
      <c r="C100" s="218" t="s">
        <v>365</v>
      </c>
      <c r="D100" s="43">
        <f t="shared" si="2"/>
        <v>0</v>
      </c>
      <c r="E100" s="219"/>
      <c r="F100" s="219"/>
      <c r="G100" s="219"/>
      <c r="H100" s="219"/>
      <c r="I100" s="219"/>
      <c r="J100" s="219"/>
      <c r="K100" s="219"/>
      <c r="L100" s="444"/>
      <c r="M100" s="444">
        <v>-415501</v>
      </c>
      <c r="N100" s="444">
        <v>415501</v>
      </c>
      <c r="O100" s="219"/>
      <c r="P100" s="219"/>
      <c r="Q100" s="791"/>
    </row>
    <row r="101" spans="1:17" s="130" customFormat="1" ht="20.25" customHeight="1">
      <c r="A101" s="42"/>
      <c r="B101" s="222">
        <v>60015</v>
      </c>
      <c r="C101" s="129" t="s">
        <v>712</v>
      </c>
      <c r="D101" s="43">
        <f t="shared" si="2"/>
        <v>0</v>
      </c>
      <c r="E101" s="43"/>
      <c r="F101" s="43"/>
      <c r="G101" s="43"/>
      <c r="H101" s="43"/>
      <c r="I101" s="43"/>
      <c r="J101" s="43"/>
      <c r="K101" s="43"/>
      <c r="L101" s="43"/>
      <c r="M101" s="43">
        <v>-8737570</v>
      </c>
      <c r="N101" s="43">
        <v>8737570</v>
      </c>
      <c r="O101" s="43"/>
      <c r="P101" s="43"/>
      <c r="Q101" s="789"/>
    </row>
    <row r="102" spans="1:17" s="130" customFormat="1" ht="19.5" customHeight="1">
      <c r="A102" s="42"/>
      <c r="B102" s="44">
        <v>60016</v>
      </c>
      <c r="C102" s="433" t="s">
        <v>755</v>
      </c>
      <c r="D102" s="43">
        <f t="shared" si="2"/>
        <v>0</v>
      </c>
      <c r="E102" s="434"/>
      <c r="F102" s="434"/>
      <c r="G102" s="434"/>
      <c r="H102" s="434"/>
      <c r="I102" s="434"/>
      <c r="J102" s="434"/>
      <c r="K102" s="434"/>
      <c r="L102" s="434"/>
      <c r="M102" s="434">
        <v>-894839</v>
      </c>
      <c r="N102" s="434">
        <v>894839</v>
      </c>
      <c r="O102" s="434"/>
      <c r="P102" s="434"/>
      <c r="Q102" s="789"/>
    </row>
    <row r="103" spans="1:17" s="130" customFormat="1" ht="19.5" customHeight="1">
      <c r="A103" s="44"/>
      <c r="B103" s="44">
        <v>60017</v>
      </c>
      <c r="C103" s="433" t="s">
        <v>289</v>
      </c>
      <c r="D103" s="43">
        <f t="shared" si="2"/>
        <v>0</v>
      </c>
      <c r="E103" s="434"/>
      <c r="F103" s="434"/>
      <c r="G103" s="434"/>
      <c r="H103" s="434"/>
      <c r="I103" s="434"/>
      <c r="J103" s="434"/>
      <c r="K103" s="434"/>
      <c r="L103" s="434"/>
      <c r="M103" s="434">
        <v>-569</v>
      </c>
      <c r="N103" s="434">
        <v>569</v>
      </c>
      <c r="O103" s="434"/>
      <c r="P103" s="434"/>
      <c r="Q103" s="789"/>
    </row>
    <row r="104" spans="1:17" s="22" customFormat="1" ht="21.75" customHeight="1">
      <c r="A104" s="38">
        <v>700</v>
      </c>
      <c r="B104" s="39"/>
      <c r="C104" s="40" t="s">
        <v>400</v>
      </c>
      <c r="D104" s="41">
        <f t="shared" si="2"/>
        <v>0</v>
      </c>
      <c r="E104" s="41"/>
      <c r="F104" s="41"/>
      <c r="G104" s="41"/>
      <c r="H104" s="41"/>
      <c r="I104" s="41"/>
      <c r="J104" s="41"/>
      <c r="K104" s="41"/>
      <c r="L104" s="41"/>
      <c r="M104" s="41">
        <f>M105</f>
        <v>-1487119</v>
      </c>
      <c r="N104" s="41">
        <f>N105</f>
        <v>1487119</v>
      </c>
      <c r="O104" s="41"/>
      <c r="P104" s="41"/>
      <c r="Q104" s="786"/>
    </row>
    <row r="105" spans="1:17" s="130" customFormat="1" ht="21.75" customHeight="1">
      <c r="A105" s="221"/>
      <c r="B105" s="222">
        <v>70095</v>
      </c>
      <c r="C105" s="129" t="s">
        <v>366</v>
      </c>
      <c r="D105" s="43">
        <f t="shared" si="2"/>
        <v>0</v>
      </c>
      <c r="E105" s="43"/>
      <c r="F105" s="43"/>
      <c r="G105" s="43"/>
      <c r="H105" s="43"/>
      <c r="I105" s="43"/>
      <c r="J105" s="43"/>
      <c r="K105" s="43"/>
      <c r="L105" s="43"/>
      <c r="M105" s="43">
        <v>-1487119</v>
      </c>
      <c r="N105" s="43">
        <v>1487119</v>
      </c>
      <c r="O105" s="43"/>
      <c r="P105" s="43"/>
      <c r="Q105" s="789"/>
    </row>
    <row r="106" spans="1:17" s="22" customFormat="1" ht="21.75" customHeight="1">
      <c r="A106" s="38">
        <v>710</v>
      </c>
      <c r="B106" s="39"/>
      <c r="C106" s="40" t="s">
        <v>756</v>
      </c>
      <c r="D106" s="41">
        <f t="shared" si="2"/>
        <v>0</v>
      </c>
      <c r="E106" s="41"/>
      <c r="F106" s="41"/>
      <c r="G106" s="41"/>
      <c r="H106" s="41"/>
      <c r="I106" s="41"/>
      <c r="J106" s="41"/>
      <c r="K106" s="41"/>
      <c r="L106" s="41"/>
      <c r="M106" s="41">
        <f>SUM(M107:M108)</f>
        <v>-561661</v>
      </c>
      <c r="N106" s="41">
        <f>SUM(N107:N108)</f>
        <v>561661</v>
      </c>
      <c r="O106" s="41"/>
      <c r="P106" s="41"/>
      <c r="Q106" s="786"/>
    </row>
    <row r="107" spans="1:17" s="130" customFormat="1" ht="21.75" customHeight="1">
      <c r="A107" s="221"/>
      <c r="B107" s="222">
        <v>71004</v>
      </c>
      <c r="C107" s="129" t="s">
        <v>799</v>
      </c>
      <c r="D107" s="43">
        <f t="shared" si="2"/>
        <v>0</v>
      </c>
      <c r="E107" s="43"/>
      <c r="F107" s="43"/>
      <c r="G107" s="43"/>
      <c r="H107" s="43"/>
      <c r="I107" s="43"/>
      <c r="J107" s="43"/>
      <c r="K107" s="43"/>
      <c r="L107" s="43"/>
      <c r="M107" s="43">
        <v>-36501</v>
      </c>
      <c r="N107" s="43">
        <v>36501</v>
      </c>
      <c r="O107" s="43"/>
      <c r="P107" s="43"/>
      <c r="Q107" s="789"/>
    </row>
    <row r="108" spans="1:17" s="130" customFormat="1" ht="21.75" customHeight="1">
      <c r="A108" s="44"/>
      <c r="B108" s="222">
        <v>71035</v>
      </c>
      <c r="C108" s="129" t="s">
        <v>332</v>
      </c>
      <c r="D108" s="43">
        <f t="shared" si="2"/>
        <v>0</v>
      </c>
      <c r="E108" s="43"/>
      <c r="F108" s="43"/>
      <c r="G108" s="43"/>
      <c r="H108" s="43"/>
      <c r="I108" s="43"/>
      <c r="J108" s="43"/>
      <c r="K108" s="43"/>
      <c r="L108" s="43"/>
      <c r="M108" s="43">
        <v>-525160</v>
      </c>
      <c r="N108" s="43">
        <v>525160</v>
      </c>
      <c r="O108" s="43"/>
      <c r="P108" s="43"/>
      <c r="Q108" s="789"/>
    </row>
    <row r="109" spans="1:17" s="22" customFormat="1" ht="21.75" customHeight="1">
      <c r="A109" s="39">
        <v>801</v>
      </c>
      <c r="B109" s="39"/>
      <c r="C109" s="40" t="s">
        <v>367</v>
      </c>
      <c r="D109" s="41">
        <f t="shared" si="2"/>
        <v>0</v>
      </c>
      <c r="E109" s="41"/>
      <c r="F109" s="41"/>
      <c r="G109" s="41"/>
      <c r="H109" s="41"/>
      <c r="I109" s="41"/>
      <c r="J109" s="41"/>
      <c r="K109" s="41"/>
      <c r="L109" s="41"/>
      <c r="M109" s="41">
        <f>SUM(M110:M113)</f>
        <v>-6842197</v>
      </c>
      <c r="N109" s="41">
        <f>SUM(N110:N113)</f>
        <v>6512197</v>
      </c>
      <c r="O109" s="41">
        <f>SUM(O110:O113)</f>
        <v>330000</v>
      </c>
      <c r="P109" s="41"/>
      <c r="Q109" s="786"/>
    </row>
    <row r="110" spans="1:17" s="130" customFormat="1" ht="21.75" customHeight="1">
      <c r="A110" s="221"/>
      <c r="B110" s="222">
        <v>80101</v>
      </c>
      <c r="C110" s="129" t="s">
        <v>706</v>
      </c>
      <c r="D110" s="43">
        <f t="shared" si="2"/>
        <v>20000</v>
      </c>
      <c r="E110" s="43"/>
      <c r="F110" s="43"/>
      <c r="G110" s="43"/>
      <c r="H110" s="43"/>
      <c r="I110" s="43"/>
      <c r="J110" s="43"/>
      <c r="K110" s="43"/>
      <c r="L110" s="43"/>
      <c r="M110" s="43">
        <v>-4432520</v>
      </c>
      <c r="N110" s="43">
        <f>4432520-130000</f>
        <v>4302520</v>
      </c>
      <c r="O110" s="43">
        <v>150000</v>
      </c>
      <c r="P110" s="43"/>
      <c r="Q110" s="789"/>
    </row>
    <row r="111" spans="1:17" s="130" customFormat="1" ht="21.75" customHeight="1">
      <c r="A111" s="42"/>
      <c r="B111" s="44">
        <v>80110</v>
      </c>
      <c r="C111" s="433" t="s">
        <v>707</v>
      </c>
      <c r="D111" s="43">
        <f aca="true" t="shared" si="10" ref="D111:D169">SUM(E111:P111)</f>
        <v>0</v>
      </c>
      <c r="E111" s="434"/>
      <c r="F111" s="434"/>
      <c r="G111" s="434"/>
      <c r="H111" s="434"/>
      <c r="I111" s="434"/>
      <c r="J111" s="434"/>
      <c r="K111" s="434"/>
      <c r="L111" s="434"/>
      <c r="M111" s="434">
        <v>-297186</v>
      </c>
      <c r="N111" s="434">
        <v>297186</v>
      </c>
      <c r="O111" s="434"/>
      <c r="P111" s="434"/>
      <c r="Q111" s="789"/>
    </row>
    <row r="112" spans="1:17" s="130" customFormat="1" ht="21.75" customHeight="1">
      <c r="A112" s="42"/>
      <c r="B112" s="44">
        <v>80120</v>
      </c>
      <c r="C112" s="433" t="s">
        <v>708</v>
      </c>
      <c r="D112" s="434">
        <f t="shared" si="10"/>
        <v>-200000</v>
      </c>
      <c r="E112" s="434"/>
      <c r="F112" s="434"/>
      <c r="G112" s="434"/>
      <c r="H112" s="434"/>
      <c r="I112" s="434"/>
      <c r="J112" s="434"/>
      <c r="K112" s="434"/>
      <c r="L112" s="434"/>
      <c r="M112" s="434">
        <v>-252190</v>
      </c>
      <c r="N112" s="434">
        <f>252190-200000</f>
        <v>52190</v>
      </c>
      <c r="O112" s="434"/>
      <c r="P112" s="434"/>
      <c r="Q112" s="789"/>
    </row>
    <row r="113" spans="1:17" s="130" customFormat="1" ht="21.75" customHeight="1">
      <c r="A113" s="44"/>
      <c r="B113" s="44">
        <v>80130</v>
      </c>
      <c r="C113" s="433" t="s">
        <v>414</v>
      </c>
      <c r="D113" s="43">
        <f t="shared" si="10"/>
        <v>180000</v>
      </c>
      <c r="E113" s="434"/>
      <c r="F113" s="434"/>
      <c r="G113" s="434"/>
      <c r="H113" s="434"/>
      <c r="I113" s="434"/>
      <c r="J113" s="434"/>
      <c r="K113" s="434"/>
      <c r="L113" s="434"/>
      <c r="M113" s="434">
        <v>-1860301</v>
      </c>
      <c r="N113" s="434">
        <v>1860301</v>
      </c>
      <c r="O113" s="434">
        <v>180000</v>
      </c>
      <c r="P113" s="434"/>
      <c r="Q113" s="789"/>
    </row>
    <row r="114" spans="1:17" s="130" customFormat="1" ht="21.75" customHeight="1">
      <c r="A114" s="1593"/>
      <c r="B114" s="1593"/>
      <c r="C114" s="1594"/>
      <c r="D114" s="1595"/>
      <c r="E114" s="1595"/>
      <c r="F114" s="1595"/>
      <c r="G114" s="1595"/>
      <c r="H114" s="1595"/>
      <c r="I114" s="1595"/>
      <c r="J114" s="1595"/>
      <c r="K114" s="1595"/>
      <c r="L114" s="1595"/>
      <c r="M114" s="1595"/>
      <c r="N114" s="1595"/>
      <c r="O114" s="1595"/>
      <c r="P114" s="1595"/>
      <c r="Q114" s="789"/>
    </row>
    <row r="115" spans="1:17" s="22" customFormat="1" ht="21.75" customHeight="1">
      <c r="A115" s="39">
        <v>852</v>
      </c>
      <c r="B115" s="39"/>
      <c r="C115" s="40" t="s">
        <v>368</v>
      </c>
      <c r="D115" s="41">
        <f t="shared" si="10"/>
        <v>0</v>
      </c>
      <c r="E115" s="41"/>
      <c r="F115" s="41"/>
      <c r="G115" s="41"/>
      <c r="H115" s="41"/>
      <c r="I115" s="41"/>
      <c r="J115" s="41"/>
      <c r="K115" s="41"/>
      <c r="L115" s="41"/>
      <c r="M115" s="41">
        <f>M116</f>
        <v>-24846</v>
      </c>
      <c r="N115" s="41">
        <f>N116</f>
        <v>24846</v>
      </c>
      <c r="O115" s="41"/>
      <c r="P115" s="41"/>
      <c r="Q115" s="786"/>
    </row>
    <row r="116" spans="1:17" s="130" customFormat="1" ht="21.75" customHeight="1">
      <c r="A116" s="221"/>
      <c r="B116" s="222">
        <v>85202</v>
      </c>
      <c r="C116" s="129" t="s">
        <v>724</v>
      </c>
      <c r="D116" s="43">
        <f t="shared" si="10"/>
        <v>0</v>
      </c>
      <c r="E116" s="43"/>
      <c r="F116" s="43"/>
      <c r="G116" s="43"/>
      <c r="H116" s="43"/>
      <c r="I116" s="43"/>
      <c r="J116" s="43"/>
      <c r="K116" s="43"/>
      <c r="L116" s="43"/>
      <c r="M116" s="43">
        <v>-24846</v>
      </c>
      <c r="N116" s="43">
        <v>24846</v>
      </c>
      <c r="O116" s="43"/>
      <c r="P116" s="43"/>
      <c r="Q116" s="789"/>
    </row>
    <row r="117" spans="1:17" s="22" customFormat="1" ht="30.75" customHeight="1">
      <c r="A117" s="38">
        <v>900</v>
      </c>
      <c r="B117" s="39"/>
      <c r="C117" s="40" t="s">
        <v>600</v>
      </c>
      <c r="D117" s="41">
        <f t="shared" si="10"/>
        <v>0</v>
      </c>
      <c r="E117" s="41"/>
      <c r="F117" s="41"/>
      <c r="G117" s="41"/>
      <c r="H117" s="41"/>
      <c r="I117" s="41"/>
      <c r="J117" s="41"/>
      <c r="K117" s="41"/>
      <c r="L117" s="41"/>
      <c r="M117" s="41">
        <f>SUM(M118:M120)</f>
        <v>-9797015</v>
      </c>
      <c r="N117" s="41">
        <f>SUM(N118:N120)</f>
        <v>9557015</v>
      </c>
      <c r="O117" s="41">
        <f>SUM(O118:O120)</f>
        <v>240000</v>
      </c>
      <c r="P117" s="41"/>
      <c r="Q117" s="786"/>
    </row>
    <row r="118" spans="1:17" s="130" customFormat="1" ht="21.75" customHeight="1">
      <c r="A118" s="221"/>
      <c r="B118" s="222">
        <v>90001</v>
      </c>
      <c r="C118" s="129" t="s">
        <v>800</v>
      </c>
      <c r="D118" s="43">
        <f t="shared" si="10"/>
        <v>0</v>
      </c>
      <c r="E118" s="43"/>
      <c r="F118" s="43"/>
      <c r="G118" s="43"/>
      <c r="H118" s="43"/>
      <c r="I118" s="43"/>
      <c r="J118" s="43"/>
      <c r="K118" s="43"/>
      <c r="L118" s="43"/>
      <c r="M118" s="43">
        <v>-2448499</v>
      </c>
      <c r="N118" s="43">
        <v>2448499</v>
      </c>
      <c r="O118" s="43"/>
      <c r="P118" s="43"/>
      <c r="Q118" s="789"/>
    </row>
    <row r="119" spans="1:17" s="130" customFormat="1" ht="21.75" customHeight="1">
      <c r="A119" s="42"/>
      <c r="B119" s="44">
        <v>90002</v>
      </c>
      <c r="C119" s="433" t="s">
        <v>801</v>
      </c>
      <c r="D119" s="43">
        <f t="shared" si="10"/>
        <v>0</v>
      </c>
      <c r="E119" s="434"/>
      <c r="F119" s="434"/>
      <c r="G119" s="434"/>
      <c r="H119" s="434"/>
      <c r="I119" s="434"/>
      <c r="J119" s="434"/>
      <c r="K119" s="434"/>
      <c r="L119" s="434"/>
      <c r="M119" s="434">
        <v>-4144762</v>
      </c>
      <c r="N119" s="434">
        <v>4144762</v>
      </c>
      <c r="O119" s="434"/>
      <c r="P119" s="434"/>
      <c r="Q119" s="789"/>
    </row>
    <row r="120" spans="1:17" s="130" customFormat="1" ht="21.75" customHeight="1">
      <c r="A120" s="42"/>
      <c r="B120" s="44">
        <v>90095</v>
      </c>
      <c r="C120" s="433" t="s">
        <v>366</v>
      </c>
      <c r="D120" s="43">
        <f t="shared" si="10"/>
        <v>0</v>
      </c>
      <c r="E120" s="434"/>
      <c r="F120" s="434"/>
      <c r="G120" s="434"/>
      <c r="H120" s="434"/>
      <c r="I120" s="434"/>
      <c r="J120" s="434"/>
      <c r="K120" s="434"/>
      <c r="L120" s="434"/>
      <c r="M120" s="434">
        <v>-3203754</v>
      </c>
      <c r="N120" s="434">
        <f>3203754-240000</f>
        <v>2963754</v>
      </c>
      <c r="O120" s="434">
        <v>240000</v>
      </c>
      <c r="P120" s="434"/>
      <c r="Q120" s="789"/>
    </row>
    <row r="121" spans="1:17" s="22" customFormat="1" ht="22.5" customHeight="1">
      <c r="A121" s="38">
        <v>921</v>
      </c>
      <c r="B121" s="39"/>
      <c r="C121" s="40" t="s">
        <v>803</v>
      </c>
      <c r="D121" s="41">
        <f t="shared" si="10"/>
        <v>0</v>
      </c>
      <c r="E121" s="41"/>
      <c r="F121" s="41"/>
      <c r="G121" s="41"/>
      <c r="H121" s="41"/>
      <c r="I121" s="41"/>
      <c r="J121" s="41"/>
      <c r="K121" s="41"/>
      <c r="L121" s="41"/>
      <c r="M121" s="41">
        <f>SUM(M122:M123)</f>
        <v>-839020</v>
      </c>
      <c r="N121" s="41">
        <f>SUM(N122:N123)</f>
        <v>839020</v>
      </c>
      <c r="O121" s="41"/>
      <c r="P121" s="41"/>
      <c r="Q121" s="786"/>
    </row>
    <row r="122" spans="1:17" s="130" customFormat="1" ht="21.75" customHeight="1">
      <c r="A122" s="221"/>
      <c r="B122" s="222">
        <v>92113</v>
      </c>
      <c r="C122" s="129" t="s">
        <v>805</v>
      </c>
      <c r="D122" s="43">
        <f t="shared" si="10"/>
        <v>0</v>
      </c>
      <c r="E122" s="43"/>
      <c r="F122" s="43"/>
      <c r="G122" s="43"/>
      <c r="H122" s="43"/>
      <c r="I122" s="43"/>
      <c r="J122" s="43"/>
      <c r="K122" s="43"/>
      <c r="L122" s="43"/>
      <c r="M122" s="43">
        <v>-89020</v>
      </c>
      <c r="N122" s="43">
        <v>89020</v>
      </c>
      <c r="O122" s="43"/>
      <c r="P122" s="43"/>
      <c r="Q122" s="789"/>
    </row>
    <row r="123" spans="1:17" s="130" customFormat="1" ht="21.75" customHeight="1">
      <c r="A123" s="44"/>
      <c r="B123" s="44">
        <v>92120</v>
      </c>
      <c r="C123" s="433" t="s">
        <v>857</v>
      </c>
      <c r="D123" s="434">
        <f t="shared" si="10"/>
        <v>0</v>
      </c>
      <c r="E123" s="434"/>
      <c r="F123" s="434"/>
      <c r="G123" s="434"/>
      <c r="H123" s="434"/>
      <c r="I123" s="434"/>
      <c r="J123" s="434"/>
      <c r="K123" s="434"/>
      <c r="L123" s="434"/>
      <c r="M123" s="434">
        <v>-750000</v>
      </c>
      <c r="N123" s="434">
        <v>750000</v>
      </c>
      <c r="O123" s="434"/>
      <c r="P123" s="434"/>
      <c r="Q123" s="789"/>
    </row>
    <row r="124" spans="1:17" s="22" customFormat="1" ht="19.5" customHeight="1">
      <c r="A124" s="38">
        <v>926</v>
      </c>
      <c r="B124" s="39"/>
      <c r="C124" s="40" t="s">
        <v>804</v>
      </c>
      <c r="D124" s="41">
        <f t="shared" si="10"/>
        <v>0</v>
      </c>
      <c r="E124" s="41"/>
      <c r="F124" s="41"/>
      <c r="G124" s="41"/>
      <c r="H124" s="41"/>
      <c r="I124" s="41"/>
      <c r="J124" s="41"/>
      <c r="K124" s="41"/>
      <c r="L124" s="41"/>
      <c r="M124" s="41">
        <f>SUM(M125:M126)</f>
        <v>-6815515</v>
      </c>
      <c r="N124" s="41">
        <f>SUM(N125:N126)</f>
        <v>6815515</v>
      </c>
      <c r="O124" s="41"/>
      <c r="P124" s="41"/>
      <c r="Q124" s="786"/>
    </row>
    <row r="125" spans="1:17" s="130" customFormat="1" ht="17.25" customHeight="1">
      <c r="A125" s="221"/>
      <c r="B125" s="222">
        <v>92604</v>
      </c>
      <c r="C125" s="129" t="s">
        <v>806</v>
      </c>
      <c r="D125" s="43">
        <f t="shared" si="10"/>
        <v>0</v>
      </c>
      <c r="E125" s="43"/>
      <c r="F125" s="43"/>
      <c r="G125" s="43"/>
      <c r="H125" s="43"/>
      <c r="I125" s="43"/>
      <c r="J125" s="43"/>
      <c r="K125" s="43"/>
      <c r="L125" s="43"/>
      <c r="M125" s="43">
        <v>-6685359</v>
      </c>
      <c r="N125" s="43">
        <v>6685359</v>
      </c>
      <c r="O125" s="43"/>
      <c r="P125" s="43"/>
      <c r="Q125" s="789"/>
    </row>
    <row r="126" spans="1:17" s="130" customFormat="1" ht="21.75" customHeight="1">
      <c r="A126" s="42"/>
      <c r="B126" s="222">
        <v>92605</v>
      </c>
      <c r="C126" s="129" t="s">
        <v>840</v>
      </c>
      <c r="D126" s="43">
        <f t="shared" si="10"/>
        <v>0</v>
      </c>
      <c r="E126" s="43"/>
      <c r="F126" s="43"/>
      <c r="G126" s="43"/>
      <c r="H126" s="43"/>
      <c r="I126" s="43"/>
      <c r="J126" s="43"/>
      <c r="K126" s="43"/>
      <c r="L126" s="43"/>
      <c r="M126" s="43">
        <v>-130156</v>
      </c>
      <c r="N126" s="43">
        <v>130156</v>
      </c>
      <c r="O126" s="43"/>
      <c r="P126" s="43"/>
      <c r="Q126" s="789"/>
    </row>
    <row r="127" spans="1:17" s="22" customFormat="1" ht="47.25" customHeight="1" thickBot="1">
      <c r="A127" s="35"/>
      <c r="B127" s="35"/>
      <c r="C127" s="36" t="s">
        <v>399</v>
      </c>
      <c r="D127" s="37">
        <f t="shared" si="10"/>
        <v>0</v>
      </c>
      <c r="E127" s="37"/>
      <c r="F127" s="37"/>
      <c r="G127" s="37"/>
      <c r="H127" s="37"/>
      <c r="I127" s="37"/>
      <c r="J127" s="37"/>
      <c r="K127" s="37"/>
      <c r="L127" s="37"/>
      <c r="M127" s="37">
        <f>M128</f>
        <v>-142762</v>
      </c>
      <c r="N127" s="37">
        <f>N128</f>
        <v>142762</v>
      </c>
      <c r="O127" s="37"/>
      <c r="P127" s="37"/>
      <c r="Q127" s="786"/>
    </row>
    <row r="128" spans="1:17" s="22" customFormat="1" ht="21.75" customHeight="1" thickTop="1">
      <c r="A128" s="38">
        <v>700</v>
      </c>
      <c r="B128" s="39"/>
      <c r="C128" s="40" t="s">
        <v>333</v>
      </c>
      <c r="D128" s="41">
        <f t="shared" si="10"/>
        <v>0</v>
      </c>
      <c r="E128" s="41"/>
      <c r="F128" s="41"/>
      <c r="G128" s="41"/>
      <c r="H128" s="41"/>
      <c r="I128" s="41"/>
      <c r="J128" s="41"/>
      <c r="K128" s="41"/>
      <c r="L128" s="41"/>
      <c r="M128" s="41">
        <f>M129</f>
        <v>-142762</v>
      </c>
      <c r="N128" s="41">
        <f>N129</f>
        <v>142762</v>
      </c>
      <c r="O128" s="41"/>
      <c r="P128" s="41"/>
      <c r="Q128" s="786"/>
    </row>
    <row r="129" spans="1:17" s="130" customFormat="1" ht="21.75" customHeight="1">
      <c r="A129" s="221"/>
      <c r="B129" s="222">
        <v>70005</v>
      </c>
      <c r="C129" s="129" t="s">
        <v>401</v>
      </c>
      <c r="D129" s="43">
        <f t="shared" si="10"/>
        <v>0</v>
      </c>
      <c r="E129" s="43"/>
      <c r="F129" s="43"/>
      <c r="G129" s="43"/>
      <c r="H129" s="43"/>
      <c r="I129" s="43"/>
      <c r="J129" s="43"/>
      <c r="K129" s="43"/>
      <c r="L129" s="43"/>
      <c r="M129" s="43">
        <v>-142762</v>
      </c>
      <c r="N129" s="43">
        <v>142762</v>
      </c>
      <c r="O129" s="43"/>
      <c r="P129" s="43"/>
      <c r="Q129" s="789"/>
    </row>
    <row r="130" spans="1:17" s="133" customFormat="1" ht="21.75" customHeight="1">
      <c r="A130" s="42"/>
      <c r="B130" s="42"/>
      <c r="C130" s="131" t="s">
        <v>602</v>
      </c>
      <c r="D130" s="132">
        <f t="shared" si="10"/>
        <v>0</v>
      </c>
      <c r="E130" s="132"/>
      <c r="F130" s="132"/>
      <c r="G130" s="132"/>
      <c r="H130" s="132"/>
      <c r="I130" s="132"/>
      <c r="J130" s="132"/>
      <c r="K130" s="132"/>
      <c r="L130" s="132"/>
      <c r="M130" s="132">
        <f aca="true" t="shared" si="11" ref="M130:N132">M131</f>
        <v>-39709</v>
      </c>
      <c r="N130" s="132">
        <f t="shared" si="11"/>
        <v>39709</v>
      </c>
      <c r="O130" s="132"/>
      <c r="P130" s="132"/>
      <c r="Q130" s="790"/>
    </row>
    <row r="131" spans="1:17" s="130" customFormat="1" ht="21.75" customHeight="1" thickBot="1">
      <c r="A131" s="44"/>
      <c r="B131" s="44"/>
      <c r="C131" s="134" t="s">
        <v>360</v>
      </c>
      <c r="D131" s="135">
        <f t="shared" si="10"/>
        <v>0</v>
      </c>
      <c r="E131" s="135"/>
      <c r="F131" s="135"/>
      <c r="G131" s="135"/>
      <c r="H131" s="135"/>
      <c r="I131" s="135"/>
      <c r="J131" s="135"/>
      <c r="K131" s="135"/>
      <c r="L131" s="135"/>
      <c r="M131" s="135">
        <f t="shared" si="11"/>
        <v>-39709</v>
      </c>
      <c r="N131" s="135">
        <f t="shared" si="11"/>
        <v>39709</v>
      </c>
      <c r="O131" s="135"/>
      <c r="P131" s="135"/>
      <c r="Q131" s="789"/>
    </row>
    <row r="132" spans="1:17" s="22" customFormat="1" ht="36" customHeight="1" thickTop="1">
      <c r="A132" s="38">
        <v>754</v>
      </c>
      <c r="B132" s="39"/>
      <c r="C132" s="40" t="s">
        <v>361</v>
      </c>
      <c r="D132" s="41">
        <f t="shared" si="10"/>
        <v>0</v>
      </c>
      <c r="E132" s="41"/>
      <c r="F132" s="41"/>
      <c r="G132" s="41"/>
      <c r="H132" s="41"/>
      <c r="I132" s="41"/>
      <c r="J132" s="41"/>
      <c r="K132" s="41"/>
      <c r="L132" s="41"/>
      <c r="M132" s="41">
        <f t="shared" si="11"/>
        <v>-39709</v>
      </c>
      <c r="N132" s="41">
        <f t="shared" si="11"/>
        <v>39709</v>
      </c>
      <c r="O132" s="41"/>
      <c r="P132" s="41"/>
      <c r="Q132" s="786"/>
    </row>
    <row r="133" spans="1:17" s="130" customFormat="1" ht="21.75" customHeight="1">
      <c r="A133" s="221"/>
      <c r="B133" s="222">
        <v>75416</v>
      </c>
      <c r="C133" s="129" t="s">
        <v>603</v>
      </c>
      <c r="D133" s="43">
        <f t="shared" si="10"/>
        <v>0</v>
      </c>
      <c r="E133" s="43"/>
      <c r="F133" s="43"/>
      <c r="G133" s="43"/>
      <c r="H133" s="43"/>
      <c r="I133" s="43"/>
      <c r="J133" s="43"/>
      <c r="K133" s="43"/>
      <c r="L133" s="43"/>
      <c r="M133" s="43">
        <v>-39709</v>
      </c>
      <c r="N133" s="43">
        <v>39709</v>
      </c>
      <c r="O133" s="43"/>
      <c r="P133" s="43"/>
      <c r="Q133" s="789"/>
    </row>
    <row r="134" spans="1:17" s="133" customFormat="1" ht="33.75" customHeight="1">
      <c r="A134" s="42"/>
      <c r="B134" s="42"/>
      <c r="C134" s="781" t="s">
        <v>313</v>
      </c>
      <c r="D134" s="132">
        <f t="shared" si="10"/>
        <v>46000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>
        <f>N135+N139</f>
        <v>0</v>
      </c>
      <c r="O134" s="132">
        <f>O135+O139</f>
        <v>26000</v>
      </c>
      <c r="P134" s="132">
        <f>P135+P139</f>
        <v>20000</v>
      </c>
      <c r="Q134" s="790"/>
    </row>
    <row r="135" spans="1:17" s="130" customFormat="1" ht="23.25" customHeight="1" thickBot="1">
      <c r="A135" s="44"/>
      <c r="B135" s="44"/>
      <c r="C135" s="134" t="s">
        <v>360</v>
      </c>
      <c r="D135" s="135">
        <f t="shared" si="10"/>
        <v>0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135">
        <f>N136</f>
        <v>0</v>
      </c>
      <c r="O135" s="135"/>
      <c r="P135" s="135"/>
      <c r="Q135" s="789"/>
    </row>
    <row r="136" spans="1:17" s="22" customFormat="1" ht="23.25" customHeight="1" thickTop="1">
      <c r="A136" s="38">
        <v>852</v>
      </c>
      <c r="B136" s="39"/>
      <c r="C136" s="40" t="s">
        <v>368</v>
      </c>
      <c r="D136" s="41">
        <f t="shared" si="10"/>
        <v>0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>
        <f>SUM(N137:N138)</f>
        <v>0</v>
      </c>
      <c r="O136" s="41"/>
      <c r="P136" s="41"/>
      <c r="Q136" s="786"/>
    </row>
    <row r="137" spans="1:17" s="130" customFormat="1" ht="21.75" customHeight="1">
      <c r="A137" s="779"/>
      <c r="B137" s="473">
        <v>85201</v>
      </c>
      <c r="C137" s="474" t="s">
        <v>849</v>
      </c>
      <c r="D137" s="43">
        <f t="shared" si="10"/>
        <v>-1872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>
        <v>-1872</v>
      </c>
      <c r="O137" s="43"/>
      <c r="P137" s="43"/>
      <c r="Q137" s="789"/>
    </row>
    <row r="138" spans="1:17" s="130" customFormat="1" ht="21.75" customHeight="1">
      <c r="A138" s="30"/>
      <c r="B138" s="473">
        <v>85295</v>
      </c>
      <c r="C138" s="474" t="s">
        <v>366</v>
      </c>
      <c r="D138" s="43">
        <f t="shared" si="10"/>
        <v>1872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>
        <v>1872</v>
      </c>
      <c r="O138" s="43"/>
      <c r="P138" s="43"/>
      <c r="Q138" s="789"/>
    </row>
    <row r="139" spans="1:17" s="130" customFormat="1" ht="31.5" thickBot="1">
      <c r="A139" s="44"/>
      <c r="B139" s="44"/>
      <c r="C139" s="134" t="s">
        <v>847</v>
      </c>
      <c r="D139" s="135">
        <f>SUM(E139:P139)</f>
        <v>46000</v>
      </c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>
        <f>O140</f>
        <v>26000</v>
      </c>
      <c r="P139" s="135">
        <f>P140</f>
        <v>20000</v>
      </c>
      <c r="Q139" s="789"/>
    </row>
    <row r="140" spans="1:17" s="22" customFormat="1" ht="24" customHeight="1" thickTop="1">
      <c r="A140" s="38">
        <v>852</v>
      </c>
      <c r="B140" s="39"/>
      <c r="C140" s="40" t="s">
        <v>368</v>
      </c>
      <c r="D140" s="41">
        <f>SUM(E140:P140)</f>
        <v>46000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>
        <f>O141</f>
        <v>26000</v>
      </c>
      <c r="P140" s="41">
        <f>P141</f>
        <v>20000</v>
      </c>
      <c r="Q140" s="786"/>
    </row>
    <row r="141" spans="1:17" s="130" customFormat="1" ht="21.75" customHeight="1">
      <c r="A141" s="779"/>
      <c r="B141" s="473">
        <v>85295</v>
      </c>
      <c r="C141" s="474" t="s">
        <v>366</v>
      </c>
      <c r="D141" s="43">
        <f>SUM(E141:P141)</f>
        <v>46000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>
        <v>26000</v>
      </c>
      <c r="P141" s="43">
        <v>20000</v>
      </c>
      <c r="Q141" s="789"/>
    </row>
    <row r="142" spans="1:17" s="133" customFormat="1" ht="33.75" customHeight="1">
      <c r="A142" s="42"/>
      <c r="B142" s="42"/>
      <c r="C142" s="131" t="s">
        <v>307</v>
      </c>
      <c r="D142" s="132">
        <f t="shared" si="10"/>
        <v>63750</v>
      </c>
      <c r="E142" s="132"/>
      <c r="F142" s="132"/>
      <c r="G142" s="132">
        <f>G143+G147</f>
        <v>-10000</v>
      </c>
      <c r="H142" s="132">
        <f aca="true" t="shared" si="12" ref="H142:P142">H143+H147</f>
        <v>-10836</v>
      </c>
      <c r="I142" s="132"/>
      <c r="J142" s="132">
        <f t="shared" si="12"/>
        <v>-25000</v>
      </c>
      <c r="K142" s="132">
        <f t="shared" si="12"/>
        <v>-20000</v>
      </c>
      <c r="L142" s="132">
        <f t="shared" si="12"/>
        <v>-20000</v>
      </c>
      <c r="M142" s="132">
        <f t="shared" si="12"/>
        <v>-20000</v>
      </c>
      <c r="N142" s="132">
        <f t="shared" si="12"/>
        <v>25836</v>
      </c>
      <c r="O142" s="132">
        <f t="shared" si="12"/>
        <v>60000</v>
      </c>
      <c r="P142" s="132">
        <f t="shared" si="12"/>
        <v>83750</v>
      </c>
      <c r="Q142" s="790"/>
    </row>
    <row r="143" spans="1:17" s="130" customFormat="1" ht="21.75" customHeight="1" thickBot="1">
      <c r="A143" s="44"/>
      <c r="B143" s="44"/>
      <c r="C143" s="134" t="s">
        <v>360</v>
      </c>
      <c r="D143" s="135">
        <f t="shared" si="10"/>
        <v>0</v>
      </c>
      <c r="E143" s="135"/>
      <c r="F143" s="135"/>
      <c r="G143" s="135">
        <f>G144</f>
        <v>-10000</v>
      </c>
      <c r="H143" s="135">
        <f aca="true" t="shared" si="13" ref="H143:P143">H144</f>
        <v>-10836</v>
      </c>
      <c r="I143" s="135"/>
      <c r="J143" s="135">
        <f t="shared" si="13"/>
        <v>-25000</v>
      </c>
      <c r="K143" s="135">
        <f t="shared" si="13"/>
        <v>-20000</v>
      </c>
      <c r="L143" s="135">
        <f t="shared" si="13"/>
        <v>-20000</v>
      </c>
      <c r="M143" s="135">
        <f t="shared" si="13"/>
        <v>-20000</v>
      </c>
      <c r="N143" s="135">
        <f t="shared" si="13"/>
        <v>25836</v>
      </c>
      <c r="O143" s="135">
        <f t="shared" si="13"/>
        <v>40000</v>
      </c>
      <c r="P143" s="135">
        <f t="shared" si="13"/>
        <v>40000</v>
      </c>
      <c r="Q143" s="789"/>
    </row>
    <row r="144" spans="1:17" s="22" customFormat="1" ht="23.25" customHeight="1" thickTop="1">
      <c r="A144" s="38">
        <v>852</v>
      </c>
      <c r="B144" s="39"/>
      <c r="C144" s="40" t="s">
        <v>368</v>
      </c>
      <c r="D144" s="41">
        <f t="shared" si="10"/>
        <v>0</v>
      </c>
      <c r="E144" s="41"/>
      <c r="F144" s="41"/>
      <c r="G144" s="41">
        <f>G145+G146</f>
        <v>-10000</v>
      </c>
      <c r="H144" s="41">
        <f aca="true" t="shared" si="14" ref="H144:P144">H145+H146</f>
        <v>-10836</v>
      </c>
      <c r="I144" s="41"/>
      <c r="J144" s="41">
        <f t="shared" si="14"/>
        <v>-25000</v>
      </c>
      <c r="K144" s="41">
        <f t="shared" si="14"/>
        <v>-20000</v>
      </c>
      <c r="L144" s="41">
        <f t="shared" si="14"/>
        <v>-20000</v>
      </c>
      <c r="M144" s="41">
        <f t="shared" si="14"/>
        <v>-20000</v>
      </c>
      <c r="N144" s="41">
        <f t="shared" si="14"/>
        <v>25836</v>
      </c>
      <c r="O144" s="41">
        <f t="shared" si="14"/>
        <v>40000</v>
      </c>
      <c r="P144" s="41">
        <f t="shared" si="14"/>
        <v>40000</v>
      </c>
      <c r="Q144" s="786"/>
    </row>
    <row r="145" spans="1:17" s="130" customFormat="1" ht="21.75" customHeight="1">
      <c r="A145" s="779"/>
      <c r="B145" s="473">
        <v>85201</v>
      </c>
      <c r="C145" s="474" t="s">
        <v>849</v>
      </c>
      <c r="D145" s="43">
        <f t="shared" si="10"/>
        <v>139836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>
        <v>39836</v>
      </c>
      <c r="O145" s="43">
        <v>50000</v>
      </c>
      <c r="P145" s="43">
        <v>50000</v>
      </c>
      <c r="Q145" s="789"/>
    </row>
    <row r="146" spans="1:17" s="130" customFormat="1" ht="45.75">
      <c r="A146" s="30"/>
      <c r="B146" s="473">
        <v>85220</v>
      </c>
      <c r="C146" s="474" t="s">
        <v>285</v>
      </c>
      <c r="D146" s="43">
        <f t="shared" si="10"/>
        <v>-139836</v>
      </c>
      <c r="E146" s="43"/>
      <c r="F146" s="43"/>
      <c r="G146" s="43">
        <v>-10000</v>
      </c>
      <c r="H146" s="43">
        <v>-10836</v>
      </c>
      <c r="I146" s="43"/>
      <c r="J146" s="43">
        <v>-25000</v>
      </c>
      <c r="K146" s="43">
        <v>-20000</v>
      </c>
      <c r="L146" s="43">
        <v>-20000</v>
      </c>
      <c r="M146" s="43">
        <v>-20000</v>
      </c>
      <c r="N146" s="43">
        <v>-14000</v>
      </c>
      <c r="O146" s="43">
        <v>-10000</v>
      </c>
      <c r="P146" s="43">
        <v>-10000</v>
      </c>
      <c r="Q146" s="789"/>
    </row>
    <row r="147" spans="1:17" s="130" customFormat="1" ht="31.5" thickBot="1">
      <c r="A147" s="44"/>
      <c r="B147" s="44"/>
      <c r="C147" s="134" t="s">
        <v>847</v>
      </c>
      <c r="D147" s="135">
        <f t="shared" si="10"/>
        <v>63750</v>
      </c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>
        <f>O148</f>
        <v>20000</v>
      </c>
      <c r="P147" s="135">
        <f>P148</f>
        <v>43750</v>
      </c>
      <c r="Q147" s="789"/>
    </row>
    <row r="148" spans="1:17" s="22" customFormat="1" ht="24" customHeight="1" thickTop="1">
      <c r="A148" s="38">
        <v>852</v>
      </c>
      <c r="B148" s="39"/>
      <c r="C148" s="40" t="s">
        <v>368</v>
      </c>
      <c r="D148" s="41">
        <f t="shared" si="10"/>
        <v>63750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>
        <f>O149</f>
        <v>20000</v>
      </c>
      <c r="P148" s="41">
        <f>P149</f>
        <v>43750</v>
      </c>
      <c r="Q148" s="786"/>
    </row>
    <row r="149" spans="1:17" s="130" customFormat="1" ht="21.75" customHeight="1">
      <c r="A149" s="473"/>
      <c r="B149" s="473">
        <v>85295</v>
      </c>
      <c r="C149" s="474" t="s">
        <v>366</v>
      </c>
      <c r="D149" s="43">
        <f t="shared" si="10"/>
        <v>63750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>
        <v>20000</v>
      </c>
      <c r="P149" s="43">
        <v>43750</v>
      </c>
      <c r="Q149" s="789"/>
    </row>
    <row r="150" spans="1:17" s="133" customFormat="1" ht="21.75" customHeight="1">
      <c r="A150" s="42"/>
      <c r="B150" s="42"/>
      <c r="C150" s="781" t="s">
        <v>643</v>
      </c>
      <c r="D150" s="132">
        <f aca="true" t="shared" si="15" ref="D150:D157">SUM(E150:P150)</f>
        <v>61000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>
        <f>O151</f>
        <v>61000</v>
      </c>
      <c r="P150" s="132"/>
      <c r="Q150" s="790"/>
    </row>
    <row r="151" spans="1:17" s="130" customFormat="1" ht="31.5" thickBot="1">
      <c r="A151" s="44"/>
      <c r="B151" s="44"/>
      <c r="C151" s="134" t="s">
        <v>847</v>
      </c>
      <c r="D151" s="135">
        <f t="shared" si="15"/>
        <v>61000</v>
      </c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>
        <f>O152</f>
        <v>61000</v>
      </c>
      <c r="P151" s="135"/>
      <c r="Q151" s="789"/>
    </row>
    <row r="152" spans="1:17" s="22" customFormat="1" ht="24" customHeight="1" thickTop="1">
      <c r="A152" s="38">
        <v>852</v>
      </c>
      <c r="B152" s="39"/>
      <c r="C152" s="40" t="s">
        <v>368</v>
      </c>
      <c r="D152" s="41">
        <f t="shared" si="15"/>
        <v>61000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>
        <f>O153</f>
        <v>61000</v>
      </c>
      <c r="P152" s="41"/>
      <c r="Q152" s="786"/>
    </row>
    <row r="153" spans="1:17" s="130" customFormat="1" ht="21.75" customHeight="1">
      <c r="A153" s="779"/>
      <c r="B153" s="473">
        <v>85295</v>
      </c>
      <c r="C153" s="474" t="s">
        <v>366</v>
      </c>
      <c r="D153" s="43">
        <f t="shared" si="15"/>
        <v>61000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>
        <v>61000</v>
      </c>
      <c r="P153" s="43"/>
      <c r="Q153" s="789"/>
    </row>
    <row r="154" spans="1:17" s="133" customFormat="1" ht="21.75" customHeight="1">
      <c r="A154" s="42"/>
      <c r="B154" s="42"/>
      <c r="C154" s="781" t="s">
        <v>67</v>
      </c>
      <c r="D154" s="132">
        <f t="shared" si="15"/>
        <v>21550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>
        <f>O155</f>
        <v>21550</v>
      </c>
      <c r="P154" s="132"/>
      <c r="Q154" s="790"/>
    </row>
    <row r="155" spans="1:17" s="130" customFormat="1" ht="31.5" thickBot="1">
      <c r="A155" s="44"/>
      <c r="B155" s="44"/>
      <c r="C155" s="134" t="s">
        <v>847</v>
      </c>
      <c r="D155" s="135">
        <f t="shared" si="15"/>
        <v>21550</v>
      </c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>
        <f>O156</f>
        <v>21550</v>
      </c>
      <c r="P155" s="135"/>
      <c r="Q155" s="789"/>
    </row>
    <row r="156" spans="1:17" s="22" customFormat="1" ht="24" customHeight="1" thickTop="1">
      <c r="A156" s="38">
        <v>852</v>
      </c>
      <c r="B156" s="39"/>
      <c r="C156" s="40" t="s">
        <v>368</v>
      </c>
      <c r="D156" s="41">
        <f t="shared" si="15"/>
        <v>21550</v>
      </c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>
        <f>O157</f>
        <v>21550</v>
      </c>
      <c r="P156" s="41"/>
      <c r="Q156" s="786"/>
    </row>
    <row r="157" spans="1:17" s="130" customFormat="1" ht="21.75" customHeight="1">
      <c r="A157" s="779"/>
      <c r="B157" s="473">
        <v>85295</v>
      </c>
      <c r="C157" s="474" t="s">
        <v>366</v>
      </c>
      <c r="D157" s="43">
        <f t="shared" si="15"/>
        <v>21550</v>
      </c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>
        <v>21550</v>
      </c>
      <c r="P157" s="43"/>
      <c r="Q157" s="789"/>
    </row>
    <row r="158" spans="1:17" s="133" customFormat="1" ht="24.75" customHeight="1">
      <c r="A158" s="42"/>
      <c r="B158" s="42"/>
      <c r="C158" s="131" t="s">
        <v>3</v>
      </c>
      <c r="D158" s="132">
        <f>SUM(E158:P158)</f>
        <v>0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>
        <f>N159</f>
        <v>0</v>
      </c>
      <c r="O158" s="132"/>
      <c r="P158" s="132"/>
      <c r="Q158" s="790"/>
    </row>
    <row r="159" spans="1:17" s="130" customFormat="1" ht="21.75" customHeight="1" thickBot="1">
      <c r="A159" s="44"/>
      <c r="B159" s="44"/>
      <c r="C159" s="134" t="s">
        <v>360</v>
      </c>
      <c r="D159" s="135">
        <f>SUM(E159:P159)</f>
        <v>0</v>
      </c>
      <c r="E159" s="135"/>
      <c r="F159" s="135"/>
      <c r="G159" s="135"/>
      <c r="H159" s="135"/>
      <c r="I159" s="135"/>
      <c r="J159" s="135"/>
      <c r="K159" s="135"/>
      <c r="L159" s="135"/>
      <c r="M159" s="135"/>
      <c r="N159" s="135">
        <f>N160</f>
        <v>0</v>
      </c>
      <c r="O159" s="135"/>
      <c r="P159" s="135"/>
      <c r="Q159" s="789"/>
    </row>
    <row r="160" spans="1:17" s="22" customFormat="1" ht="24" customHeight="1" thickTop="1">
      <c r="A160" s="38">
        <v>852</v>
      </c>
      <c r="B160" s="39"/>
      <c r="C160" s="40" t="s">
        <v>368</v>
      </c>
      <c r="D160" s="41">
        <f>SUM(E160:P160)</f>
        <v>0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>
        <f>SUM(N161:N162)</f>
        <v>0</v>
      </c>
      <c r="O160" s="41"/>
      <c r="P160" s="41"/>
      <c r="Q160" s="786"/>
    </row>
    <row r="161" spans="1:17" s="130" customFormat="1" ht="21.75" customHeight="1">
      <c r="A161" s="779"/>
      <c r="B161" s="473">
        <v>85202</v>
      </c>
      <c r="C161" s="474" t="s">
        <v>724</v>
      </c>
      <c r="D161" s="43">
        <f>SUM(E161:P161)</f>
        <v>-2200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>
        <v>-2200</v>
      </c>
      <c r="O161" s="43"/>
      <c r="P161" s="43"/>
      <c r="Q161" s="789"/>
    </row>
    <row r="162" spans="1:17" s="130" customFormat="1" ht="21.75" customHeight="1">
      <c r="A162" s="30"/>
      <c r="B162" s="473">
        <v>85295</v>
      </c>
      <c r="C162" s="474" t="s">
        <v>366</v>
      </c>
      <c r="D162" s="43">
        <f>SUM(E162:P162)</f>
        <v>2200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>
        <v>2200</v>
      </c>
      <c r="O162" s="43"/>
      <c r="P162" s="43"/>
      <c r="Q162" s="789"/>
    </row>
    <row r="163" spans="1:17" s="133" customFormat="1" ht="35.25" customHeight="1">
      <c r="A163" s="42"/>
      <c r="B163" s="42"/>
      <c r="C163" s="131" t="s">
        <v>4</v>
      </c>
      <c r="D163" s="132">
        <f t="shared" si="10"/>
        <v>0</v>
      </c>
      <c r="E163" s="132"/>
      <c r="F163" s="132"/>
      <c r="G163" s="132"/>
      <c r="H163" s="132"/>
      <c r="I163" s="132"/>
      <c r="J163" s="132"/>
      <c r="K163" s="132"/>
      <c r="L163" s="132"/>
      <c r="M163" s="132">
        <f>M164</f>
        <v>-156500</v>
      </c>
      <c r="N163" s="132">
        <f>N164</f>
        <v>156500</v>
      </c>
      <c r="O163" s="132"/>
      <c r="P163" s="132"/>
      <c r="Q163" s="790"/>
    </row>
    <row r="164" spans="1:17" s="130" customFormat="1" ht="21.75" customHeight="1" thickBot="1">
      <c r="A164" s="44"/>
      <c r="B164" s="44"/>
      <c r="C164" s="134" t="s">
        <v>360</v>
      </c>
      <c r="D164" s="135">
        <f t="shared" si="10"/>
        <v>0</v>
      </c>
      <c r="E164" s="135"/>
      <c r="F164" s="135"/>
      <c r="G164" s="135"/>
      <c r="H164" s="135"/>
      <c r="I164" s="135"/>
      <c r="J164" s="135"/>
      <c r="K164" s="135"/>
      <c r="L164" s="135"/>
      <c r="M164" s="135">
        <f>M165</f>
        <v>-156500</v>
      </c>
      <c r="N164" s="135">
        <f>N165</f>
        <v>156500</v>
      </c>
      <c r="O164" s="135"/>
      <c r="P164" s="135"/>
      <c r="Q164" s="789"/>
    </row>
    <row r="165" spans="1:17" s="22" customFormat="1" ht="21.75" customHeight="1" thickTop="1">
      <c r="A165" s="38">
        <v>852</v>
      </c>
      <c r="B165" s="39"/>
      <c r="C165" s="40" t="s">
        <v>368</v>
      </c>
      <c r="D165" s="41">
        <f t="shared" si="10"/>
        <v>0</v>
      </c>
      <c r="E165" s="41"/>
      <c r="F165" s="41"/>
      <c r="G165" s="41"/>
      <c r="H165" s="41"/>
      <c r="I165" s="41"/>
      <c r="J165" s="41"/>
      <c r="K165" s="41"/>
      <c r="L165" s="41"/>
      <c r="M165" s="41">
        <f>SUM(M166:M167)</f>
        <v>-156500</v>
      </c>
      <c r="N165" s="41">
        <f>SUM(N166:N167)</f>
        <v>156500</v>
      </c>
      <c r="O165" s="41"/>
      <c r="P165" s="41"/>
      <c r="Q165" s="786"/>
    </row>
    <row r="166" spans="1:17" s="130" customFormat="1" ht="21.75" customHeight="1">
      <c r="A166" s="779"/>
      <c r="B166" s="473">
        <v>85202</v>
      </c>
      <c r="C166" s="474" t="s">
        <v>724</v>
      </c>
      <c r="D166" s="43">
        <f t="shared" si="10"/>
        <v>-792</v>
      </c>
      <c r="E166" s="43"/>
      <c r="F166" s="43"/>
      <c r="G166" s="43"/>
      <c r="H166" s="43"/>
      <c r="I166" s="43"/>
      <c r="J166" s="43"/>
      <c r="K166" s="43"/>
      <c r="L166" s="43"/>
      <c r="M166" s="43">
        <v>-156500</v>
      </c>
      <c r="N166" s="43">
        <f>-792+156500</f>
        <v>155708</v>
      </c>
      <c r="O166" s="43"/>
      <c r="P166" s="43"/>
      <c r="Q166" s="789"/>
    </row>
    <row r="167" spans="1:17" s="130" customFormat="1" ht="21.75" customHeight="1">
      <c r="A167" s="30"/>
      <c r="B167" s="473">
        <v>85295</v>
      </c>
      <c r="C167" s="474" t="s">
        <v>366</v>
      </c>
      <c r="D167" s="43">
        <f t="shared" si="10"/>
        <v>792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>
        <v>792</v>
      </c>
      <c r="O167" s="43"/>
      <c r="P167" s="43"/>
      <c r="Q167" s="789"/>
    </row>
    <row r="168" spans="1:17" s="33" customFormat="1" ht="21.75" customHeight="1">
      <c r="A168" s="30"/>
      <c r="B168" s="30"/>
      <c r="C168" s="31" t="s">
        <v>5</v>
      </c>
      <c r="D168" s="32">
        <f t="shared" si="10"/>
        <v>442700</v>
      </c>
      <c r="E168" s="32"/>
      <c r="F168" s="32"/>
      <c r="G168" s="32"/>
      <c r="H168" s="32"/>
      <c r="I168" s="32"/>
      <c r="J168" s="32"/>
      <c r="K168" s="32">
        <f aca="true" t="shared" si="16" ref="K168:P168">K169+K174+K177</f>
        <v>-246264</v>
      </c>
      <c r="L168" s="32">
        <f t="shared" si="16"/>
        <v>-272285</v>
      </c>
      <c r="M168" s="32">
        <f t="shared" si="16"/>
        <v>-297214</v>
      </c>
      <c r="N168" s="32">
        <f t="shared" si="16"/>
        <v>600263</v>
      </c>
      <c r="O168" s="32">
        <f t="shared" si="16"/>
        <v>373700</v>
      </c>
      <c r="P168" s="32">
        <f t="shared" si="16"/>
        <v>284500</v>
      </c>
      <c r="Q168" s="788"/>
    </row>
    <row r="169" spans="1:17" s="22" customFormat="1" ht="21.75" customHeight="1" thickBot="1">
      <c r="A169" s="35"/>
      <c r="B169" s="35"/>
      <c r="C169" s="36" t="s">
        <v>360</v>
      </c>
      <c r="D169" s="37">
        <f t="shared" si="10"/>
        <v>215000</v>
      </c>
      <c r="E169" s="37"/>
      <c r="F169" s="37"/>
      <c r="G169" s="37"/>
      <c r="H169" s="37"/>
      <c r="I169" s="37"/>
      <c r="J169" s="37"/>
      <c r="K169" s="37">
        <f aca="true" t="shared" si="17" ref="K169:P169">K170</f>
        <v>-246264</v>
      </c>
      <c r="L169" s="37">
        <f t="shared" si="17"/>
        <v>-272285</v>
      </c>
      <c r="M169" s="37">
        <f t="shared" si="17"/>
        <v>-297214</v>
      </c>
      <c r="N169" s="37">
        <f t="shared" si="17"/>
        <v>570263</v>
      </c>
      <c r="O169" s="37">
        <f t="shared" si="17"/>
        <v>210500</v>
      </c>
      <c r="P169" s="37">
        <f t="shared" si="17"/>
        <v>250000</v>
      </c>
      <c r="Q169" s="786"/>
    </row>
    <row r="170" spans="1:17" s="425" customFormat="1" ht="21.75" customHeight="1" thickTop="1">
      <c r="A170" s="421">
        <v>852</v>
      </c>
      <c r="B170" s="421"/>
      <c r="C170" s="853" t="s">
        <v>368</v>
      </c>
      <c r="D170" s="854">
        <f aca="true" t="shared" si="18" ref="D170:D223">SUM(E170:P170)</f>
        <v>215000</v>
      </c>
      <c r="E170" s="854"/>
      <c r="F170" s="854"/>
      <c r="G170" s="854"/>
      <c r="H170" s="854"/>
      <c r="I170" s="854"/>
      <c r="J170" s="854"/>
      <c r="K170" s="854">
        <f aca="true" t="shared" si="19" ref="K170:P170">SUM(K171:K173)</f>
        <v>-246264</v>
      </c>
      <c r="L170" s="854">
        <f t="shared" si="19"/>
        <v>-272285</v>
      </c>
      <c r="M170" s="854">
        <f t="shared" si="19"/>
        <v>-297214</v>
      </c>
      <c r="N170" s="854">
        <f t="shared" si="19"/>
        <v>570263</v>
      </c>
      <c r="O170" s="854">
        <f t="shared" si="19"/>
        <v>210500</v>
      </c>
      <c r="P170" s="854">
        <f t="shared" si="19"/>
        <v>250000</v>
      </c>
      <c r="Q170" s="792"/>
    </row>
    <row r="171" spans="1:17" s="130" customFormat="1" ht="24.75" customHeight="1">
      <c r="A171" s="435"/>
      <c r="B171" s="685">
        <v>85202</v>
      </c>
      <c r="C171" s="615" t="s">
        <v>724</v>
      </c>
      <c r="D171" s="686">
        <f t="shared" si="18"/>
        <v>0</v>
      </c>
      <c r="E171" s="686"/>
      <c r="F171" s="686"/>
      <c r="G171" s="686"/>
      <c r="H171" s="686"/>
      <c r="I171" s="686"/>
      <c r="J171" s="686"/>
      <c r="K171" s="686">
        <f>-20031</f>
        <v>-20031</v>
      </c>
      <c r="L171" s="686">
        <v>-4948</v>
      </c>
      <c r="M171" s="686">
        <v>-42847</v>
      </c>
      <c r="N171" s="686">
        <v>67826</v>
      </c>
      <c r="O171" s="686"/>
      <c r="P171" s="686"/>
      <c r="Q171" s="789"/>
    </row>
    <row r="172" spans="1:17" s="130" customFormat="1" ht="36" customHeight="1">
      <c r="A172" s="435"/>
      <c r="B172" s="616">
        <v>85214</v>
      </c>
      <c r="C172" s="614" t="s">
        <v>0</v>
      </c>
      <c r="D172" s="436">
        <f t="shared" si="18"/>
        <v>0</v>
      </c>
      <c r="E172" s="436"/>
      <c r="F172" s="436"/>
      <c r="G172" s="436"/>
      <c r="H172" s="436"/>
      <c r="I172" s="436"/>
      <c r="J172" s="436"/>
      <c r="K172" s="436">
        <v>-226233</v>
      </c>
      <c r="L172" s="436">
        <v>-267337</v>
      </c>
      <c r="M172" s="436">
        <v>-254367</v>
      </c>
      <c r="N172" s="436">
        <v>367937</v>
      </c>
      <c r="O172" s="436">
        <v>180000</v>
      </c>
      <c r="P172" s="436">
        <v>200000</v>
      </c>
      <c r="Q172" s="789"/>
    </row>
    <row r="173" spans="1:17" s="130" customFormat="1" ht="24.75" customHeight="1">
      <c r="A173" s="435"/>
      <c r="B173" s="473">
        <v>85295</v>
      </c>
      <c r="C173" s="474" t="s">
        <v>366</v>
      </c>
      <c r="D173" s="43">
        <f t="shared" si="18"/>
        <v>215000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>
        <v>134500</v>
      </c>
      <c r="O173" s="43">
        <v>30500</v>
      </c>
      <c r="P173" s="43">
        <v>50000</v>
      </c>
      <c r="Q173" s="789"/>
    </row>
    <row r="174" spans="1:17" s="130" customFormat="1" ht="31.5" thickBot="1">
      <c r="A174" s="44"/>
      <c r="B174" s="44"/>
      <c r="C174" s="134" t="s">
        <v>847</v>
      </c>
      <c r="D174" s="135">
        <f>SUM(E174:P174)</f>
        <v>7700</v>
      </c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>
        <f>O175</f>
        <v>3200</v>
      </c>
      <c r="P174" s="135">
        <f>P175</f>
        <v>4500</v>
      </c>
      <c r="Q174" s="789"/>
    </row>
    <row r="175" spans="1:17" s="22" customFormat="1" ht="24" customHeight="1" thickTop="1">
      <c r="A175" s="38">
        <v>852</v>
      </c>
      <c r="B175" s="39"/>
      <c r="C175" s="40" t="s">
        <v>368</v>
      </c>
      <c r="D175" s="41">
        <f>SUM(E175:P175)</f>
        <v>7700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>
        <f>O176</f>
        <v>3200</v>
      </c>
      <c r="P175" s="41">
        <f>P176</f>
        <v>4500</v>
      </c>
      <c r="Q175" s="786"/>
    </row>
    <row r="176" spans="1:17" s="130" customFormat="1" ht="21.75" customHeight="1">
      <c r="A176" s="779"/>
      <c r="B176" s="473">
        <v>85295</v>
      </c>
      <c r="C176" s="474" t="s">
        <v>366</v>
      </c>
      <c r="D176" s="43">
        <f>SUM(E176:P176)</f>
        <v>7700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>
        <v>3200</v>
      </c>
      <c r="P176" s="43">
        <v>4500</v>
      </c>
      <c r="Q176" s="789"/>
    </row>
    <row r="177" spans="1:17" s="440" customFormat="1" ht="49.5" customHeight="1" thickBot="1">
      <c r="A177" s="1105"/>
      <c r="B177" s="437"/>
      <c r="C177" s="438" t="s">
        <v>399</v>
      </c>
      <c r="D177" s="439">
        <f t="shared" si="18"/>
        <v>220000</v>
      </c>
      <c r="E177" s="439"/>
      <c r="F177" s="439"/>
      <c r="G177" s="439"/>
      <c r="H177" s="439"/>
      <c r="I177" s="439"/>
      <c r="J177" s="439"/>
      <c r="K177" s="439"/>
      <c r="L177" s="439"/>
      <c r="M177" s="439"/>
      <c r="N177" s="439">
        <f>SUM(N179:N180)</f>
        <v>30000</v>
      </c>
      <c r="O177" s="439">
        <f>SUM(O179:O180)</f>
        <v>160000</v>
      </c>
      <c r="P177" s="439">
        <f>SUM(P179:P180)</f>
        <v>30000</v>
      </c>
      <c r="Q177" s="793"/>
    </row>
    <row r="178" spans="1:17" s="425" customFormat="1" ht="21.75" customHeight="1" thickTop="1">
      <c r="A178" s="421">
        <v>852</v>
      </c>
      <c r="B178" s="422"/>
      <c r="C178" s="423" t="s">
        <v>368</v>
      </c>
      <c r="D178" s="424">
        <f>SUM(E178:P178)</f>
        <v>220000</v>
      </c>
      <c r="E178" s="424"/>
      <c r="F178" s="424"/>
      <c r="G178" s="424"/>
      <c r="H178" s="424"/>
      <c r="I178" s="424"/>
      <c r="J178" s="424"/>
      <c r="K178" s="424"/>
      <c r="L178" s="424"/>
      <c r="M178" s="424"/>
      <c r="N178" s="424">
        <f>SUM(N179:N180)</f>
        <v>30000</v>
      </c>
      <c r="O178" s="424">
        <f>SUM(O179:O180)</f>
        <v>160000</v>
      </c>
      <c r="P178" s="424">
        <f>SUM(P179:P180)</f>
        <v>30000</v>
      </c>
      <c r="Q178" s="792"/>
    </row>
    <row r="179" spans="1:17" s="130" customFormat="1" ht="22.5" customHeight="1">
      <c r="A179" s="1286"/>
      <c r="B179" s="222">
        <v>85203</v>
      </c>
      <c r="C179" s="447" t="s">
        <v>789</v>
      </c>
      <c r="D179" s="43">
        <f>SUM(E179:P179)</f>
        <v>190000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>
        <v>30000</v>
      </c>
      <c r="O179" s="43">
        <v>130000</v>
      </c>
      <c r="P179" s="43">
        <v>30000</v>
      </c>
      <c r="Q179" s="789"/>
    </row>
    <row r="180" spans="1:17" s="935" customFormat="1" ht="22.5" customHeight="1">
      <c r="A180" s="1287"/>
      <c r="B180" s="784">
        <v>85295</v>
      </c>
      <c r="C180" s="1106" t="s">
        <v>366</v>
      </c>
      <c r="D180" s="444">
        <f>SUM(E180:P180)</f>
        <v>30000</v>
      </c>
      <c r="E180" s="444"/>
      <c r="F180" s="444"/>
      <c r="G180" s="444"/>
      <c r="H180" s="444"/>
      <c r="I180" s="444"/>
      <c r="J180" s="444"/>
      <c r="K180" s="444"/>
      <c r="L180" s="444"/>
      <c r="M180" s="444"/>
      <c r="N180" s="444"/>
      <c r="O180" s="444">
        <v>30000</v>
      </c>
      <c r="P180" s="444"/>
      <c r="Q180" s="934"/>
    </row>
    <row r="181" spans="1:17" s="33" customFormat="1" ht="21.75" customHeight="1">
      <c r="A181" s="30"/>
      <c r="B181" s="30"/>
      <c r="C181" s="31" t="s">
        <v>6</v>
      </c>
      <c r="D181" s="32">
        <f t="shared" si="18"/>
        <v>5000</v>
      </c>
      <c r="E181" s="32"/>
      <c r="F181" s="32"/>
      <c r="G181" s="32"/>
      <c r="H181" s="32"/>
      <c r="I181" s="32"/>
      <c r="J181" s="32"/>
      <c r="K181" s="32"/>
      <c r="L181" s="32"/>
      <c r="M181" s="32">
        <f>M182+M185</f>
        <v>-105789</v>
      </c>
      <c r="N181" s="32">
        <f>N182+N185</f>
        <v>10464</v>
      </c>
      <c r="O181" s="32">
        <f>O182+O185</f>
        <v>42895</v>
      </c>
      <c r="P181" s="32">
        <f>P182+P185</f>
        <v>57430</v>
      </c>
      <c r="Q181" s="788"/>
    </row>
    <row r="182" spans="1:17" s="130" customFormat="1" ht="21.75" customHeight="1" thickBot="1">
      <c r="A182" s="44"/>
      <c r="B182" s="44"/>
      <c r="C182" s="134" t="s">
        <v>360</v>
      </c>
      <c r="D182" s="135">
        <f t="shared" si="18"/>
        <v>5000</v>
      </c>
      <c r="E182" s="135"/>
      <c r="F182" s="135"/>
      <c r="G182" s="135"/>
      <c r="H182" s="135"/>
      <c r="I182" s="135"/>
      <c r="J182" s="135"/>
      <c r="K182" s="135"/>
      <c r="L182" s="135"/>
      <c r="M182" s="135">
        <f aca="true" t="shared" si="20" ref="M182:P183">M183</f>
        <v>-105789</v>
      </c>
      <c r="N182" s="135">
        <f t="shared" si="20"/>
        <v>30000</v>
      </c>
      <c r="O182" s="135">
        <f t="shared" si="20"/>
        <v>42895</v>
      </c>
      <c r="P182" s="135">
        <f t="shared" si="20"/>
        <v>37894</v>
      </c>
      <c r="Q182" s="789"/>
    </row>
    <row r="183" spans="1:17" s="22" customFormat="1" ht="33.75" customHeight="1" thickTop="1">
      <c r="A183" s="38">
        <v>853</v>
      </c>
      <c r="B183" s="39"/>
      <c r="C183" s="40" t="s">
        <v>412</v>
      </c>
      <c r="D183" s="41">
        <f t="shared" si="18"/>
        <v>5000</v>
      </c>
      <c r="E183" s="41"/>
      <c r="F183" s="41"/>
      <c r="G183" s="41"/>
      <c r="H183" s="41"/>
      <c r="I183" s="41"/>
      <c r="J183" s="41"/>
      <c r="K183" s="41"/>
      <c r="L183" s="41"/>
      <c r="M183" s="41">
        <f t="shared" si="20"/>
        <v>-105789</v>
      </c>
      <c r="N183" s="41">
        <f t="shared" si="20"/>
        <v>30000</v>
      </c>
      <c r="O183" s="41">
        <f t="shared" si="20"/>
        <v>42895</v>
      </c>
      <c r="P183" s="41">
        <f t="shared" si="20"/>
        <v>37894</v>
      </c>
      <c r="Q183" s="786"/>
    </row>
    <row r="184" spans="1:17" s="130" customFormat="1" ht="21.75" customHeight="1">
      <c r="A184" s="222"/>
      <c r="B184" s="222">
        <v>85333</v>
      </c>
      <c r="C184" s="129" t="s">
        <v>331</v>
      </c>
      <c r="D184" s="43">
        <f t="shared" si="18"/>
        <v>5000</v>
      </c>
      <c r="E184" s="43"/>
      <c r="F184" s="43"/>
      <c r="G184" s="43"/>
      <c r="H184" s="43"/>
      <c r="I184" s="43"/>
      <c r="J184" s="43"/>
      <c r="K184" s="43"/>
      <c r="L184" s="43"/>
      <c r="M184" s="43">
        <v>-105789</v>
      </c>
      <c r="N184" s="43">
        <v>30000</v>
      </c>
      <c r="O184" s="43">
        <f>37895+5000</f>
        <v>42895</v>
      </c>
      <c r="P184" s="43">
        <v>37894</v>
      </c>
      <c r="Q184" s="789"/>
    </row>
    <row r="185" spans="1:17" s="130" customFormat="1" ht="45.75" customHeight="1" thickBot="1">
      <c r="A185" s="44"/>
      <c r="B185" s="44"/>
      <c r="C185" s="134" t="s">
        <v>399</v>
      </c>
      <c r="D185" s="135">
        <f t="shared" si="18"/>
        <v>0</v>
      </c>
      <c r="E185" s="135"/>
      <c r="F185" s="135"/>
      <c r="G185" s="135"/>
      <c r="H185" s="135"/>
      <c r="I185" s="135"/>
      <c r="J185" s="135"/>
      <c r="K185" s="135"/>
      <c r="L185" s="135"/>
      <c r="M185" s="135"/>
      <c r="N185" s="135">
        <f>N186</f>
        <v>-19536</v>
      </c>
      <c r="O185" s="135"/>
      <c r="P185" s="135">
        <f>P186</f>
        <v>19536</v>
      </c>
      <c r="Q185" s="789"/>
    </row>
    <row r="186" spans="1:17" s="22" customFormat="1" ht="22.5" customHeight="1" thickTop="1">
      <c r="A186" s="38">
        <v>851</v>
      </c>
      <c r="B186" s="39"/>
      <c r="C186" s="40" t="s">
        <v>370</v>
      </c>
      <c r="D186" s="41">
        <f t="shared" si="18"/>
        <v>0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>
        <f>N187</f>
        <v>-19536</v>
      </c>
      <c r="O186" s="41"/>
      <c r="P186" s="41">
        <f>P187</f>
        <v>19536</v>
      </c>
      <c r="Q186" s="786"/>
    </row>
    <row r="187" spans="1:17" s="130" customFormat="1" ht="45.75" customHeight="1">
      <c r="A187" s="221"/>
      <c r="B187" s="222">
        <v>85156</v>
      </c>
      <c r="C187" s="129" t="s">
        <v>846</v>
      </c>
      <c r="D187" s="43">
        <f t="shared" si="18"/>
        <v>0</v>
      </c>
      <c r="E187" s="43"/>
      <c r="F187" s="43"/>
      <c r="G187" s="43"/>
      <c r="H187" s="43"/>
      <c r="I187" s="43"/>
      <c r="J187" s="43"/>
      <c r="K187" s="43"/>
      <c r="L187" s="43"/>
      <c r="M187" s="43"/>
      <c r="N187" s="43">
        <v>-19536</v>
      </c>
      <c r="O187" s="43"/>
      <c r="P187" s="43">
        <v>19536</v>
      </c>
      <c r="Q187" s="789"/>
    </row>
    <row r="188" spans="1:17" s="173" customFormat="1" ht="21.75" customHeight="1">
      <c r="A188" s="196"/>
      <c r="B188" s="197"/>
      <c r="C188" s="198" t="s">
        <v>326</v>
      </c>
      <c r="D188" s="199">
        <f t="shared" si="18"/>
        <v>5763049</v>
      </c>
      <c r="E188" s="199"/>
      <c r="F188" s="199"/>
      <c r="G188" s="199"/>
      <c r="H188" s="199"/>
      <c r="I188" s="199"/>
      <c r="J188" s="199"/>
      <c r="K188" s="199"/>
      <c r="L188" s="199"/>
      <c r="M188" s="199">
        <f>M189+M227+M230</f>
        <v>-9942866</v>
      </c>
      <c r="N188" s="199">
        <f>N189+N227+N230</f>
        <v>14557964</v>
      </c>
      <c r="O188" s="199">
        <f>O189+O227+O230</f>
        <v>872896</v>
      </c>
      <c r="P188" s="199">
        <f>P189+P227+P230</f>
        <v>275055</v>
      </c>
      <c r="Q188" s="786"/>
    </row>
    <row r="189" spans="1:17" s="45" customFormat="1" ht="21.75" customHeight="1" thickBot="1">
      <c r="A189" s="200"/>
      <c r="B189" s="201"/>
      <c r="C189" s="202" t="s">
        <v>360</v>
      </c>
      <c r="D189" s="203">
        <f t="shared" si="18"/>
        <v>5763049</v>
      </c>
      <c r="E189" s="203"/>
      <c r="F189" s="203"/>
      <c r="G189" s="203"/>
      <c r="H189" s="203"/>
      <c r="I189" s="203"/>
      <c r="J189" s="203"/>
      <c r="K189" s="203"/>
      <c r="L189" s="203"/>
      <c r="M189" s="203">
        <f>M190+M192+M210+M214+M225</f>
        <v>-9938124</v>
      </c>
      <c r="N189" s="203">
        <f>N190+N192+N210+N214+N225</f>
        <v>14553222</v>
      </c>
      <c r="O189" s="203">
        <f>O190+O192+O210+O214+O225</f>
        <v>872896</v>
      </c>
      <c r="P189" s="203">
        <f>P190+P192+P210+P214+P225</f>
        <v>275055</v>
      </c>
      <c r="Q189" s="794"/>
    </row>
    <row r="190" spans="1:17" s="22" customFormat="1" ht="32.25" thickTop="1">
      <c r="A190" s="41">
        <v>754</v>
      </c>
      <c r="B190" s="38"/>
      <c r="C190" s="40" t="s">
        <v>361</v>
      </c>
      <c r="D190" s="41">
        <f>SUM(E190:P190)</f>
        <v>40000</v>
      </c>
      <c r="E190" s="41"/>
      <c r="F190" s="41"/>
      <c r="G190" s="41"/>
      <c r="H190" s="41"/>
      <c r="I190" s="41"/>
      <c r="J190" s="41"/>
      <c r="K190" s="41"/>
      <c r="L190" s="41"/>
      <c r="M190" s="41">
        <f>M191</f>
        <v>-53349</v>
      </c>
      <c r="N190" s="41">
        <f>N191</f>
        <v>53349</v>
      </c>
      <c r="O190" s="41"/>
      <c r="P190" s="41">
        <f>P191</f>
        <v>40000</v>
      </c>
      <c r="Q190" s="786"/>
    </row>
    <row r="191" spans="1:17" s="445" customFormat="1" ht="21.75" customHeight="1">
      <c r="A191" s="446"/>
      <c r="B191" s="442">
        <v>75495</v>
      </c>
      <c r="C191" s="443" t="s">
        <v>366</v>
      </c>
      <c r="D191" s="43">
        <f>SUM(E191:P191)</f>
        <v>40000</v>
      </c>
      <c r="E191" s="444"/>
      <c r="F191" s="444"/>
      <c r="G191" s="444"/>
      <c r="H191" s="444"/>
      <c r="I191" s="444"/>
      <c r="J191" s="444"/>
      <c r="K191" s="444"/>
      <c r="L191" s="444"/>
      <c r="M191" s="444">
        <v>-53349</v>
      </c>
      <c r="N191" s="444">
        <f>53349</f>
        <v>53349</v>
      </c>
      <c r="O191" s="444"/>
      <c r="P191" s="444">
        <v>40000</v>
      </c>
      <c r="Q191" s="789"/>
    </row>
    <row r="192" spans="1:17" s="22" customFormat="1" ht="21.75" customHeight="1">
      <c r="A192" s="41">
        <v>801</v>
      </c>
      <c r="B192" s="38"/>
      <c r="C192" s="40" t="s">
        <v>367</v>
      </c>
      <c r="D192" s="41">
        <f t="shared" si="18"/>
        <v>5054723</v>
      </c>
      <c r="E192" s="41"/>
      <c r="F192" s="41"/>
      <c r="G192" s="41"/>
      <c r="H192" s="41"/>
      <c r="I192" s="41"/>
      <c r="J192" s="41"/>
      <c r="K192" s="41"/>
      <c r="L192" s="41"/>
      <c r="M192" s="41">
        <f>SUM(M193:M209)</f>
        <v>-7084181</v>
      </c>
      <c r="N192" s="41">
        <f>SUM(N193:N209)</f>
        <v>11049412</v>
      </c>
      <c r="O192" s="41">
        <f>SUM(O193:O209)</f>
        <v>865141</v>
      </c>
      <c r="P192" s="41">
        <f>SUM(P193:P209)</f>
        <v>224351</v>
      </c>
      <c r="Q192" s="786"/>
    </row>
    <row r="193" spans="1:17" s="445" customFormat="1" ht="21.75" customHeight="1">
      <c r="A193" s="441"/>
      <c r="B193" s="442">
        <v>80101</v>
      </c>
      <c r="C193" s="443" t="s">
        <v>706</v>
      </c>
      <c r="D193" s="43">
        <f t="shared" si="18"/>
        <v>844815</v>
      </c>
      <c r="E193" s="444"/>
      <c r="F193" s="444"/>
      <c r="G193" s="444"/>
      <c r="H193" s="444"/>
      <c r="I193" s="444"/>
      <c r="J193" s="444"/>
      <c r="K193" s="444"/>
      <c r="L193" s="444"/>
      <c r="M193" s="444">
        <v>-1300302</v>
      </c>
      <c r="N193" s="444">
        <v>1896055</v>
      </c>
      <c r="O193" s="444">
        <v>138159</v>
      </c>
      <c r="P193" s="444">
        <v>110903</v>
      </c>
      <c r="Q193" s="789"/>
    </row>
    <row r="194" spans="1:17" s="445" customFormat="1" ht="21.75" customHeight="1">
      <c r="A194" s="441"/>
      <c r="B194" s="442">
        <v>80102</v>
      </c>
      <c r="C194" s="443" t="s">
        <v>809</v>
      </c>
      <c r="D194" s="43">
        <f t="shared" si="18"/>
        <v>632700</v>
      </c>
      <c r="E194" s="444"/>
      <c r="F194" s="444"/>
      <c r="G194" s="444"/>
      <c r="H194" s="444"/>
      <c r="I194" s="444"/>
      <c r="J194" s="444"/>
      <c r="K194" s="444"/>
      <c r="L194" s="444"/>
      <c r="M194" s="444"/>
      <c r="N194" s="444">
        <v>682700</v>
      </c>
      <c r="O194" s="444">
        <v>-30000</v>
      </c>
      <c r="P194" s="444">
        <v>-20000</v>
      </c>
      <c r="Q194" s="789"/>
    </row>
    <row r="195" spans="1:17" s="445" customFormat="1" ht="33.75" customHeight="1">
      <c r="A195" s="441"/>
      <c r="B195" s="442">
        <v>80103</v>
      </c>
      <c r="C195" s="443" t="s">
        <v>808</v>
      </c>
      <c r="D195" s="43">
        <f t="shared" si="18"/>
        <v>42456</v>
      </c>
      <c r="E195" s="444"/>
      <c r="F195" s="444"/>
      <c r="G195" s="444"/>
      <c r="H195" s="444"/>
      <c r="I195" s="444"/>
      <c r="J195" s="444"/>
      <c r="K195" s="444"/>
      <c r="L195" s="444"/>
      <c r="M195" s="444">
        <v>-67500</v>
      </c>
      <c r="N195" s="444">
        <v>109956</v>
      </c>
      <c r="O195" s="444"/>
      <c r="P195" s="444"/>
      <c r="Q195" s="789"/>
    </row>
    <row r="196" spans="1:17" s="445" customFormat="1" ht="21.75" customHeight="1">
      <c r="A196" s="441"/>
      <c r="B196" s="442">
        <v>80104</v>
      </c>
      <c r="C196" s="443" t="s">
        <v>704</v>
      </c>
      <c r="D196" s="43">
        <f t="shared" si="18"/>
        <v>755996</v>
      </c>
      <c r="E196" s="444"/>
      <c r="F196" s="444"/>
      <c r="G196" s="444"/>
      <c r="H196" s="444"/>
      <c r="I196" s="444"/>
      <c r="J196" s="444"/>
      <c r="K196" s="444"/>
      <c r="L196" s="444"/>
      <c r="M196" s="444">
        <v>-615682</v>
      </c>
      <c r="N196" s="444">
        <v>608196</v>
      </c>
      <c r="O196" s="444">
        <v>763482</v>
      </c>
      <c r="P196" s="444"/>
      <c r="Q196" s="789"/>
    </row>
    <row r="197" spans="1:17" s="445" customFormat="1" ht="21.75" customHeight="1">
      <c r="A197" s="441"/>
      <c r="B197" s="617">
        <v>80105</v>
      </c>
      <c r="C197" s="443" t="s">
        <v>810</v>
      </c>
      <c r="D197" s="434">
        <f t="shared" si="18"/>
        <v>78160</v>
      </c>
      <c r="E197" s="444"/>
      <c r="F197" s="444"/>
      <c r="G197" s="444"/>
      <c r="H197" s="444"/>
      <c r="I197" s="444"/>
      <c r="J197" s="444"/>
      <c r="K197" s="444"/>
      <c r="L197" s="444"/>
      <c r="M197" s="444">
        <v>-17354</v>
      </c>
      <c r="N197" s="444">
        <v>95514</v>
      </c>
      <c r="O197" s="444"/>
      <c r="P197" s="444"/>
      <c r="Q197" s="789"/>
    </row>
    <row r="198" spans="1:17" s="445" customFormat="1" ht="21.75" customHeight="1">
      <c r="A198" s="441"/>
      <c r="B198" s="442">
        <v>80110</v>
      </c>
      <c r="C198" s="443" t="s">
        <v>707</v>
      </c>
      <c r="D198" s="43">
        <f t="shared" si="18"/>
        <v>1722040</v>
      </c>
      <c r="E198" s="444"/>
      <c r="F198" s="444"/>
      <c r="G198" s="444"/>
      <c r="H198" s="444"/>
      <c r="I198" s="444"/>
      <c r="J198" s="444"/>
      <c r="K198" s="444"/>
      <c r="L198" s="444"/>
      <c r="M198" s="444">
        <v>-737525</v>
      </c>
      <c r="N198" s="444">
        <v>2333915</v>
      </c>
      <c r="O198" s="444"/>
      <c r="P198" s="444">
        <f>95000+30650</f>
        <v>125650</v>
      </c>
      <c r="Q198" s="789"/>
    </row>
    <row r="199" spans="1:17" s="445" customFormat="1" ht="21.75" customHeight="1">
      <c r="A199" s="441"/>
      <c r="B199" s="442">
        <v>80111</v>
      </c>
      <c r="C199" s="443" t="s">
        <v>833</v>
      </c>
      <c r="D199" s="43">
        <f t="shared" si="18"/>
        <v>86500</v>
      </c>
      <c r="E199" s="444"/>
      <c r="F199" s="444"/>
      <c r="G199" s="444"/>
      <c r="H199" s="444"/>
      <c r="I199" s="444"/>
      <c r="J199" s="444"/>
      <c r="K199" s="444"/>
      <c r="L199" s="444"/>
      <c r="M199" s="444">
        <v>-74700</v>
      </c>
      <c r="N199" s="444">
        <v>161200</v>
      </c>
      <c r="O199" s="444"/>
      <c r="P199" s="444"/>
      <c r="Q199" s="789"/>
    </row>
    <row r="200" spans="1:17" s="445" customFormat="1" ht="21.75" customHeight="1">
      <c r="A200" s="441"/>
      <c r="B200" s="442">
        <v>80113</v>
      </c>
      <c r="C200" s="443" t="s">
        <v>834</v>
      </c>
      <c r="D200" s="43">
        <f t="shared" si="18"/>
        <v>1084</v>
      </c>
      <c r="E200" s="444"/>
      <c r="F200" s="444"/>
      <c r="G200" s="444"/>
      <c r="H200" s="444"/>
      <c r="I200" s="444"/>
      <c r="J200" s="444"/>
      <c r="K200" s="444"/>
      <c r="L200" s="444"/>
      <c r="M200" s="444">
        <v>-90747</v>
      </c>
      <c r="N200" s="444">
        <v>63331</v>
      </c>
      <c r="O200" s="444">
        <f>-1500+10000</f>
        <v>8500</v>
      </c>
      <c r="P200" s="444">
        <v>20000</v>
      </c>
      <c r="Q200" s="789"/>
    </row>
    <row r="201" spans="1:17" s="445" customFormat="1" ht="21.75" customHeight="1">
      <c r="A201" s="441"/>
      <c r="B201" s="617">
        <v>80120</v>
      </c>
      <c r="C201" s="443" t="s">
        <v>708</v>
      </c>
      <c r="D201" s="434">
        <f t="shared" si="18"/>
        <v>771000</v>
      </c>
      <c r="E201" s="444"/>
      <c r="F201" s="444"/>
      <c r="G201" s="444"/>
      <c r="H201" s="444"/>
      <c r="I201" s="444"/>
      <c r="J201" s="444"/>
      <c r="K201" s="444"/>
      <c r="L201" s="444"/>
      <c r="M201" s="444">
        <v>-631266</v>
      </c>
      <c r="N201" s="444">
        <v>1402266</v>
      </c>
      <c r="O201" s="444"/>
      <c r="P201" s="444"/>
      <c r="Q201" s="789"/>
    </row>
    <row r="202" spans="1:17" s="445" customFormat="1" ht="21.75" customHeight="1">
      <c r="A202" s="441"/>
      <c r="B202" s="442">
        <v>80121</v>
      </c>
      <c r="C202" s="443" t="s">
        <v>835</v>
      </c>
      <c r="D202" s="43">
        <f t="shared" si="18"/>
        <v>52210</v>
      </c>
      <c r="E202" s="444"/>
      <c r="F202" s="444"/>
      <c r="G202" s="444"/>
      <c r="H202" s="444"/>
      <c r="I202" s="444"/>
      <c r="J202" s="444"/>
      <c r="K202" s="444"/>
      <c r="L202" s="444"/>
      <c r="M202" s="444"/>
      <c r="N202" s="444">
        <v>62210</v>
      </c>
      <c r="O202" s="444">
        <v>-5000</v>
      </c>
      <c r="P202" s="444">
        <v>-5000</v>
      </c>
      <c r="Q202" s="789"/>
    </row>
    <row r="203" spans="1:17" s="445" customFormat="1" ht="21.75" customHeight="1">
      <c r="A203" s="441"/>
      <c r="B203" s="617">
        <v>80123</v>
      </c>
      <c r="C203" s="443" t="s">
        <v>836</v>
      </c>
      <c r="D203" s="434">
        <f t="shared" si="18"/>
        <v>58331</v>
      </c>
      <c r="E203" s="444"/>
      <c r="F203" s="444"/>
      <c r="G203" s="444"/>
      <c r="H203" s="444"/>
      <c r="I203" s="444"/>
      <c r="J203" s="444"/>
      <c r="K203" s="444"/>
      <c r="L203" s="444"/>
      <c r="M203" s="444">
        <v>-447051</v>
      </c>
      <c r="N203" s="444">
        <v>505382</v>
      </c>
      <c r="O203" s="444"/>
      <c r="P203" s="444"/>
      <c r="Q203" s="789"/>
    </row>
    <row r="204" spans="1:17" s="445" customFormat="1" ht="21.75" customHeight="1">
      <c r="A204" s="441"/>
      <c r="B204" s="442">
        <v>80124</v>
      </c>
      <c r="C204" s="443" t="s">
        <v>837</v>
      </c>
      <c r="D204" s="43">
        <f t="shared" si="18"/>
        <v>-74000</v>
      </c>
      <c r="E204" s="444"/>
      <c r="F204" s="444"/>
      <c r="G204" s="444"/>
      <c r="H204" s="444"/>
      <c r="I204" s="444"/>
      <c r="J204" s="444"/>
      <c r="K204" s="444"/>
      <c r="L204" s="444"/>
      <c r="M204" s="444">
        <v>-61798</v>
      </c>
      <c r="N204" s="444">
        <v>5000</v>
      </c>
      <c r="O204" s="444">
        <v>-10000</v>
      </c>
      <c r="P204" s="444">
        <v>-7202</v>
      </c>
      <c r="Q204" s="789"/>
    </row>
    <row r="205" spans="1:17" s="130" customFormat="1" ht="21.75" customHeight="1">
      <c r="A205" s="42"/>
      <c r="B205" s="222">
        <v>80130</v>
      </c>
      <c r="C205" s="129" t="s">
        <v>414</v>
      </c>
      <c r="D205" s="43">
        <f t="shared" si="18"/>
        <v>-24012</v>
      </c>
      <c r="E205" s="43"/>
      <c r="F205" s="43"/>
      <c r="G205" s="43"/>
      <c r="H205" s="43"/>
      <c r="I205" s="43"/>
      <c r="J205" s="43"/>
      <c r="K205" s="43"/>
      <c r="L205" s="43"/>
      <c r="M205" s="43">
        <v>-2120604</v>
      </c>
      <c r="N205" s="43">
        <v>2096592</v>
      </c>
      <c r="O205" s="43"/>
      <c r="P205" s="43"/>
      <c r="Q205" s="789"/>
    </row>
    <row r="206" spans="1:17" s="130" customFormat="1" ht="21.75" customHeight="1">
      <c r="A206" s="42"/>
      <c r="B206" s="44">
        <v>80132</v>
      </c>
      <c r="C206" s="433" t="s">
        <v>838</v>
      </c>
      <c r="D206" s="43">
        <f t="shared" si="18"/>
        <v>0</v>
      </c>
      <c r="E206" s="434"/>
      <c r="F206" s="434"/>
      <c r="G206" s="434"/>
      <c r="H206" s="434"/>
      <c r="I206" s="434"/>
      <c r="J206" s="434"/>
      <c r="K206" s="434"/>
      <c r="L206" s="434"/>
      <c r="M206" s="434">
        <v>-66038</v>
      </c>
      <c r="N206" s="434">
        <v>66038</v>
      </c>
      <c r="O206" s="434"/>
      <c r="P206" s="434"/>
      <c r="Q206" s="789"/>
    </row>
    <row r="207" spans="1:17" s="130" customFormat="1" ht="21.75" customHeight="1">
      <c r="A207" s="42"/>
      <c r="B207" s="44">
        <v>80134</v>
      </c>
      <c r="C207" s="433" t="s">
        <v>839</v>
      </c>
      <c r="D207" s="43">
        <f t="shared" si="18"/>
        <v>113540</v>
      </c>
      <c r="E207" s="434"/>
      <c r="F207" s="434"/>
      <c r="G207" s="434"/>
      <c r="H207" s="434"/>
      <c r="I207" s="434"/>
      <c r="J207" s="434"/>
      <c r="K207" s="434"/>
      <c r="L207" s="434"/>
      <c r="M207" s="434">
        <v>-2681</v>
      </c>
      <c r="N207" s="434">
        <v>116221</v>
      </c>
      <c r="O207" s="434"/>
      <c r="P207" s="434"/>
      <c r="Q207" s="789"/>
    </row>
    <row r="208" spans="1:17" s="130" customFormat="1" ht="47.25" customHeight="1">
      <c r="A208" s="42"/>
      <c r="B208" s="44">
        <v>80140</v>
      </c>
      <c r="C208" s="433" t="s">
        <v>733</v>
      </c>
      <c r="D208" s="43">
        <f t="shared" si="18"/>
        <v>-21800</v>
      </c>
      <c r="E208" s="434"/>
      <c r="F208" s="434"/>
      <c r="G208" s="434"/>
      <c r="H208" s="434"/>
      <c r="I208" s="434"/>
      <c r="J208" s="434"/>
      <c r="K208" s="434"/>
      <c r="L208" s="434"/>
      <c r="M208" s="434">
        <v>-391466</v>
      </c>
      <c r="N208" s="434">
        <v>369666</v>
      </c>
      <c r="O208" s="434"/>
      <c r="P208" s="434"/>
      <c r="Q208" s="789"/>
    </row>
    <row r="209" spans="1:17" s="130" customFormat="1" ht="21.75" customHeight="1">
      <c r="A209" s="42"/>
      <c r="B209" s="44">
        <v>80146</v>
      </c>
      <c r="C209" s="433" t="s">
        <v>710</v>
      </c>
      <c r="D209" s="43">
        <f t="shared" si="18"/>
        <v>15703</v>
      </c>
      <c r="E209" s="434"/>
      <c r="F209" s="434"/>
      <c r="G209" s="434"/>
      <c r="H209" s="434"/>
      <c r="I209" s="434"/>
      <c r="J209" s="434"/>
      <c r="K209" s="434"/>
      <c r="L209" s="434"/>
      <c r="M209" s="434">
        <v>-459467</v>
      </c>
      <c r="N209" s="434">
        <v>475170</v>
      </c>
      <c r="O209" s="434"/>
      <c r="P209" s="434"/>
      <c r="Q209" s="789"/>
    </row>
    <row r="210" spans="1:17" s="22" customFormat="1" ht="21.75" customHeight="1">
      <c r="A210" s="38">
        <v>851</v>
      </c>
      <c r="B210" s="39"/>
      <c r="C210" s="40" t="s">
        <v>370</v>
      </c>
      <c r="D210" s="41">
        <f t="shared" si="18"/>
        <v>5000</v>
      </c>
      <c r="E210" s="41"/>
      <c r="F210" s="41"/>
      <c r="G210" s="41"/>
      <c r="H210" s="41"/>
      <c r="I210" s="41"/>
      <c r="J210" s="41"/>
      <c r="K210" s="41"/>
      <c r="L210" s="41"/>
      <c r="M210" s="41">
        <f>SUM(M211:M213)</f>
        <v>-121737</v>
      </c>
      <c r="N210" s="41">
        <f>SUM(N211:N213)</f>
        <v>123917</v>
      </c>
      <c r="O210" s="41"/>
      <c r="P210" s="41">
        <f>SUM(P211:P213)</f>
        <v>2820</v>
      </c>
      <c r="Q210" s="786"/>
    </row>
    <row r="211" spans="1:17" s="445" customFormat="1" ht="21.75" customHeight="1">
      <c r="A211" s="441"/>
      <c r="B211" s="442">
        <v>85149</v>
      </c>
      <c r="C211" s="443" t="s">
        <v>467</v>
      </c>
      <c r="D211" s="43">
        <f t="shared" si="18"/>
        <v>5000</v>
      </c>
      <c r="E211" s="444"/>
      <c r="F211" s="444"/>
      <c r="G211" s="444"/>
      <c r="H211" s="444"/>
      <c r="I211" s="444"/>
      <c r="J211" s="444"/>
      <c r="K211" s="444"/>
      <c r="L211" s="444"/>
      <c r="M211" s="444">
        <v>-10624</v>
      </c>
      <c r="N211" s="444">
        <v>12804</v>
      </c>
      <c r="O211" s="444"/>
      <c r="P211" s="444">
        <v>2820</v>
      </c>
      <c r="Q211" s="789"/>
    </row>
    <row r="212" spans="1:17" s="130" customFormat="1" ht="21.75" customHeight="1">
      <c r="A212" s="42"/>
      <c r="B212" s="222">
        <v>85154</v>
      </c>
      <c r="C212" s="129" t="s">
        <v>394</v>
      </c>
      <c r="D212" s="43">
        <f t="shared" si="18"/>
        <v>0</v>
      </c>
      <c r="E212" s="43"/>
      <c r="F212" s="43"/>
      <c r="G212" s="43"/>
      <c r="H212" s="43"/>
      <c r="I212" s="43"/>
      <c r="J212" s="43"/>
      <c r="K212" s="43"/>
      <c r="L212" s="43"/>
      <c r="M212" s="43">
        <v>-69716</v>
      </c>
      <c r="N212" s="43">
        <v>69716</v>
      </c>
      <c r="O212" s="43"/>
      <c r="P212" s="43"/>
      <c r="Q212" s="789"/>
    </row>
    <row r="213" spans="1:17" s="130" customFormat="1" ht="21.75" customHeight="1">
      <c r="A213" s="42"/>
      <c r="B213" s="44">
        <v>85195</v>
      </c>
      <c r="C213" s="433" t="s">
        <v>366</v>
      </c>
      <c r="D213" s="43">
        <f t="shared" si="18"/>
        <v>0</v>
      </c>
      <c r="E213" s="434"/>
      <c r="F213" s="434"/>
      <c r="G213" s="434"/>
      <c r="H213" s="434"/>
      <c r="I213" s="434"/>
      <c r="J213" s="434"/>
      <c r="K213" s="434"/>
      <c r="L213" s="434"/>
      <c r="M213" s="434">
        <v>-41397</v>
      </c>
      <c r="N213" s="434">
        <v>41397</v>
      </c>
      <c r="O213" s="434"/>
      <c r="P213" s="434"/>
      <c r="Q213" s="789"/>
    </row>
    <row r="214" spans="1:17" s="22" customFormat="1" ht="21.75" customHeight="1">
      <c r="A214" s="38">
        <v>854</v>
      </c>
      <c r="B214" s="39"/>
      <c r="C214" s="40" t="s">
        <v>369</v>
      </c>
      <c r="D214" s="41">
        <f t="shared" si="18"/>
        <v>663326</v>
      </c>
      <c r="E214" s="41"/>
      <c r="F214" s="41"/>
      <c r="G214" s="41"/>
      <c r="H214" s="41"/>
      <c r="I214" s="41"/>
      <c r="J214" s="41"/>
      <c r="K214" s="41"/>
      <c r="L214" s="41"/>
      <c r="M214" s="41">
        <f>SUM(M215:M224)</f>
        <v>-2671230</v>
      </c>
      <c r="N214" s="41">
        <f>SUM(N215:N224)</f>
        <v>3318917</v>
      </c>
      <c r="O214" s="41">
        <f>SUM(O215:O224)</f>
        <v>7755</v>
      </c>
      <c r="P214" s="41">
        <f>SUM(P215:P224)</f>
        <v>7884</v>
      </c>
      <c r="Q214" s="786"/>
    </row>
    <row r="215" spans="1:17" s="130" customFormat="1" ht="21.75" customHeight="1">
      <c r="A215" s="221"/>
      <c r="B215" s="222">
        <v>85401</v>
      </c>
      <c r="C215" s="129" t="s">
        <v>841</v>
      </c>
      <c r="D215" s="43">
        <f t="shared" si="18"/>
        <v>-17512</v>
      </c>
      <c r="E215" s="43"/>
      <c r="F215" s="43"/>
      <c r="G215" s="43"/>
      <c r="H215" s="43"/>
      <c r="I215" s="43"/>
      <c r="J215" s="43"/>
      <c r="K215" s="43"/>
      <c r="L215" s="43"/>
      <c r="M215" s="43">
        <v>-259827</v>
      </c>
      <c r="N215" s="43">
        <v>242315</v>
      </c>
      <c r="O215" s="43"/>
      <c r="P215" s="43"/>
      <c r="Q215" s="789"/>
    </row>
    <row r="216" spans="1:17" s="130" customFormat="1" ht="21.75" customHeight="1">
      <c r="A216" s="42"/>
      <c r="B216" s="222">
        <v>85403</v>
      </c>
      <c r="C216" s="129" t="s">
        <v>842</v>
      </c>
      <c r="D216" s="43">
        <f t="shared" si="18"/>
        <v>78400</v>
      </c>
      <c r="E216" s="43"/>
      <c r="F216" s="43"/>
      <c r="G216" s="43"/>
      <c r="H216" s="43"/>
      <c r="I216" s="43"/>
      <c r="J216" s="43"/>
      <c r="K216" s="43"/>
      <c r="L216" s="43"/>
      <c r="M216" s="43">
        <v>-1594131</v>
      </c>
      <c r="N216" s="43">
        <v>1672531</v>
      </c>
      <c r="O216" s="43"/>
      <c r="P216" s="43"/>
      <c r="Q216" s="789"/>
    </row>
    <row r="217" spans="1:17" s="130" customFormat="1" ht="34.5" customHeight="1">
      <c r="A217" s="42"/>
      <c r="B217" s="222">
        <v>85406</v>
      </c>
      <c r="C217" s="129" t="s">
        <v>843</v>
      </c>
      <c r="D217" s="43">
        <f t="shared" si="18"/>
        <v>68900</v>
      </c>
      <c r="E217" s="43"/>
      <c r="F217" s="43"/>
      <c r="G217" s="43"/>
      <c r="H217" s="43"/>
      <c r="I217" s="43"/>
      <c r="J217" s="43"/>
      <c r="K217" s="43"/>
      <c r="L217" s="43"/>
      <c r="M217" s="43">
        <v>-251498</v>
      </c>
      <c r="N217" s="43">
        <v>320398</v>
      </c>
      <c r="O217" s="43"/>
      <c r="P217" s="43"/>
      <c r="Q217" s="789"/>
    </row>
    <row r="218" spans="1:17" s="130" customFormat="1" ht="21.75" customHeight="1">
      <c r="A218" s="42"/>
      <c r="B218" s="222">
        <v>85407</v>
      </c>
      <c r="C218" s="129" t="s">
        <v>709</v>
      </c>
      <c r="D218" s="43">
        <f t="shared" si="18"/>
        <v>-3246</v>
      </c>
      <c r="E218" s="43"/>
      <c r="F218" s="43"/>
      <c r="G218" s="43"/>
      <c r="H218" s="43"/>
      <c r="I218" s="43"/>
      <c r="J218" s="43"/>
      <c r="K218" s="43"/>
      <c r="L218" s="43"/>
      <c r="M218" s="43">
        <v>-82150</v>
      </c>
      <c r="N218" s="43">
        <v>74404</v>
      </c>
      <c r="O218" s="43"/>
      <c r="P218" s="43">
        <v>4500</v>
      </c>
      <c r="Q218" s="789"/>
    </row>
    <row r="219" spans="1:17" s="130" customFormat="1" ht="21.75" customHeight="1">
      <c r="A219" s="44"/>
      <c r="B219" s="222">
        <v>85410</v>
      </c>
      <c r="C219" s="129" t="s">
        <v>732</v>
      </c>
      <c r="D219" s="43">
        <f t="shared" si="18"/>
        <v>274760</v>
      </c>
      <c r="E219" s="43"/>
      <c r="F219" s="43"/>
      <c r="G219" s="43"/>
      <c r="H219" s="43"/>
      <c r="I219" s="43"/>
      <c r="J219" s="43"/>
      <c r="K219" s="43"/>
      <c r="L219" s="43"/>
      <c r="M219" s="43">
        <v>-66618</v>
      </c>
      <c r="N219" s="43">
        <v>337994</v>
      </c>
      <c r="O219" s="43"/>
      <c r="P219" s="43">
        <v>3384</v>
      </c>
      <c r="Q219" s="789"/>
    </row>
    <row r="220" spans="1:17" s="130" customFormat="1" ht="21.75" customHeight="1">
      <c r="A220" s="42"/>
      <c r="B220" s="44">
        <v>85415</v>
      </c>
      <c r="C220" s="433" t="s">
        <v>705</v>
      </c>
      <c r="D220" s="434">
        <f t="shared" si="18"/>
        <v>8395</v>
      </c>
      <c r="E220" s="434"/>
      <c r="F220" s="434"/>
      <c r="G220" s="434"/>
      <c r="H220" s="434"/>
      <c r="I220" s="434"/>
      <c r="J220" s="434"/>
      <c r="K220" s="434"/>
      <c r="L220" s="434"/>
      <c r="M220" s="434">
        <v>-169247</v>
      </c>
      <c r="N220" s="434">
        <v>169887</v>
      </c>
      <c r="O220" s="434">
        <v>7755</v>
      </c>
      <c r="P220" s="434"/>
      <c r="Q220" s="789"/>
    </row>
    <row r="221" spans="1:17" s="130" customFormat="1" ht="21.75" customHeight="1">
      <c r="A221" s="42"/>
      <c r="B221" s="222">
        <v>85417</v>
      </c>
      <c r="C221" s="129" t="s">
        <v>844</v>
      </c>
      <c r="D221" s="43">
        <f t="shared" si="18"/>
        <v>3850</v>
      </c>
      <c r="E221" s="43"/>
      <c r="F221" s="43"/>
      <c r="G221" s="43"/>
      <c r="H221" s="43"/>
      <c r="I221" s="43"/>
      <c r="J221" s="43"/>
      <c r="K221" s="43"/>
      <c r="L221" s="43"/>
      <c r="M221" s="43">
        <v>-14238</v>
      </c>
      <c r="N221" s="43">
        <v>18088</v>
      </c>
      <c r="O221" s="43"/>
      <c r="P221" s="43"/>
      <c r="Q221" s="789"/>
    </row>
    <row r="222" spans="1:17" s="130" customFormat="1" ht="21.75" customHeight="1">
      <c r="A222" s="42"/>
      <c r="B222" s="44">
        <v>85421</v>
      </c>
      <c r="C222" s="433" t="s">
        <v>845</v>
      </c>
      <c r="D222" s="434">
        <f t="shared" si="18"/>
        <v>0</v>
      </c>
      <c r="E222" s="434"/>
      <c r="F222" s="434"/>
      <c r="G222" s="434"/>
      <c r="H222" s="434"/>
      <c r="I222" s="434"/>
      <c r="J222" s="434"/>
      <c r="K222" s="434"/>
      <c r="L222" s="434"/>
      <c r="M222" s="434">
        <v>-33734</v>
      </c>
      <c r="N222" s="434">
        <v>33734</v>
      </c>
      <c r="O222" s="434"/>
      <c r="P222" s="434"/>
      <c r="Q222" s="789"/>
    </row>
    <row r="223" spans="1:17" s="130" customFormat="1" ht="21.75" customHeight="1">
      <c r="A223" s="42"/>
      <c r="B223" s="222">
        <v>85446</v>
      </c>
      <c r="C223" s="129" t="s">
        <v>710</v>
      </c>
      <c r="D223" s="43">
        <f t="shared" si="18"/>
        <v>0</v>
      </c>
      <c r="E223" s="43"/>
      <c r="F223" s="43"/>
      <c r="G223" s="43"/>
      <c r="H223" s="43"/>
      <c r="I223" s="43"/>
      <c r="J223" s="43"/>
      <c r="K223" s="43"/>
      <c r="L223" s="43"/>
      <c r="M223" s="43">
        <v>-53806</v>
      </c>
      <c r="N223" s="43">
        <v>53806</v>
      </c>
      <c r="O223" s="43"/>
      <c r="P223" s="43"/>
      <c r="Q223" s="789"/>
    </row>
    <row r="224" spans="1:17" s="130" customFormat="1" ht="21.75" customHeight="1">
      <c r="A224" s="44"/>
      <c r="B224" s="44">
        <v>85495</v>
      </c>
      <c r="C224" s="433" t="s">
        <v>366</v>
      </c>
      <c r="D224" s="43">
        <f aca="true" t="shared" si="21" ref="D224:D232">SUM(E224:P224)</f>
        <v>249779</v>
      </c>
      <c r="E224" s="434"/>
      <c r="F224" s="434"/>
      <c r="G224" s="434"/>
      <c r="H224" s="434"/>
      <c r="I224" s="434"/>
      <c r="J224" s="434"/>
      <c r="K224" s="434"/>
      <c r="L224" s="434"/>
      <c r="M224" s="434">
        <v>-145981</v>
      </c>
      <c r="N224" s="434">
        <v>395760</v>
      </c>
      <c r="O224" s="434"/>
      <c r="P224" s="434"/>
      <c r="Q224" s="789"/>
    </row>
    <row r="225" spans="1:17" s="22" customFormat="1" ht="21.75" customHeight="1">
      <c r="A225" s="38">
        <v>926</v>
      </c>
      <c r="B225" s="39"/>
      <c r="C225" s="40" t="s">
        <v>804</v>
      </c>
      <c r="D225" s="41">
        <f t="shared" si="21"/>
        <v>0</v>
      </c>
      <c r="E225" s="41"/>
      <c r="F225" s="41"/>
      <c r="G225" s="41"/>
      <c r="H225" s="41"/>
      <c r="I225" s="41"/>
      <c r="J225" s="41"/>
      <c r="K225" s="41"/>
      <c r="L225" s="41"/>
      <c r="M225" s="41">
        <f>M226</f>
        <v>-7627</v>
      </c>
      <c r="N225" s="41">
        <f>N226</f>
        <v>7627</v>
      </c>
      <c r="O225" s="41"/>
      <c r="P225" s="41"/>
      <c r="Q225" s="786"/>
    </row>
    <row r="226" spans="1:17" s="130" customFormat="1" ht="21.75" customHeight="1">
      <c r="A226" s="221"/>
      <c r="B226" s="222">
        <v>92605</v>
      </c>
      <c r="C226" s="129" t="s">
        <v>840</v>
      </c>
      <c r="D226" s="43">
        <f t="shared" si="21"/>
        <v>0</v>
      </c>
      <c r="E226" s="43"/>
      <c r="F226" s="43"/>
      <c r="G226" s="43"/>
      <c r="H226" s="43"/>
      <c r="I226" s="43"/>
      <c r="J226" s="43"/>
      <c r="K226" s="43"/>
      <c r="L226" s="43"/>
      <c r="M226" s="43">
        <v>-7627</v>
      </c>
      <c r="N226" s="43">
        <v>7627</v>
      </c>
      <c r="O226" s="43"/>
      <c r="P226" s="43"/>
      <c r="Q226" s="789"/>
    </row>
    <row r="227" spans="1:17" s="45" customFormat="1" ht="38.25" customHeight="1" thickBot="1">
      <c r="A227" s="200"/>
      <c r="B227" s="201"/>
      <c r="C227" s="995" t="s">
        <v>398</v>
      </c>
      <c r="D227" s="203">
        <f>SUM(E227:P227)</f>
        <v>0</v>
      </c>
      <c r="E227" s="203"/>
      <c r="F227" s="203"/>
      <c r="G227" s="203"/>
      <c r="H227" s="203"/>
      <c r="I227" s="203"/>
      <c r="J227" s="203"/>
      <c r="K227" s="203"/>
      <c r="L227" s="203"/>
      <c r="M227" s="203">
        <f>M228</f>
        <v>-4500</v>
      </c>
      <c r="N227" s="203">
        <f>N228</f>
        <v>4500</v>
      </c>
      <c r="O227" s="203"/>
      <c r="P227" s="203"/>
      <c r="Q227" s="794"/>
    </row>
    <row r="228" spans="1:17" s="22" customFormat="1" ht="21.75" customHeight="1" thickTop="1">
      <c r="A228" s="41">
        <v>854</v>
      </c>
      <c r="B228" s="38"/>
      <c r="C228" s="958" t="s">
        <v>369</v>
      </c>
      <c r="D228" s="41">
        <f>SUM(E228:P228)</f>
        <v>0</v>
      </c>
      <c r="E228" s="41"/>
      <c r="F228" s="41"/>
      <c r="G228" s="41"/>
      <c r="H228" s="41"/>
      <c r="I228" s="41"/>
      <c r="J228" s="41"/>
      <c r="K228" s="41"/>
      <c r="L228" s="41"/>
      <c r="M228" s="41">
        <f>M229</f>
        <v>-4500</v>
      </c>
      <c r="N228" s="41">
        <f>N229</f>
        <v>4500</v>
      </c>
      <c r="O228" s="41"/>
      <c r="P228" s="41"/>
      <c r="Q228" s="786"/>
    </row>
    <row r="229" spans="1:17" s="445" customFormat="1" ht="21.75" customHeight="1">
      <c r="A229" s="441"/>
      <c r="B229" s="442">
        <v>85401</v>
      </c>
      <c r="C229" s="474" t="s">
        <v>841</v>
      </c>
      <c r="D229" s="43">
        <f>SUM(E229:P229)</f>
        <v>0</v>
      </c>
      <c r="E229" s="444"/>
      <c r="F229" s="444"/>
      <c r="G229" s="444"/>
      <c r="H229" s="444"/>
      <c r="I229" s="444"/>
      <c r="J229" s="434"/>
      <c r="K229" s="444"/>
      <c r="L229" s="444"/>
      <c r="M229" s="444">
        <v>-4500</v>
      </c>
      <c r="N229" s="444">
        <v>4500</v>
      </c>
      <c r="O229" s="444"/>
      <c r="P229" s="444"/>
      <c r="Q229" s="789"/>
    </row>
    <row r="230" spans="1:17" s="45" customFormat="1" ht="49.5" customHeight="1" thickBot="1">
      <c r="A230" s="200"/>
      <c r="B230" s="201"/>
      <c r="C230" s="638" t="s">
        <v>399</v>
      </c>
      <c r="D230" s="203">
        <f t="shared" si="21"/>
        <v>0</v>
      </c>
      <c r="E230" s="203"/>
      <c r="F230" s="203"/>
      <c r="G230" s="203"/>
      <c r="H230" s="203"/>
      <c r="I230" s="203"/>
      <c r="J230" s="203"/>
      <c r="K230" s="203"/>
      <c r="L230" s="203"/>
      <c r="M230" s="203">
        <f>M231</f>
        <v>-242</v>
      </c>
      <c r="N230" s="203">
        <f>N231</f>
        <v>242</v>
      </c>
      <c r="O230" s="203"/>
      <c r="P230" s="203"/>
      <c r="Q230" s="794"/>
    </row>
    <row r="231" spans="1:17" s="22" customFormat="1" ht="21.75" customHeight="1" thickTop="1">
      <c r="A231" s="41">
        <v>851</v>
      </c>
      <c r="B231" s="38"/>
      <c r="C231" s="426" t="s">
        <v>370</v>
      </c>
      <c r="D231" s="41">
        <f t="shared" si="21"/>
        <v>0</v>
      </c>
      <c r="E231" s="41"/>
      <c r="F231" s="41"/>
      <c r="G231" s="41"/>
      <c r="H231" s="41"/>
      <c r="I231" s="41"/>
      <c r="J231" s="41"/>
      <c r="K231" s="41"/>
      <c r="L231" s="41"/>
      <c r="M231" s="41">
        <f>M232</f>
        <v>-242</v>
      </c>
      <c r="N231" s="41">
        <f>N232</f>
        <v>242</v>
      </c>
      <c r="O231" s="41"/>
      <c r="P231" s="41"/>
      <c r="Q231" s="786"/>
    </row>
    <row r="232" spans="1:17" s="445" customFormat="1" ht="47.25" customHeight="1">
      <c r="A232" s="446"/>
      <c r="B232" s="442">
        <v>85156</v>
      </c>
      <c r="C232" s="129" t="s">
        <v>846</v>
      </c>
      <c r="D232" s="43">
        <f t="shared" si="21"/>
        <v>0</v>
      </c>
      <c r="E232" s="446"/>
      <c r="F232" s="446"/>
      <c r="G232" s="444"/>
      <c r="H232" s="444"/>
      <c r="I232" s="444"/>
      <c r="J232" s="444"/>
      <c r="K232" s="444"/>
      <c r="L232" s="444"/>
      <c r="M232" s="444">
        <v>-242</v>
      </c>
      <c r="N232" s="444">
        <v>242</v>
      </c>
      <c r="O232" s="444"/>
      <c r="P232" s="444"/>
      <c r="Q232" s="789"/>
    </row>
    <row r="233" spans="3:16" ht="76.5" customHeight="1">
      <c r="C233" s="46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2:17" ht="30" customHeight="1">
      <c r="B234" s="855" t="s">
        <v>172</v>
      </c>
      <c r="C234" s="1681"/>
      <c r="D234" s="47"/>
      <c r="E234" s="47"/>
      <c r="F234" s="47"/>
      <c r="G234" s="47"/>
      <c r="H234" s="47"/>
      <c r="I234" s="47"/>
      <c r="J234" s="47"/>
      <c r="K234" s="47"/>
      <c r="L234" s="47"/>
      <c r="M234" s="855" t="s">
        <v>174</v>
      </c>
      <c r="N234" s="1683"/>
      <c r="O234" s="1684"/>
      <c r="Q234" s="2"/>
    </row>
    <row r="235" spans="2:17" ht="20.25" customHeight="1">
      <c r="B235" s="1682" t="s">
        <v>173</v>
      </c>
      <c r="C235" s="1681"/>
      <c r="D235" s="47"/>
      <c r="E235" s="47"/>
      <c r="F235" s="47"/>
      <c r="G235" s="47"/>
      <c r="H235" s="47"/>
      <c r="I235" s="47"/>
      <c r="J235" s="47"/>
      <c r="K235" s="47"/>
      <c r="L235" s="47"/>
      <c r="M235" s="1682" t="s">
        <v>175</v>
      </c>
      <c r="N235" s="1683"/>
      <c r="O235" s="1684"/>
      <c r="Q235" s="2"/>
    </row>
    <row r="236" spans="3:16" ht="47.25" customHeight="1">
      <c r="C236" s="46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3:16" ht="35.25" customHeight="1">
      <c r="C237" s="46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3:16" ht="35.25" customHeight="1">
      <c r="C238" s="46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3:16" ht="30" customHeight="1">
      <c r="C239" s="46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3:16" ht="30" customHeight="1">
      <c r="C240" s="46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3:16" ht="30" customHeight="1">
      <c r="C241" s="46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3:16" ht="30" customHeight="1">
      <c r="C242" s="46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3:16" ht="30" customHeight="1">
      <c r="C243" s="46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3:16" ht="30" customHeight="1">
      <c r="C244" s="46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3:16" ht="30" customHeight="1">
      <c r="C245" s="46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3:16" ht="30" customHeight="1">
      <c r="C246" s="46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3:16" ht="30" customHeight="1">
      <c r="C247" s="46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3:16" ht="30" customHeight="1">
      <c r="C248" s="46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3:16" ht="30" customHeight="1">
      <c r="C249" s="46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3:16" ht="30" customHeight="1">
      <c r="C250" s="46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3:16" ht="30" customHeight="1">
      <c r="C251" s="46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3:16" ht="30" customHeight="1">
      <c r="C252" s="46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3:16" ht="30" customHeight="1">
      <c r="C253" s="46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3:16" ht="30" customHeight="1">
      <c r="C254" s="46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3:16" ht="48.75" customHeight="1">
      <c r="C255" s="46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3:16" ht="48.75" customHeight="1">
      <c r="C256" s="46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3:16" ht="48.75" customHeight="1">
      <c r="C257" s="46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3:16" ht="30" customHeight="1">
      <c r="C258" s="46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3:16" ht="30" customHeight="1">
      <c r="C259" s="46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3:16" ht="30" customHeight="1">
      <c r="C260" s="46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3:16" ht="30" customHeight="1">
      <c r="C261" s="46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3:16" ht="30" customHeight="1">
      <c r="C262" s="46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3:16" ht="30" customHeight="1">
      <c r="C263" s="46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ht="30" customHeight="1">
      <c r="C264" s="46"/>
    </row>
    <row r="265" ht="30" customHeight="1">
      <c r="C265" s="46"/>
    </row>
    <row r="266" ht="30" customHeight="1">
      <c r="C266" s="46"/>
    </row>
    <row r="267" ht="30" customHeight="1">
      <c r="C267" s="46"/>
    </row>
    <row r="268" ht="30" customHeight="1">
      <c r="C268" s="46"/>
    </row>
    <row r="269" ht="30" customHeight="1">
      <c r="C269" s="46"/>
    </row>
    <row r="270" ht="30" customHeight="1">
      <c r="C270" s="46"/>
    </row>
    <row r="271" ht="30" customHeight="1">
      <c r="C271" s="46"/>
    </row>
    <row r="272" ht="30" customHeight="1">
      <c r="C272" s="46"/>
    </row>
    <row r="273" ht="30" customHeight="1">
      <c r="C273" s="46"/>
    </row>
    <row r="274" ht="106.5" customHeight="1">
      <c r="C274" s="46"/>
    </row>
    <row r="275" ht="77.25" customHeight="1">
      <c r="C275" s="46"/>
    </row>
    <row r="276" ht="30" customHeight="1">
      <c r="C276" s="46"/>
    </row>
    <row r="277" ht="28.5" customHeight="1">
      <c r="C277" s="46"/>
    </row>
    <row r="278" ht="30" customHeight="1">
      <c r="C278" s="46"/>
    </row>
    <row r="279" ht="21.75" customHeight="1">
      <c r="C279" s="46"/>
    </row>
    <row r="280" ht="30" customHeight="1">
      <c r="C280" s="46"/>
    </row>
    <row r="281" ht="30" customHeight="1">
      <c r="C281" s="46"/>
    </row>
    <row r="282" ht="27.75" customHeight="1">
      <c r="C282" s="46"/>
    </row>
    <row r="283" ht="33" customHeight="1">
      <c r="C283" s="46"/>
    </row>
    <row r="284" ht="32.25" customHeight="1">
      <c r="C284" s="46"/>
    </row>
    <row r="285" ht="21" customHeight="1">
      <c r="C285" s="46"/>
    </row>
    <row r="286" ht="30" customHeight="1">
      <c r="C286" s="46"/>
    </row>
    <row r="287" ht="24" customHeight="1">
      <c r="C287" s="46"/>
    </row>
    <row r="288" ht="24.75" customHeight="1">
      <c r="C288" s="46"/>
    </row>
    <row r="289" ht="24.75" customHeight="1">
      <c r="C289" s="46"/>
    </row>
    <row r="290" ht="26.25" customHeight="1">
      <c r="C290" s="46"/>
    </row>
    <row r="291" ht="24" customHeight="1">
      <c r="C291" s="46"/>
    </row>
    <row r="292" ht="24" customHeight="1">
      <c r="C292" s="46"/>
    </row>
    <row r="293" ht="24.75" customHeight="1">
      <c r="C293" s="46"/>
    </row>
    <row r="294" ht="33.75" customHeight="1">
      <c r="C294" s="46"/>
    </row>
    <row r="295" ht="33.75" customHeight="1">
      <c r="C295" s="46"/>
    </row>
    <row r="296" ht="39.75" customHeight="1">
      <c r="C296" s="46"/>
    </row>
    <row r="297" spans="1:17" s="48" customFormat="1" ht="21.75" customHeight="1">
      <c r="A297" s="1"/>
      <c r="B297" s="1"/>
      <c r="C297" s="4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794"/>
    </row>
    <row r="298" ht="24.75" customHeight="1">
      <c r="C298" s="46"/>
    </row>
    <row r="299" ht="49.5" customHeight="1">
      <c r="C299" s="46"/>
    </row>
    <row r="300" ht="30.75" customHeight="1">
      <c r="C300" s="46"/>
    </row>
    <row r="301" ht="27.75" customHeight="1">
      <c r="C301" s="46"/>
    </row>
    <row r="302" ht="18">
      <c r="C302" s="46"/>
    </row>
    <row r="303" ht="18">
      <c r="C303" s="46"/>
    </row>
    <row r="304" ht="18">
      <c r="C304" s="46"/>
    </row>
    <row r="305" ht="18">
      <c r="C305" s="46"/>
    </row>
    <row r="306" ht="18">
      <c r="C306" s="46"/>
    </row>
    <row r="307" ht="18">
      <c r="C307" s="46"/>
    </row>
    <row r="308" ht="18">
      <c r="C308" s="46"/>
    </row>
    <row r="309" ht="18">
      <c r="C309" s="46"/>
    </row>
    <row r="310" ht="18">
      <c r="C310" s="46"/>
    </row>
    <row r="311" ht="18">
      <c r="C311" s="46"/>
    </row>
    <row r="312" ht="18">
      <c r="C312" s="46"/>
    </row>
    <row r="313" ht="18">
      <c r="C313" s="46"/>
    </row>
    <row r="314" ht="18">
      <c r="C314" s="46"/>
    </row>
    <row r="315" ht="18">
      <c r="C315" s="46"/>
    </row>
    <row r="316" ht="18">
      <c r="C316" s="46"/>
    </row>
    <row r="317" ht="18">
      <c r="C317" s="46"/>
    </row>
    <row r="318" ht="18">
      <c r="C318" s="46"/>
    </row>
    <row r="319" ht="18">
      <c r="C319" s="46"/>
    </row>
    <row r="320" ht="18">
      <c r="C320" s="46"/>
    </row>
    <row r="321" ht="18">
      <c r="C321" s="46"/>
    </row>
    <row r="322" ht="18">
      <c r="C322" s="46"/>
    </row>
    <row r="323" ht="18">
      <c r="C323" s="46"/>
    </row>
    <row r="324" ht="18">
      <c r="C324" s="46"/>
    </row>
    <row r="325" ht="18">
      <c r="C325" s="46"/>
    </row>
    <row r="326" ht="18">
      <c r="C326" s="46"/>
    </row>
    <row r="327" ht="18">
      <c r="C327" s="46"/>
    </row>
    <row r="328" ht="18">
      <c r="C328" s="46"/>
    </row>
    <row r="329" ht="18">
      <c r="C329" s="46"/>
    </row>
    <row r="330" ht="18">
      <c r="C330" s="46"/>
    </row>
    <row r="331" ht="18">
      <c r="C331" s="46"/>
    </row>
    <row r="332" ht="18">
      <c r="C332" s="46"/>
    </row>
    <row r="333" ht="18">
      <c r="C333" s="46"/>
    </row>
    <row r="334" ht="18">
      <c r="C334" s="46"/>
    </row>
    <row r="335" ht="18">
      <c r="C335" s="46"/>
    </row>
    <row r="336" ht="18">
      <c r="C336" s="46"/>
    </row>
    <row r="337" ht="18">
      <c r="C337" s="46"/>
    </row>
    <row r="338" ht="18">
      <c r="C338" s="46"/>
    </row>
    <row r="339" ht="18">
      <c r="C339" s="46"/>
    </row>
    <row r="340" ht="18">
      <c r="C340" s="46"/>
    </row>
    <row r="341" ht="18">
      <c r="C341" s="46"/>
    </row>
    <row r="342" ht="18">
      <c r="C342" s="46"/>
    </row>
    <row r="343" ht="18">
      <c r="C343" s="46"/>
    </row>
    <row r="344" ht="18">
      <c r="C344" s="46"/>
    </row>
    <row r="345" ht="18">
      <c r="C345" s="46"/>
    </row>
    <row r="346" ht="18">
      <c r="C346" s="46"/>
    </row>
    <row r="347" ht="18">
      <c r="C347" s="46"/>
    </row>
    <row r="348" ht="18">
      <c r="C348" s="46"/>
    </row>
    <row r="349" ht="18">
      <c r="C349" s="46"/>
    </row>
    <row r="350" ht="18">
      <c r="C350" s="46"/>
    </row>
    <row r="351" ht="18">
      <c r="C351" s="46"/>
    </row>
    <row r="352" ht="18">
      <c r="C352" s="46"/>
    </row>
    <row r="353" ht="18">
      <c r="C353" s="46"/>
    </row>
    <row r="354" ht="18">
      <c r="C354" s="46"/>
    </row>
    <row r="355" ht="18">
      <c r="C355" s="46"/>
    </row>
    <row r="356" ht="18">
      <c r="C356" s="46"/>
    </row>
    <row r="357" ht="18">
      <c r="C357" s="46"/>
    </row>
    <row r="358" ht="18">
      <c r="C358" s="46"/>
    </row>
    <row r="359" ht="18">
      <c r="C359" s="46"/>
    </row>
    <row r="360" ht="18">
      <c r="C360" s="46"/>
    </row>
    <row r="361" ht="18">
      <c r="C361" s="46"/>
    </row>
    <row r="362" ht="18">
      <c r="C362" s="46"/>
    </row>
    <row r="363" ht="18">
      <c r="C363" s="46"/>
    </row>
    <row r="364" ht="18">
      <c r="C364" s="46"/>
    </row>
    <row r="365" ht="18">
      <c r="C365" s="46"/>
    </row>
    <row r="366" ht="18">
      <c r="C366" s="46"/>
    </row>
    <row r="367" ht="18">
      <c r="C367" s="46"/>
    </row>
    <row r="368" ht="18">
      <c r="C368" s="46"/>
    </row>
    <row r="369" ht="18">
      <c r="C369" s="46"/>
    </row>
    <row r="370" ht="18">
      <c r="C370" s="46"/>
    </row>
    <row r="371" ht="18">
      <c r="C371" s="46"/>
    </row>
    <row r="372" ht="18">
      <c r="C372" s="46"/>
    </row>
    <row r="373" ht="18">
      <c r="C373" s="46"/>
    </row>
    <row r="374" ht="18">
      <c r="C374" s="46"/>
    </row>
    <row r="375" ht="18">
      <c r="C375" s="46"/>
    </row>
    <row r="376" ht="18">
      <c r="C376" s="46"/>
    </row>
    <row r="377" ht="18">
      <c r="C377" s="46"/>
    </row>
    <row r="378" ht="18">
      <c r="C378" s="46"/>
    </row>
    <row r="379" ht="18">
      <c r="C379" s="46"/>
    </row>
    <row r="380" ht="18">
      <c r="C380" s="46"/>
    </row>
    <row r="381" ht="18">
      <c r="C381" s="46"/>
    </row>
    <row r="382" ht="18">
      <c r="C382" s="46"/>
    </row>
    <row r="383" ht="18">
      <c r="C383" s="46"/>
    </row>
    <row r="384" ht="18">
      <c r="C384" s="46"/>
    </row>
    <row r="385" ht="18">
      <c r="C385" s="46"/>
    </row>
    <row r="386" ht="18">
      <c r="C386" s="46"/>
    </row>
    <row r="387" ht="18">
      <c r="C387" s="46"/>
    </row>
    <row r="388" ht="18">
      <c r="C388" s="46"/>
    </row>
    <row r="389" ht="18">
      <c r="C389" s="46"/>
    </row>
    <row r="390" ht="18">
      <c r="C390" s="46"/>
    </row>
    <row r="391" ht="18">
      <c r="C391" s="46"/>
    </row>
    <row r="392" ht="18">
      <c r="C392" s="46"/>
    </row>
    <row r="393" ht="18">
      <c r="C393" s="46"/>
    </row>
    <row r="394" ht="18">
      <c r="C394" s="46"/>
    </row>
    <row r="395" ht="18">
      <c r="C395" s="46"/>
    </row>
    <row r="396" ht="18">
      <c r="C396" s="46"/>
    </row>
    <row r="397" ht="18">
      <c r="C397" s="46"/>
    </row>
    <row r="398" ht="18">
      <c r="C398" s="46"/>
    </row>
    <row r="399" ht="18">
      <c r="C399" s="46"/>
    </row>
    <row r="400" ht="18">
      <c r="C400" s="46"/>
    </row>
    <row r="401" ht="18">
      <c r="C401" s="46"/>
    </row>
    <row r="402" ht="18">
      <c r="C402" s="46"/>
    </row>
    <row r="403" ht="18">
      <c r="C403" s="46"/>
    </row>
    <row r="404" ht="18">
      <c r="C404" s="46"/>
    </row>
    <row r="405" ht="18">
      <c r="C405" s="46"/>
    </row>
    <row r="406" ht="18">
      <c r="C406" s="46"/>
    </row>
    <row r="407" ht="18">
      <c r="C407" s="46"/>
    </row>
    <row r="408" ht="18">
      <c r="C408" s="46"/>
    </row>
    <row r="409" ht="18">
      <c r="C409" s="46"/>
    </row>
    <row r="410" ht="18">
      <c r="C410" s="46"/>
    </row>
    <row r="411" ht="18">
      <c r="C411" s="46"/>
    </row>
    <row r="412" ht="18">
      <c r="C412" s="46"/>
    </row>
    <row r="413" ht="18">
      <c r="C413" s="46"/>
    </row>
    <row r="414" ht="18">
      <c r="C414" s="46"/>
    </row>
    <row r="415" ht="18">
      <c r="C415" s="46"/>
    </row>
    <row r="416" ht="18">
      <c r="C416" s="46"/>
    </row>
    <row r="417" ht="18">
      <c r="C417" s="46"/>
    </row>
    <row r="418" ht="18">
      <c r="C418" s="46"/>
    </row>
    <row r="419" ht="18">
      <c r="C419" s="46"/>
    </row>
    <row r="420" ht="18">
      <c r="C420" s="46"/>
    </row>
    <row r="421" ht="18">
      <c r="C421" s="46"/>
    </row>
    <row r="422" ht="18">
      <c r="C422" s="46"/>
    </row>
    <row r="423" ht="18">
      <c r="C423" s="46"/>
    </row>
    <row r="424" ht="18">
      <c r="C424" s="46"/>
    </row>
    <row r="425" ht="18">
      <c r="C425" s="46"/>
    </row>
    <row r="426" ht="18">
      <c r="C426" s="46"/>
    </row>
    <row r="427" ht="18">
      <c r="C427" s="46"/>
    </row>
    <row r="428" ht="18">
      <c r="C428" s="46"/>
    </row>
    <row r="429" ht="18">
      <c r="C429" s="46"/>
    </row>
    <row r="430" ht="18">
      <c r="C430" s="46"/>
    </row>
    <row r="431" ht="18">
      <c r="C431" s="46"/>
    </row>
    <row r="432" ht="18">
      <c r="C432" s="46"/>
    </row>
    <row r="433" ht="18">
      <c r="C433" s="46"/>
    </row>
    <row r="434" ht="18">
      <c r="C434" s="46"/>
    </row>
    <row r="435" ht="18">
      <c r="C435" s="46"/>
    </row>
    <row r="436" ht="18">
      <c r="C436" s="46"/>
    </row>
    <row r="437" ht="18">
      <c r="C437" s="46"/>
    </row>
    <row r="438" ht="18">
      <c r="C438" s="46"/>
    </row>
    <row r="439" ht="18">
      <c r="C439" s="46"/>
    </row>
    <row r="440" ht="18">
      <c r="C440" s="46"/>
    </row>
    <row r="441" ht="18">
      <c r="C441" s="46"/>
    </row>
    <row r="442" ht="18">
      <c r="C442" s="46"/>
    </row>
    <row r="443" ht="18">
      <c r="C443" s="46"/>
    </row>
    <row r="444" ht="18">
      <c r="C444" s="46"/>
    </row>
    <row r="445" ht="18">
      <c r="C445" s="46"/>
    </row>
    <row r="446" ht="18">
      <c r="C446" s="46"/>
    </row>
    <row r="447" ht="18">
      <c r="C447" s="46"/>
    </row>
    <row r="448" ht="18">
      <c r="C448" s="46"/>
    </row>
    <row r="449" ht="18">
      <c r="C449" s="46"/>
    </row>
    <row r="450" ht="18">
      <c r="C450" s="46"/>
    </row>
    <row r="451" ht="18">
      <c r="C451" s="46"/>
    </row>
    <row r="452" ht="18">
      <c r="C452" s="46"/>
    </row>
    <row r="453" ht="18">
      <c r="C453" s="46"/>
    </row>
    <row r="454" ht="18">
      <c r="C454" s="46"/>
    </row>
    <row r="455" ht="18">
      <c r="C455" s="46"/>
    </row>
    <row r="456" ht="18">
      <c r="C456" s="46"/>
    </row>
    <row r="457" ht="18">
      <c r="C457" s="46"/>
    </row>
    <row r="458" ht="18">
      <c r="C458" s="46"/>
    </row>
    <row r="459" ht="18">
      <c r="C459" s="46"/>
    </row>
    <row r="460" ht="18">
      <c r="C460" s="46"/>
    </row>
    <row r="461" ht="18">
      <c r="C461" s="46"/>
    </row>
    <row r="462" ht="18">
      <c r="C462" s="46"/>
    </row>
    <row r="463" ht="18">
      <c r="C463" s="46"/>
    </row>
    <row r="464" ht="18">
      <c r="C464" s="46"/>
    </row>
    <row r="465" ht="18">
      <c r="C465" s="46"/>
    </row>
    <row r="466" ht="18">
      <c r="C466" s="46"/>
    </row>
    <row r="467" ht="18">
      <c r="C467" s="46"/>
    </row>
    <row r="468" ht="18">
      <c r="C468" s="46"/>
    </row>
    <row r="469" ht="18">
      <c r="C469" s="46"/>
    </row>
    <row r="470" ht="18">
      <c r="C470" s="46"/>
    </row>
    <row r="471" ht="18">
      <c r="C471" s="46"/>
    </row>
    <row r="472" ht="18">
      <c r="C472" s="46"/>
    </row>
    <row r="473" ht="18">
      <c r="C473" s="46"/>
    </row>
    <row r="474" ht="18">
      <c r="C474" s="46"/>
    </row>
    <row r="475" ht="18">
      <c r="C475" s="46"/>
    </row>
    <row r="476" ht="18">
      <c r="C476" s="46"/>
    </row>
    <row r="477" ht="18">
      <c r="C477" s="46"/>
    </row>
    <row r="478" ht="18">
      <c r="C478" s="46"/>
    </row>
    <row r="479" ht="18">
      <c r="C479" s="46"/>
    </row>
    <row r="480" ht="18">
      <c r="C480" s="46"/>
    </row>
    <row r="481" ht="18">
      <c r="C481" s="46"/>
    </row>
    <row r="482" ht="18">
      <c r="C482" s="46"/>
    </row>
    <row r="483" ht="18">
      <c r="C483" s="46"/>
    </row>
    <row r="484" ht="18">
      <c r="C484" s="46"/>
    </row>
  </sheetData>
  <printOptions horizontalCentered="1"/>
  <pageMargins left="0.3937007874015748" right="0.3937007874015748" top="0.6692913385826772" bottom="0.4724409448818898" header="0.3937007874015748" footer="0.35433070866141736"/>
  <pageSetup firstPageNumber="89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43">
      <selection activeCell="D58" sqref="D58"/>
    </sheetView>
  </sheetViews>
  <sheetFormatPr defaultColWidth="9.00390625" defaultRowHeight="12.75"/>
  <cols>
    <col min="1" max="1" width="5.25390625" style="22" customWidth="1"/>
    <col min="2" max="2" width="8.125" style="22" customWidth="1"/>
    <col min="3" max="3" width="58.875" style="22" customWidth="1"/>
    <col min="4" max="4" width="17.375" style="22" customWidth="1"/>
    <col min="5" max="5" width="12.75390625" style="22" customWidth="1"/>
    <col min="6" max="6" width="13.75390625" style="22" customWidth="1"/>
    <col min="7" max="7" width="16.75390625" style="22" customWidth="1"/>
    <col min="8" max="9" width="12.75390625" style="22" customWidth="1"/>
    <col min="10" max="10" width="10.375" style="0" customWidth="1"/>
    <col min="11" max="12" width="12.75390625" style="0" customWidth="1"/>
  </cols>
  <sheetData>
    <row r="1" spans="3:8" ht="18" customHeight="1">
      <c r="C1" s="170"/>
      <c r="E1" s="171"/>
      <c r="F1" s="171"/>
      <c r="G1" s="171" t="s">
        <v>447</v>
      </c>
      <c r="H1" s="171"/>
    </row>
    <row r="2" spans="1:8" ht="18" customHeight="1">
      <c r="A2" s="172" t="s">
        <v>402</v>
      </c>
      <c r="B2" s="171"/>
      <c r="C2" s="171"/>
      <c r="E2" s="173"/>
      <c r="F2" s="173"/>
      <c r="G2" s="173" t="s">
        <v>15</v>
      </c>
      <c r="H2" s="173"/>
    </row>
    <row r="3" spans="1:8" ht="18" customHeight="1">
      <c r="A3" s="172" t="s">
        <v>403</v>
      </c>
      <c r="B3" s="171"/>
      <c r="C3" s="171"/>
      <c r="E3" s="173"/>
      <c r="F3" s="173"/>
      <c r="G3" s="173" t="s">
        <v>337</v>
      </c>
      <c r="H3" s="173"/>
    </row>
    <row r="4" spans="1:8" ht="18" customHeight="1">
      <c r="A4" s="172" t="s">
        <v>404</v>
      </c>
      <c r="B4" s="171"/>
      <c r="C4" s="171"/>
      <c r="E4" s="173"/>
      <c r="F4" s="173"/>
      <c r="G4" s="173" t="s">
        <v>787</v>
      </c>
      <c r="H4" s="173"/>
    </row>
    <row r="5" spans="4:9" ht="22.5" customHeight="1" thickBot="1">
      <c r="D5" s="174"/>
      <c r="E5" s="174"/>
      <c r="F5" s="174"/>
      <c r="H5" s="174"/>
      <c r="I5" s="174" t="s">
        <v>338</v>
      </c>
    </row>
    <row r="6" spans="1:9" ht="33" customHeight="1" thickTop="1">
      <c r="A6" s="175"/>
      <c r="B6" s="175"/>
      <c r="C6" s="176" t="s">
        <v>376</v>
      </c>
      <c r="D6" s="1668" t="s">
        <v>422</v>
      </c>
      <c r="E6" s="1665" t="s">
        <v>405</v>
      </c>
      <c r="F6" s="1665" t="s">
        <v>858</v>
      </c>
      <c r="G6" s="1668" t="s">
        <v>423</v>
      </c>
      <c r="H6" s="1665" t="s">
        <v>405</v>
      </c>
      <c r="I6" s="1665" t="s">
        <v>406</v>
      </c>
    </row>
    <row r="7" spans="1:9" ht="74.25" customHeight="1" thickBot="1">
      <c r="A7" s="177" t="s">
        <v>342</v>
      </c>
      <c r="B7" s="178" t="s">
        <v>407</v>
      </c>
      <c r="C7" s="179" t="s">
        <v>408</v>
      </c>
      <c r="D7" s="1669"/>
      <c r="E7" s="1670"/>
      <c r="F7" s="1632"/>
      <c r="G7" s="1669"/>
      <c r="H7" s="1666"/>
      <c r="I7" s="1667"/>
    </row>
    <row r="8" spans="1:9" ht="14.25" customHeight="1" thickBot="1" thickTop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10" ht="17.25" customHeight="1" thickBot="1" thickTop="1">
      <c r="A9" s="180"/>
      <c r="B9" s="180"/>
      <c r="C9" s="667" t="s">
        <v>409</v>
      </c>
      <c r="D9" s="668">
        <v>105976149</v>
      </c>
      <c r="E9" s="668">
        <f>E11+E25</f>
        <v>1144558</v>
      </c>
      <c r="F9" s="668">
        <f>D9+E9</f>
        <v>107120707</v>
      </c>
      <c r="G9" s="668">
        <v>98940149</v>
      </c>
      <c r="H9" s="668">
        <f>H11+H25</f>
        <v>1144558</v>
      </c>
      <c r="I9" s="668">
        <f>G9+H9</f>
        <v>100084707</v>
      </c>
      <c r="J9" s="148"/>
    </row>
    <row r="10" spans="1:10" ht="11.25" customHeight="1">
      <c r="A10" s="66"/>
      <c r="B10" s="66"/>
      <c r="C10" s="181" t="s">
        <v>358</v>
      </c>
      <c r="D10" s="182"/>
      <c r="E10" s="182"/>
      <c r="F10" s="182"/>
      <c r="G10" s="182"/>
      <c r="H10" s="182"/>
      <c r="I10" s="182"/>
      <c r="J10" s="148"/>
    </row>
    <row r="11" spans="1:10" ht="19.5" customHeight="1" thickBot="1">
      <c r="A11" s="183"/>
      <c r="B11" s="183"/>
      <c r="C11" s="669" t="s">
        <v>410</v>
      </c>
      <c r="D11" s="670">
        <v>78102378</v>
      </c>
      <c r="E11" s="670">
        <f>E12</f>
        <v>907558</v>
      </c>
      <c r="F11" s="670">
        <f>D11+E11</f>
        <v>79009936</v>
      </c>
      <c r="G11" s="670">
        <v>76622378</v>
      </c>
      <c r="H11" s="670">
        <f>H12</f>
        <v>907558</v>
      </c>
      <c r="I11" s="670">
        <f aca="true" t="shared" si="0" ref="I11:I25">G11+H11</f>
        <v>77529936</v>
      </c>
      <c r="J11" s="148"/>
    </row>
    <row r="12" spans="1:10" ht="26.25" thickTop="1">
      <c r="A12" s="184">
        <v>751</v>
      </c>
      <c r="B12" s="72"/>
      <c r="C12" s="795" t="s">
        <v>624</v>
      </c>
      <c r="D12" s="74">
        <v>29100</v>
      </c>
      <c r="E12" s="74">
        <f>E13</f>
        <v>907558</v>
      </c>
      <c r="F12" s="74">
        <f>D12+E12</f>
        <v>936658</v>
      </c>
      <c r="G12" s="74">
        <v>29100</v>
      </c>
      <c r="H12" s="74">
        <f>H13</f>
        <v>907558</v>
      </c>
      <c r="I12" s="74">
        <f t="shared" si="0"/>
        <v>936658</v>
      </c>
      <c r="J12" s="148"/>
    </row>
    <row r="13" spans="1:10" ht="38.25">
      <c r="A13" s="185"/>
      <c r="B13" s="186">
        <v>75109</v>
      </c>
      <c r="C13" s="323" t="s">
        <v>625</v>
      </c>
      <c r="D13" s="187"/>
      <c r="E13" s="187">
        <f>E14</f>
        <v>907558</v>
      </c>
      <c r="F13" s="187">
        <f>D13+E13</f>
        <v>907558</v>
      </c>
      <c r="G13" s="187"/>
      <c r="H13" s="187">
        <f>H16</f>
        <v>907558</v>
      </c>
      <c r="I13" s="187">
        <f>G13+H13</f>
        <v>907558</v>
      </c>
      <c r="J13" s="148"/>
    </row>
    <row r="14" spans="1:10" ht="25.5" customHeight="1">
      <c r="A14" s="81"/>
      <c r="B14" s="215"/>
      <c r="C14" s="101" t="s">
        <v>627</v>
      </c>
      <c r="D14" s="188"/>
      <c r="E14" s="188">
        <f>E15</f>
        <v>907558</v>
      </c>
      <c r="F14" s="188">
        <f>D14+E14</f>
        <v>907558</v>
      </c>
      <c r="G14" s="188"/>
      <c r="H14" s="188"/>
      <c r="I14" s="188"/>
      <c r="J14" s="148"/>
    </row>
    <row r="15" spans="1:12" s="45" customFormat="1" ht="40.5" customHeight="1">
      <c r="A15" s="81"/>
      <c r="B15" s="262">
        <v>2010</v>
      </c>
      <c r="C15" s="1127" t="s">
        <v>149</v>
      </c>
      <c r="D15" s="189"/>
      <c r="E15" s="189">
        <v>907558</v>
      </c>
      <c r="F15" s="189">
        <f>D15+E15</f>
        <v>907558</v>
      </c>
      <c r="G15" s="189"/>
      <c r="H15" s="189"/>
      <c r="I15" s="189"/>
      <c r="J15" s="148"/>
      <c r="K15"/>
      <c r="L15"/>
    </row>
    <row r="16" spans="1:10" s="273" customFormat="1" ht="19.5" customHeight="1">
      <c r="A16" s="214"/>
      <c r="B16" s="66"/>
      <c r="C16" s="797" t="s">
        <v>626</v>
      </c>
      <c r="D16" s="415"/>
      <c r="E16" s="415"/>
      <c r="F16" s="415"/>
      <c r="G16" s="415"/>
      <c r="H16" s="416">
        <f>SUM(H17:H23)</f>
        <v>907558</v>
      </c>
      <c r="I16" s="415">
        <f>G16+H16</f>
        <v>907558</v>
      </c>
      <c r="J16" s="229"/>
    </row>
    <row r="17" spans="1:12" s="45" customFormat="1" ht="19.5" customHeight="1">
      <c r="A17" s="81"/>
      <c r="B17" s="82">
        <v>3030</v>
      </c>
      <c r="C17" s="528" t="s">
        <v>623</v>
      </c>
      <c r="D17" s="705"/>
      <c r="E17" s="705"/>
      <c r="F17" s="705"/>
      <c r="G17" s="705"/>
      <c r="H17" s="637">
        <f>254860+254860</f>
        <v>509720</v>
      </c>
      <c r="I17" s="189">
        <f t="shared" si="0"/>
        <v>509720</v>
      </c>
      <c r="J17" s="148"/>
      <c r="K17"/>
      <c r="L17"/>
    </row>
    <row r="18" spans="1:12" s="45" customFormat="1" ht="19.5" customHeight="1">
      <c r="A18" s="81"/>
      <c r="B18" s="82">
        <v>4110</v>
      </c>
      <c r="C18" s="528" t="s">
        <v>462</v>
      </c>
      <c r="D18" s="1176"/>
      <c r="E18" s="1176"/>
      <c r="F18" s="1176"/>
      <c r="G18" s="1176"/>
      <c r="H18" s="764">
        <v>27000</v>
      </c>
      <c r="I18" s="189">
        <f t="shared" si="0"/>
        <v>27000</v>
      </c>
      <c r="J18" s="148"/>
      <c r="K18"/>
      <c r="L18"/>
    </row>
    <row r="19" spans="1:12" s="45" customFormat="1" ht="19.5" customHeight="1">
      <c r="A19" s="81"/>
      <c r="B19" s="82">
        <v>4120</v>
      </c>
      <c r="C19" s="528" t="s">
        <v>463</v>
      </c>
      <c r="D19" s="1176"/>
      <c r="E19" s="1176"/>
      <c r="F19" s="1176"/>
      <c r="G19" s="1176"/>
      <c r="H19" s="764">
        <v>4100</v>
      </c>
      <c r="I19" s="189">
        <f t="shared" si="0"/>
        <v>4100</v>
      </c>
      <c r="J19" s="148"/>
      <c r="K19"/>
      <c r="L19"/>
    </row>
    <row r="20" spans="1:12" s="45" customFormat="1" ht="19.5" customHeight="1">
      <c r="A20" s="81"/>
      <c r="B20" s="82">
        <v>4170</v>
      </c>
      <c r="C20" s="528" t="s">
        <v>395</v>
      </c>
      <c r="D20" s="1176"/>
      <c r="E20" s="1176"/>
      <c r="F20" s="1176"/>
      <c r="G20" s="1176"/>
      <c r="H20" s="764">
        <f>126000+50120</f>
        <v>176120</v>
      </c>
      <c r="I20" s="189">
        <f t="shared" si="0"/>
        <v>176120</v>
      </c>
      <c r="J20" s="148"/>
      <c r="K20"/>
      <c r="L20"/>
    </row>
    <row r="21" spans="1:12" s="45" customFormat="1" ht="19.5" customHeight="1">
      <c r="A21" s="81"/>
      <c r="B21" s="82">
        <v>4210</v>
      </c>
      <c r="C21" s="528" t="s">
        <v>383</v>
      </c>
      <c r="D21" s="1176"/>
      <c r="E21" s="1176"/>
      <c r="F21" s="1176"/>
      <c r="G21" s="1176"/>
      <c r="H21" s="764">
        <v>39000</v>
      </c>
      <c r="I21" s="189">
        <f t="shared" si="0"/>
        <v>39000</v>
      </c>
      <c r="J21" s="148"/>
      <c r="K21"/>
      <c r="L21"/>
    </row>
    <row r="22" spans="1:10" ht="19.5" customHeight="1">
      <c r="A22" s="183"/>
      <c r="B22" s="82">
        <v>4300</v>
      </c>
      <c r="C22" s="1125" t="s">
        <v>384</v>
      </c>
      <c r="D22" s="706"/>
      <c r="E22" s="706"/>
      <c r="F22" s="706"/>
      <c r="G22" s="763"/>
      <c r="H22" s="764">
        <f>116800+28852</f>
        <v>145652</v>
      </c>
      <c r="I22" s="189">
        <f t="shared" si="0"/>
        <v>145652</v>
      </c>
      <c r="J22" s="148"/>
    </row>
    <row r="23" spans="1:10" ht="19.5" customHeight="1">
      <c r="A23" s="212"/>
      <c r="B23" s="82">
        <v>4410</v>
      </c>
      <c r="C23" s="528" t="s">
        <v>468</v>
      </c>
      <c r="D23" s="706"/>
      <c r="E23" s="706"/>
      <c r="F23" s="706"/>
      <c r="G23" s="763"/>
      <c r="H23" s="764">
        <f>4296+1670</f>
        <v>5966</v>
      </c>
      <c r="I23" s="189">
        <f t="shared" si="0"/>
        <v>5966</v>
      </c>
      <c r="J23" s="148"/>
    </row>
    <row r="24" spans="1:10" ht="32.25" customHeight="1">
      <c r="A24" s="1609"/>
      <c r="B24" s="1530"/>
      <c r="C24" s="1533"/>
      <c r="D24" s="1611"/>
      <c r="E24" s="1611"/>
      <c r="F24" s="1611"/>
      <c r="G24" s="1612"/>
      <c r="H24" s="1559"/>
      <c r="I24" s="1610"/>
      <c r="J24" s="148"/>
    </row>
    <row r="25" spans="1:10" ht="30" customHeight="1" thickBot="1">
      <c r="A25" s="190"/>
      <c r="B25" s="191"/>
      <c r="C25" s="1043" t="s">
        <v>411</v>
      </c>
      <c r="D25" s="1608">
        <v>27873771</v>
      </c>
      <c r="E25" s="1608">
        <f>E26+E48</f>
        <v>237000</v>
      </c>
      <c r="F25" s="1608">
        <f>D25+E25</f>
        <v>28110771</v>
      </c>
      <c r="G25" s="1608">
        <v>22317771</v>
      </c>
      <c r="H25" s="1608">
        <f>H26+H48</f>
        <v>237000</v>
      </c>
      <c r="I25" s="1608">
        <f t="shared" si="0"/>
        <v>22554771</v>
      </c>
      <c r="J25" s="148"/>
    </row>
    <row r="26" spans="1:10" ht="19.5" customHeight="1" thickTop="1">
      <c r="A26" s="184">
        <v>852</v>
      </c>
      <c r="B26" s="72"/>
      <c r="C26" s="526" t="s">
        <v>366</v>
      </c>
      <c r="D26" s="74">
        <v>3247590</v>
      </c>
      <c r="E26" s="74">
        <f>E42+E27</f>
        <v>220000</v>
      </c>
      <c r="F26" s="74">
        <f>D26+E26</f>
        <v>3467590</v>
      </c>
      <c r="G26" s="74">
        <v>3191590</v>
      </c>
      <c r="H26" s="74">
        <f>H27+H42</f>
        <v>220000</v>
      </c>
      <c r="I26" s="74">
        <f>G26+H26</f>
        <v>3411590</v>
      </c>
      <c r="J26" s="148"/>
    </row>
    <row r="27" spans="1:10" ht="19.5" customHeight="1">
      <c r="A27" s="185"/>
      <c r="B27" s="186">
        <v>85203</v>
      </c>
      <c r="C27" s="527" t="s">
        <v>789</v>
      </c>
      <c r="D27" s="187">
        <v>3013590</v>
      </c>
      <c r="E27" s="187">
        <f>E38</f>
        <v>190000</v>
      </c>
      <c r="F27" s="187">
        <f>D27+E27</f>
        <v>3203590</v>
      </c>
      <c r="G27" s="187">
        <v>2957590</v>
      </c>
      <c r="H27" s="187">
        <f>H28+H40</f>
        <v>190000</v>
      </c>
      <c r="I27" s="187">
        <f>G27+H27</f>
        <v>3147590</v>
      </c>
      <c r="J27" s="148"/>
    </row>
    <row r="28" spans="1:10" s="273" customFormat="1" ht="19.5" customHeight="1">
      <c r="A28" s="1302"/>
      <c r="B28" s="1304"/>
      <c r="C28" s="1301" t="s">
        <v>768</v>
      </c>
      <c r="D28" s="415"/>
      <c r="E28" s="415"/>
      <c r="F28" s="415"/>
      <c r="G28" s="415">
        <v>180000</v>
      </c>
      <c r="H28" s="415">
        <f>H29+H32+H36</f>
        <v>0</v>
      </c>
      <c r="I28" s="415">
        <f>G28+H28</f>
        <v>180000</v>
      </c>
      <c r="J28" s="229"/>
    </row>
    <row r="29" spans="1:10" s="273" customFormat="1" ht="18" customHeight="1">
      <c r="A29" s="214"/>
      <c r="B29" s="214"/>
      <c r="C29" s="891" t="s">
        <v>57</v>
      </c>
      <c r="D29" s="1305"/>
      <c r="E29" s="1305"/>
      <c r="F29" s="1305"/>
      <c r="G29" s="1305">
        <v>89000</v>
      </c>
      <c r="H29" s="1305">
        <f>H30+H31</f>
        <v>-4000</v>
      </c>
      <c r="I29" s="1305">
        <f aca="true" t="shared" si="1" ref="I29:I37">G29+H29</f>
        <v>85000</v>
      </c>
      <c r="J29" s="229"/>
    </row>
    <row r="30" spans="1:10" s="273" customFormat="1" ht="19.5" customHeight="1">
      <c r="A30" s="214"/>
      <c r="B30" s="320">
        <v>4010</v>
      </c>
      <c r="C30" s="900" t="s">
        <v>335</v>
      </c>
      <c r="D30" s="1206"/>
      <c r="E30" s="1206"/>
      <c r="F30" s="1206"/>
      <c r="G30" s="1206">
        <v>54700</v>
      </c>
      <c r="H30" s="1206">
        <v>-2000</v>
      </c>
      <c r="I30" s="1206">
        <f t="shared" si="1"/>
        <v>52700</v>
      </c>
      <c r="J30" s="229"/>
    </row>
    <row r="31" spans="1:10" s="273" customFormat="1" ht="19.5" customHeight="1">
      <c r="A31" s="214"/>
      <c r="B31" s="169">
        <v>4170</v>
      </c>
      <c r="C31" s="1205" t="s">
        <v>395</v>
      </c>
      <c r="D31" s="1207"/>
      <c r="E31" s="1207"/>
      <c r="F31" s="1207"/>
      <c r="G31" s="1207">
        <v>32294</v>
      </c>
      <c r="H31" s="1207">
        <v>-2000</v>
      </c>
      <c r="I31" s="1207">
        <f t="shared" si="1"/>
        <v>30294</v>
      </c>
      <c r="J31" s="229"/>
    </row>
    <row r="32" spans="1:10" s="273" customFormat="1" ht="18" customHeight="1">
      <c r="A32" s="214"/>
      <c r="B32" s="207"/>
      <c r="C32" s="882" t="s">
        <v>387</v>
      </c>
      <c r="D32" s="1208"/>
      <c r="E32" s="1208"/>
      <c r="F32" s="1208"/>
      <c r="G32" s="1208">
        <v>81200</v>
      </c>
      <c r="H32" s="1208">
        <f>H33+H34+H35</f>
        <v>2300</v>
      </c>
      <c r="I32" s="1208">
        <f t="shared" si="1"/>
        <v>83500</v>
      </c>
      <c r="J32" s="229"/>
    </row>
    <row r="33" spans="1:10" s="273" customFormat="1" ht="19.5" customHeight="1">
      <c r="A33" s="214"/>
      <c r="B33" s="1198">
        <v>4280</v>
      </c>
      <c r="C33" s="1199" t="s">
        <v>465</v>
      </c>
      <c r="D33" s="1209"/>
      <c r="E33" s="1209"/>
      <c r="F33" s="1209"/>
      <c r="G33" s="1209">
        <v>275</v>
      </c>
      <c r="H33" s="1209">
        <v>81</v>
      </c>
      <c r="I33" s="1209">
        <f t="shared" si="1"/>
        <v>356</v>
      </c>
      <c r="J33" s="229"/>
    </row>
    <row r="34" spans="1:10" s="273" customFormat="1" ht="19.5" customHeight="1">
      <c r="A34" s="214"/>
      <c r="B34" s="161">
        <v>4300</v>
      </c>
      <c r="C34" s="161" t="s">
        <v>384</v>
      </c>
      <c r="D34" s="908"/>
      <c r="E34" s="908"/>
      <c r="F34" s="908"/>
      <c r="G34" s="908">
        <v>12186</v>
      </c>
      <c r="H34" s="908">
        <v>1600</v>
      </c>
      <c r="I34" s="908">
        <f t="shared" si="1"/>
        <v>13786</v>
      </c>
      <c r="J34" s="229"/>
    </row>
    <row r="35" spans="1:10" s="273" customFormat="1" ht="19.5" customHeight="1">
      <c r="A35" s="214"/>
      <c r="B35" s="161">
        <v>4420</v>
      </c>
      <c r="C35" s="161" t="s">
        <v>426</v>
      </c>
      <c r="D35" s="908"/>
      <c r="E35" s="908"/>
      <c r="F35" s="908"/>
      <c r="G35" s="908"/>
      <c r="H35" s="908">
        <v>619</v>
      </c>
      <c r="I35" s="908">
        <f t="shared" si="1"/>
        <v>619</v>
      </c>
      <c r="J35" s="229"/>
    </row>
    <row r="36" spans="1:10" s="273" customFormat="1" ht="19.5" customHeight="1">
      <c r="A36" s="214"/>
      <c r="B36" s="214"/>
      <c r="C36" s="214" t="s">
        <v>413</v>
      </c>
      <c r="D36" s="1204"/>
      <c r="E36" s="1204"/>
      <c r="F36" s="1204"/>
      <c r="G36" s="1204">
        <v>9800</v>
      </c>
      <c r="H36" s="1204">
        <f>H37</f>
        <v>1700</v>
      </c>
      <c r="I36" s="1204">
        <f t="shared" si="1"/>
        <v>11500</v>
      </c>
      <c r="J36" s="229"/>
    </row>
    <row r="37" spans="1:10" ht="19.5" customHeight="1">
      <c r="A37" s="1300"/>
      <c r="B37" s="320">
        <v>4110</v>
      </c>
      <c r="C37" s="896" t="s">
        <v>462</v>
      </c>
      <c r="D37" s="863"/>
      <c r="E37" s="863"/>
      <c r="F37" s="863"/>
      <c r="G37" s="863">
        <v>8800</v>
      </c>
      <c r="H37" s="863">
        <v>1700</v>
      </c>
      <c r="I37" s="863">
        <f t="shared" si="1"/>
        <v>10500</v>
      </c>
      <c r="J37" s="148"/>
    </row>
    <row r="38" spans="1:10" ht="38.25">
      <c r="A38" s="81"/>
      <c r="B38" s="215"/>
      <c r="C38" s="1110" t="s">
        <v>320</v>
      </c>
      <c r="D38" s="188"/>
      <c r="E38" s="188">
        <f>E39</f>
        <v>190000</v>
      </c>
      <c r="F38" s="188">
        <f>D38+E38</f>
        <v>190000</v>
      </c>
      <c r="G38" s="188"/>
      <c r="H38" s="188"/>
      <c r="I38" s="188"/>
      <c r="J38" s="148"/>
    </row>
    <row r="39" spans="1:12" s="45" customFormat="1" ht="40.5" customHeight="1">
      <c r="A39" s="81"/>
      <c r="B39" s="262">
        <v>2110</v>
      </c>
      <c r="C39" s="1194" t="s">
        <v>7</v>
      </c>
      <c r="D39" s="189"/>
      <c r="E39" s="189">
        <v>190000</v>
      </c>
      <c r="F39" s="189">
        <f>D39+E39</f>
        <v>190000</v>
      </c>
      <c r="G39" s="189"/>
      <c r="H39" s="189"/>
      <c r="I39" s="189"/>
      <c r="J39" s="148"/>
      <c r="K39"/>
      <c r="L39"/>
    </row>
    <row r="40" spans="1:10" s="273" customFormat="1" ht="25.5">
      <c r="A40" s="214"/>
      <c r="B40" s="522"/>
      <c r="C40" s="762" t="s">
        <v>503</v>
      </c>
      <c r="D40" s="415"/>
      <c r="E40" s="415"/>
      <c r="F40" s="415"/>
      <c r="G40" s="415"/>
      <c r="H40" s="416">
        <f>H41</f>
        <v>190000</v>
      </c>
      <c r="I40" s="415">
        <f>G40+H40</f>
        <v>190000</v>
      </c>
      <c r="J40" s="229"/>
    </row>
    <row r="41" spans="1:10" ht="25.5">
      <c r="A41" s="1300"/>
      <c r="B41" s="320">
        <v>2810</v>
      </c>
      <c r="C41" s="776" t="s">
        <v>764</v>
      </c>
      <c r="D41" s="696"/>
      <c r="E41" s="696"/>
      <c r="F41" s="696"/>
      <c r="G41" s="696"/>
      <c r="H41" s="970">
        <v>190000</v>
      </c>
      <c r="I41" s="189">
        <f>G41+H41</f>
        <v>190000</v>
      </c>
      <c r="J41" s="148"/>
    </row>
    <row r="42" spans="1:10" ht="19.5" customHeight="1">
      <c r="A42" s="185"/>
      <c r="B42" s="186">
        <v>85295</v>
      </c>
      <c r="C42" s="527" t="s">
        <v>366</v>
      </c>
      <c r="D42" s="187"/>
      <c r="E42" s="187">
        <f>E43</f>
        <v>30000</v>
      </c>
      <c r="F42" s="187">
        <f>D42+E42</f>
        <v>30000</v>
      </c>
      <c r="G42" s="187"/>
      <c r="H42" s="187">
        <f>H45</f>
        <v>30000</v>
      </c>
      <c r="I42" s="187">
        <f>G42+H42</f>
        <v>30000</v>
      </c>
      <c r="J42" s="148"/>
    </row>
    <row r="43" spans="1:10" ht="25.5">
      <c r="A43" s="81"/>
      <c r="B43" s="215"/>
      <c r="C43" s="1110" t="s">
        <v>474</v>
      </c>
      <c r="D43" s="188"/>
      <c r="E43" s="188">
        <f>E44</f>
        <v>30000</v>
      </c>
      <c r="F43" s="188">
        <f>D43+E43</f>
        <v>30000</v>
      </c>
      <c r="G43" s="188"/>
      <c r="H43" s="188"/>
      <c r="I43" s="188"/>
      <c r="J43" s="148"/>
    </row>
    <row r="44" spans="1:12" s="45" customFormat="1" ht="40.5" customHeight="1">
      <c r="A44" s="81"/>
      <c r="B44" s="262">
        <v>2110</v>
      </c>
      <c r="C44" s="1111" t="s">
        <v>7</v>
      </c>
      <c r="D44" s="189"/>
      <c r="E44" s="189">
        <v>30000</v>
      </c>
      <c r="F44" s="189">
        <f>D44+E44</f>
        <v>30000</v>
      </c>
      <c r="G44" s="189"/>
      <c r="H44" s="189"/>
      <c r="I44" s="189"/>
      <c r="J44" s="148"/>
      <c r="K44"/>
      <c r="L44"/>
    </row>
    <row r="45" spans="1:10" s="273" customFormat="1" ht="25.5">
      <c r="A45" s="214"/>
      <c r="B45" s="207"/>
      <c r="C45" s="521" t="s">
        <v>761</v>
      </c>
      <c r="D45" s="415"/>
      <c r="E45" s="415"/>
      <c r="F45" s="415"/>
      <c r="G45" s="415"/>
      <c r="H45" s="416">
        <f>H46</f>
        <v>30000</v>
      </c>
      <c r="I45" s="415">
        <f>G45+H45</f>
        <v>30000</v>
      </c>
      <c r="J45" s="229"/>
    </row>
    <row r="46" spans="1:10" ht="19.5" customHeight="1">
      <c r="A46" s="190"/>
      <c r="B46" s="320">
        <v>4300</v>
      </c>
      <c r="C46" s="760" t="s">
        <v>384</v>
      </c>
      <c r="D46" s="696"/>
      <c r="E46" s="696"/>
      <c r="F46" s="696"/>
      <c r="G46" s="696"/>
      <c r="H46" s="970">
        <v>30000</v>
      </c>
      <c r="I46" s="189">
        <f>G46+H46</f>
        <v>30000</v>
      </c>
      <c r="J46" s="148"/>
    </row>
    <row r="47" spans="1:10" ht="52.5" customHeight="1">
      <c r="A47" s="1613"/>
      <c r="B47" s="1542"/>
      <c r="C47" s="1614"/>
      <c r="D47" s="1615"/>
      <c r="E47" s="1615"/>
      <c r="F47" s="1615"/>
      <c r="G47" s="1615"/>
      <c r="H47" s="1509"/>
      <c r="I47" s="1616"/>
      <c r="J47" s="148"/>
    </row>
    <row r="48" spans="1:10" ht="19.5" customHeight="1">
      <c r="A48" s="856">
        <v>853</v>
      </c>
      <c r="B48" s="431"/>
      <c r="C48" s="526" t="s">
        <v>412</v>
      </c>
      <c r="D48" s="74">
        <v>616654</v>
      </c>
      <c r="E48" s="74">
        <f>E49</f>
        <v>17000</v>
      </c>
      <c r="F48" s="74">
        <f>D48+E48</f>
        <v>633654</v>
      </c>
      <c r="G48" s="74">
        <v>616654</v>
      </c>
      <c r="H48" s="74">
        <f>H49</f>
        <v>17000</v>
      </c>
      <c r="I48" s="74">
        <f>G48+H48</f>
        <v>633654</v>
      </c>
      <c r="J48" s="148"/>
    </row>
    <row r="49" spans="1:10" ht="19.5" customHeight="1">
      <c r="A49" s="185"/>
      <c r="B49" s="186">
        <v>85321</v>
      </c>
      <c r="C49" s="527" t="s">
        <v>205</v>
      </c>
      <c r="D49" s="187">
        <v>552000</v>
      </c>
      <c r="E49" s="187">
        <f>E50</f>
        <v>17000</v>
      </c>
      <c r="F49" s="187">
        <f>D49+E49</f>
        <v>569000</v>
      </c>
      <c r="G49" s="187">
        <v>552000</v>
      </c>
      <c r="H49" s="187">
        <f>H52</f>
        <v>17000</v>
      </c>
      <c r="I49" s="187">
        <f>G49+H49</f>
        <v>569000</v>
      </c>
      <c r="J49" s="148"/>
    </row>
    <row r="50" spans="1:10" ht="25.5">
      <c r="A50" s="81"/>
      <c r="B50" s="529"/>
      <c r="C50" s="906" t="s">
        <v>20</v>
      </c>
      <c r="D50" s="188">
        <v>528000</v>
      </c>
      <c r="E50" s="188">
        <f>E51</f>
        <v>17000</v>
      </c>
      <c r="F50" s="188">
        <f>D50+E50</f>
        <v>545000</v>
      </c>
      <c r="G50" s="188"/>
      <c r="H50" s="188"/>
      <c r="I50" s="188"/>
      <c r="J50" s="148"/>
    </row>
    <row r="51" spans="1:12" s="45" customFormat="1" ht="38.25">
      <c r="A51" s="81"/>
      <c r="B51" s="528">
        <v>2110</v>
      </c>
      <c r="C51" s="1194" t="s">
        <v>7</v>
      </c>
      <c r="D51" s="189">
        <v>528000</v>
      </c>
      <c r="E51" s="189">
        <v>17000</v>
      </c>
      <c r="F51" s="189">
        <f>D51+E51</f>
        <v>545000</v>
      </c>
      <c r="G51" s="189"/>
      <c r="H51" s="189"/>
      <c r="I51" s="189"/>
      <c r="J51" s="148"/>
      <c r="K51"/>
      <c r="L51"/>
    </row>
    <row r="52" spans="1:10" s="273" customFormat="1" ht="19.5" customHeight="1">
      <c r="A52" s="214"/>
      <c r="B52" s="522"/>
      <c r="C52" s="521" t="s">
        <v>601</v>
      </c>
      <c r="D52" s="415"/>
      <c r="E52" s="415"/>
      <c r="F52" s="415"/>
      <c r="G52" s="415">
        <v>380003</v>
      </c>
      <c r="H52" s="416">
        <f>H53</f>
        <v>17000</v>
      </c>
      <c r="I52" s="415">
        <f>G52+H52</f>
        <v>397003</v>
      </c>
      <c r="J52" s="229"/>
    </row>
    <row r="53" spans="1:12" s="45" customFormat="1" ht="19.5" customHeight="1">
      <c r="A53" s="82"/>
      <c r="B53" s="320">
        <v>4170</v>
      </c>
      <c r="C53" s="228" t="s">
        <v>395</v>
      </c>
      <c r="D53" s="189"/>
      <c r="E53" s="189"/>
      <c r="F53" s="189"/>
      <c r="G53" s="189">
        <v>105998</v>
      </c>
      <c r="H53" s="145">
        <v>17000</v>
      </c>
      <c r="I53" s="189">
        <f>G53+H53</f>
        <v>122998</v>
      </c>
      <c r="J53" s="148"/>
      <c r="K53"/>
      <c r="L53"/>
    </row>
    <row r="54" ht="27" customHeight="1"/>
    <row r="55" ht="27" customHeight="1"/>
    <row r="56" spans="2:9" ht="15">
      <c r="B56" s="1" t="s">
        <v>172</v>
      </c>
      <c r="C56" s="1685"/>
      <c r="G56" s="1" t="s">
        <v>174</v>
      </c>
      <c r="H56" s="1595"/>
      <c r="I56" s="2"/>
    </row>
    <row r="57" spans="2:9" ht="13.5" customHeight="1">
      <c r="B57" s="48" t="s">
        <v>173</v>
      </c>
      <c r="C57" s="1685"/>
      <c r="G57" s="48" t="s">
        <v>175</v>
      </c>
      <c r="H57" s="1595"/>
      <c r="I57" s="2"/>
    </row>
  </sheetData>
  <mergeCells count="6">
    <mergeCell ref="H6:H7"/>
    <mergeCell ref="I6:I7"/>
    <mergeCell ref="F6:F7"/>
    <mergeCell ref="D6:D7"/>
    <mergeCell ref="G6:G7"/>
    <mergeCell ref="E6:E7"/>
  </mergeCells>
  <printOptions horizontalCentered="1"/>
  <pageMargins left="0.7874015748031497" right="0.51" top="0.83" bottom="0.38" header="0.66" footer="0.18"/>
  <pageSetup firstPageNumber="96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K291"/>
  <sheetViews>
    <sheetView tabSelected="1" zoomScaleSheetLayoutView="75" workbookViewId="0" topLeftCell="A7">
      <pane ySplit="990" topLeftCell="BM217" activePane="bottomLeft" state="split"/>
      <selection pane="topLeft" activeCell="C7" sqref="C1:C16384"/>
      <selection pane="bottomLeft" activeCell="F234" sqref="F234:G235"/>
    </sheetView>
  </sheetViews>
  <sheetFormatPr defaultColWidth="9.00390625" defaultRowHeight="12.75"/>
  <cols>
    <col min="1" max="1" width="5.25390625" style="22" customWidth="1"/>
    <col min="2" max="2" width="7.75390625" style="22" customWidth="1"/>
    <col min="3" max="3" width="57.00390625" style="22" customWidth="1"/>
    <col min="4" max="7" width="20.75390625" style="22" customWidth="1"/>
    <col min="8" max="8" width="11.875" style="22" customWidth="1"/>
    <col min="9" max="9" width="12.375" style="22" customWidth="1"/>
    <col min="10" max="10" width="13.375" style="22" customWidth="1"/>
    <col min="11" max="11" width="11.00390625" style="22" customWidth="1"/>
    <col min="12" max="16384" width="9.125" style="22" customWidth="1"/>
  </cols>
  <sheetData>
    <row r="1" ht="18" customHeight="1">
      <c r="F1" s="50" t="s">
        <v>760</v>
      </c>
    </row>
    <row r="2" ht="18" customHeight="1">
      <c r="F2" s="22" t="s">
        <v>15</v>
      </c>
    </row>
    <row r="3" ht="18" customHeight="1">
      <c r="F3" s="22" t="s">
        <v>337</v>
      </c>
    </row>
    <row r="4" spans="3:6" ht="18" customHeight="1">
      <c r="C4" s="4" t="s">
        <v>388</v>
      </c>
      <c r="F4" s="22" t="s">
        <v>787</v>
      </c>
    </row>
    <row r="5" ht="17.25" customHeight="1" thickBot="1">
      <c r="G5" s="54" t="s">
        <v>338</v>
      </c>
    </row>
    <row r="6" spans="1:7" ht="66.75" customHeight="1" thickBot="1" thickTop="1">
      <c r="A6" s="116" t="s">
        <v>389</v>
      </c>
      <c r="B6" s="116" t="s">
        <v>343</v>
      </c>
      <c r="C6" s="117" t="s">
        <v>183</v>
      </c>
      <c r="D6" s="118" t="s">
        <v>392</v>
      </c>
      <c r="E6" s="117" t="s">
        <v>379</v>
      </c>
      <c r="F6" s="117" t="s">
        <v>380</v>
      </c>
      <c r="G6" s="117" t="s">
        <v>393</v>
      </c>
    </row>
    <row r="7" spans="1:9" ht="18.75" customHeight="1" thickBot="1" thickTop="1">
      <c r="A7" s="16">
        <v>1</v>
      </c>
      <c r="B7" s="16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I7" s="47"/>
    </row>
    <row r="8" spans="1:11" ht="21.75" customHeight="1" thickBot="1" thickTop="1">
      <c r="A8" s="85"/>
      <c r="B8" s="120"/>
      <c r="C8" s="121" t="s">
        <v>357</v>
      </c>
      <c r="D8" s="122">
        <v>948348327</v>
      </c>
      <c r="E8" s="122">
        <f>E10+E205+E213</f>
        <v>3034253</v>
      </c>
      <c r="F8" s="122">
        <f>F10+F205+F213</f>
        <v>7327148</v>
      </c>
      <c r="G8" s="122">
        <f>D8+F8-E8</f>
        <v>952641222</v>
      </c>
      <c r="H8" s="47">
        <f>F8-E8</f>
        <v>4292895</v>
      </c>
      <c r="I8" s="47"/>
      <c r="J8" s="47"/>
      <c r="K8" s="47"/>
    </row>
    <row r="9" spans="1:9" ht="21" customHeight="1">
      <c r="A9" s="67"/>
      <c r="B9" s="67"/>
      <c r="C9" s="67" t="s">
        <v>358</v>
      </c>
      <c r="D9" s="123"/>
      <c r="E9" s="123"/>
      <c r="F9" s="123"/>
      <c r="G9" s="123"/>
      <c r="I9" s="124"/>
    </row>
    <row r="10" spans="1:11" ht="21" customHeight="1" thickBot="1">
      <c r="A10" s="86"/>
      <c r="B10" s="86"/>
      <c r="C10" s="91" t="s">
        <v>360</v>
      </c>
      <c r="D10" s="88">
        <v>843655081</v>
      </c>
      <c r="E10" s="125">
        <f>E11+E15+E19+E31+E38+E42+E127+E150+E157+E193</f>
        <v>3030253</v>
      </c>
      <c r="F10" s="125">
        <f>F11+F15+F19+F31+F38+F42+F127+F150+F157+F193</f>
        <v>5948590</v>
      </c>
      <c r="G10" s="125">
        <f aca="true" t="shared" si="0" ref="G10:G30">D10+F10-E10</f>
        <v>846573418</v>
      </c>
      <c r="H10" s="47"/>
      <c r="I10" s="47"/>
      <c r="K10" s="47"/>
    </row>
    <row r="11" spans="1:11" ht="21" customHeight="1" thickTop="1">
      <c r="A11" s="89">
        <v>600</v>
      </c>
      <c r="B11" s="89"/>
      <c r="C11" s="89" t="s">
        <v>364</v>
      </c>
      <c r="D11" s="74">
        <v>126171251</v>
      </c>
      <c r="E11" s="75">
        <f>E12</f>
        <v>196000</v>
      </c>
      <c r="F11" s="75">
        <f>F12</f>
        <v>1740500</v>
      </c>
      <c r="G11" s="75">
        <f t="shared" si="0"/>
        <v>127715751</v>
      </c>
      <c r="H11" s="47">
        <f>F11-E11</f>
        <v>1544500</v>
      </c>
      <c r="I11" s="47"/>
      <c r="K11" s="47"/>
    </row>
    <row r="12" spans="1:11" s="130" customFormat="1" ht="21" customHeight="1">
      <c r="A12" s="81"/>
      <c r="B12" s="78">
        <v>60015</v>
      </c>
      <c r="C12" s="716" t="s">
        <v>712</v>
      </c>
      <c r="D12" s="137">
        <v>86570356</v>
      </c>
      <c r="E12" s="137">
        <f>E13+E14</f>
        <v>196000</v>
      </c>
      <c r="F12" s="137">
        <f>F13+F14</f>
        <v>1740500</v>
      </c>
      <c r="G12" s="137">
        <f t="shared" si="0"/>
        <v>88114856</v>
      </c>
      <c r="H12" s="138"/>
      <c r="I12" s="138"/>
      <c r="K12" s="138"/>
    </row>
    <row r="13" spans="1:11" s="130" customFormat="1" ht="21" customHeight="1">
      <c r="A13" s="206"/>
      <c r="B13" s="207"/>
      <c r="C13" s="723" t="s">
        <v>495</v>
      </c>
      <c r="D13" s="144">
        <v>1744304</v>
      </c>
      <c r="E13" s="144">
        <v>196000</v>
      </c>
      <c r="F13" s="144"/>
      <c r="G13" s="144">
        <f t="shared" si="0"/>
        <v>1548304</v>
      </c>
      <c r="H13" s="138"/>
      <c r="I13" s="138"/>
      <c r="K13" s="138"/>
    </row>
    <row r="14" spans="1:11" s="130" customFormat="1" ht="21" customHeight="1">
      <c r="A14" s="206"/>
      <c r="B14" s="214"/>
      <c r="C14" s="1424" t="s">
        <v>493</v>
      </c>
      <c r="D14" s="1173">
        <v>76992141</v>
      </c>
      <c r="E14" s="1173"/>
      <c r="F14" s="1173">
        <f>3347300-1606800</f>
        <v>1740500</v>
      </c>
      <c r="G14" s="1173">
        <f t="shared" si="0"/>
        <v>78732641</v>
      </c>
      <c r="H14" s="138"/>
      <c r="I14" s="138"/>
      <c r="K14" s="138"/>
    </row>
    <row r="15" spans="1:11" ht="21" customHeight="1">
      <c r="A15" s="89">
        <v>630</v>
      </c>
      <c r="B15" s="89"/>
      <c r="C15" s="89" t="s">
        <v>811</v>
      </c>
      <c r="D15" s="74">
        <v>932163</v>
      </c>
      <c r="E15" s="75"/>
      <c r="F15" s="75"/>
      <c r="G15" s="75">
        <f t="shared" si="0"/>
        <v>932163</v>
      </c>
      <c r="H15" s="47">
        <f>F15-E15</f>
        <v>0</v>
      </c>
      <c r="I15" s="47"/>
      <c r="K15" s="47"/>
    </row>
    <row r="16" spans="1:11" s="130" customFormat="1" ht="21" customHeight="1">
      <c r="A16" s="81"/>
      <c r="B16" s="77">
        <v>63003</v>
      </c>
      <c r="C16" s="77" t="s">
        <v>812</v>
      </c>
      <c r="D16" s="137">
        <v>747163</v>
      </c>
      <c r="E16" s="137"/>
      <c r="F16" s="137"/>
      <c r="G16" s="137">
        <f t="shared" si="0"/>
        <v>747163</v>
      </c>
      <c r="H16" s="138"/>
      <c r="I16" s="138"/>
      <c r="K16" s="138"/>
    </row>
    <row r="17" spans="1:11" s="130" customFormat="1" ht="20.25" customHeight="1">
      <c r="A17" s="206"/>
      <c r="B17" s="93"/>
      <c r="C17" s="601" t="s">
        <v>813</v>
      </c>
      <c r="D17" s="524">
        <v>697163</v>
      </c>
      <c r="E17" s="524"/>
      <c r="F17" s="524"/>
      <c r="G17" s="143">
        <f t="shared" si="0"/>
        <v>697163</v>
      </c>
      <c r="H17" s="138"/>
      <c r="I17" s="138"/>
      <c r="K17" s="138"/>
    </row>
    <row r="18" spans="1:11" s="156" customFormat="1" ht="21" customHeight="1">
      <c r="A18" s="205"/>
      <c r="B18" s="169"/>
      <c r="C18" s="1069" t="s">
        <v>184</v>
      </c>
      <c r="D18" s="160">
        <v>528656</v>
      </c>
      <c r="E18" s="160">
        <v>440</v>
      </c>
      <c r="F18" s="160"/>
      <c r="G18" s="418">
        <f t="shared" si="0"/>
        <v>528216</v>
      </c>
      <c r="H18" s="155"/>
      <c r="I18" s="155"/>
      <c r="K18" s="155"/>
    </row>
    <row r="19" spans="1:11" ht="21" customHeight="1">
      <c r="A19" s="89">
        <v>750</v>
      </c>
      <c r="B19" s="89"/>
      <c r="C19" s="89" t="s">
        <v>371</v>
      </c>
      <c r="D19" s="74">
        <v>66017863</v>
      </c>
      <c r="E19" s="75">
        <f>E20+E24+E28</f>
        <v>34000</v>
      </c>
      <c r="F19" s="75">
        <f>F20+F24+F28</f>
        <v>93000</v>
      </c>
      <c r="G19" s="75">
        <f t="shared" si="0"/>
        <v>66076863</v>
      </c>
      <c r="H19" s="47">
        <f>F19-E19</f>
        <v>59000</v>
      </c>
      <c r="I19" s="47"/>
      <c r="K19" s="47"/>
    </row>
    <row r="20" spans="1:11" s="130" customFormat="1" ht="21" customHeight="1">
      <c r="A20" s="81"/>
      <c r="B20" s="78">
        <v>75023</v>
      </c>
      <c r="C20" s="78" t="s">
        <v>386</v>
      </c>
      <c r="D20" s="559">
        <v>61463685</v>
      </c>
      <c r="E20" s="559">
        <f>E21+E22+E23</f>
        <v>34000</v>
      </c>
      <c r="F20" s="559">
        <f>F21+F22+F23</f>
        <v>93000</v>
      </c>
      <c r="G20" s="559">
        <f t="shared" si="0"/>
        <v>61522685</v>
      </c>
      <c r="H20" s="138"/>
      <c r="I20" s="138"/>
      <c r="K20" s="138"/>
    </row>
    <row r="21" spans="1:11" s="130" customFormat="1" ht="21" customHeight="1">
      <c r="A21" s="206"/>
      <c r="B21" s="214"/>
      <c r="C21" s="872" t="s">
        <v>387</v>
      </c>
      <c r="D21" s="144">
        <v>12276970</v>
      </c>
      <c r="E21" s="144"/>
      <c r="F21" s="144">
        <v>74200</v>
      </c>
      <c r="G21" s="144">
        <f t="shared" si="0"/>
        <v>12351170</v>
      </c>
      <c r="H21" s="138"/>
      <c r="I21" s="138"/>
      <c r="K21" s="138"/>
    </row>
    <row r="22" spans="1:11" s="130" customFormat="1" ht="21" customHeight="1">
      <c r="A22" s="206"/>
      <c r="B22" s="214"/>
      <c r="C22" s="1423" t="s">
        <v>413</v>
      </c>
      <c r="D22" s="1148">
        <v>6194647</v>
      </c>
      <c r="E22" s="1148">
        <v>34000</v>
      </c>
      <c r="F22" s="1148"/>
      <c r="G22" s="1148">
        <f t="shared" si="0"/>
        <v>6160647</v>
      </c>
      <c r="H22" s="138"/>
      <c r="I22" s="138"/>
      <c r="K22" s="138"/>
    </row>
    <row r="23" spans="1:11" s="229" customFormat="1" ht="21" customHeight="1">
      <c r="A23" s="206"/>
      <c r="B23" s="1384"/>
      <c r="C23" s="1422" t="s">
        <v>493</v>
      </c>
      <c r="D23" s="1396">
        <v>3084010</v>
      </c>
      <c r="E23" s="1396"/>
      <c r="F23" s="1396">
        <v>18800</v>
      </c>
      <c r="G23" s="1396">
        <f t="shared" si="0"/>
        <v>3102810</v>
      </c>
      <c r="H23" s="209"/>
      <c r="I23" s="209"/>
      <c r="K23" s="209"/>
    </row>
    <row r="24" spans="1:11" s="130" customFormat="1" ht="21" customHeight="1">
      <c r="A24" s="81"/>
      <c r="B24" s="78">
        <v>75075</v>
      </c>
      <c r="C24" s="78" t="s">
        <v>180</v>
      </c>
      <c r="D24" s="559">
        <v>2628900</v>
      </c>
      <c r="E24" s="559"/>
      <c r="F24" s="559"/>
      <c r="G24" s="559">
        <f t="shared" si="0"/>
        <v>2628900</v>
      </c>
      <c r="H24" s="138"/>
      <c r="I24" s="138"/>
      <c r="K24" s="138"/>
    </row>
    <row r="25" spans="1:11" s="130" customFormat="1" ht="21" customHeight="1">
      <c r="A25" s="206"/>
      <c r="B25" s="93"/>
      <c r="C25" s="962" t="s">
        <v>636</v>
      </c>
      <c r="D25" s="965">
        <v>423900</v>
      </c>
      <c r="E25" s="965"/>
      <c r="F25" s="965"/>
      <c r="G25" s="144">
        <f t="shared" si="0"/>
        <v>423900</v>
      </c>
      <c r="H25" s="138"/>
      <c r="I25" s="138"/>
      <c r="K25" s="138"/>
    </row>
    <row r="26" spans="1:11" s="156" customFormat="1" ht="21" customHeight="1">
      <c r="A26" s="227"/>
      <c r="B26" s="320"/>
      <c r="C26" s="964" t="s">
        <v>494</v>
      </c>
      <c r="D26" s="637">
        <v>62647</v>
      </c>
      <c r="E26" s="637"/>
      <c r="F26" s="637">
        <f>92400+30800</f>
        <v>123200</v>
      </c>
      <c r="G26" s="154">
        <f t="shared" si="0"/>
        <v>185847</v>
      </c>
      <c r="H26" s="155"/>
      <c r="I26" s="155"/>
      <c r="K26" s="155"/>
    </row>
    <row r="27" spans="1:11" s="156" customFormat="1" ht="18.75" customHeight="1">
      <c r="A27" s="1528"/>
      <c r="B27" s="1529"/>
      <c r="C27" s="1599"/>
      <c r="D27" s="1531"/>
      <c r="E27" s="1531"/>
      <c r="F27" s="1531"/>
      <c r="G27" s="1559"/>
      <c r="H27" s="155"/>
      <c r="I27" s="155"/>
      <c r="K27" s="155"/>
    </row>
    <row r="28" spans="1:11" s="130" customFormat="1" ht="21" customHeight="1">
      <c r="A28" s="81"/>
      <c r="B28" s="78">
        <v>75095</v>
      </c>
      <c r="C28" s="78" t="s">
        <v>366</v>
      </c>
      <c r="D28" s="559">
        <v>408278</v>
      </c>
      <c r="E28" s="559"/>
      <c r="F28" s="559"/>
      <c r="G28" s="559">
        <f t="shared" si="0"/>
        <v>408278</v>
      </c>
      <c r="H28" s="138"/>
      <c r="I28" s="138"/>
      <c r="K28" s="138"/>
    </row>
    <row r="29" spans="1:11" s="130" customFormat="1" ht="21" customHeight="1">
      <c r="A29" s="206"/>
      <c r="B29" s="93"/>
      <c r="C29" s="568" t="s">
        <v>316</v>
      </c>
      <c r="D29" s="965">
        <v>85000</v>
      </c>
      <c r="E29" s="965"/>
      <c r="F29" s="965"/>
      <c r="G29" s="144">
        <f t="shared" si="0"/>
        <v>85000</v>
      </c>
      <c r="H29" s="138"/>
      <c r="I29" s="138"/>
      <c r="K29" s="138"/>
    </row>
    <row r="30" spans="1:11" s="156" customFormat="1" ht="21" customHeight="1">
      <c r="A30" s="227"/>
      <c r="B30" s="320"/>
      <c r="C30" s="82" t="s">
        <v>494</v>
      </c>
      <c r="D30" s="637">
        <f>44200+1000</f>
        <v>45200</v>
      </c>
      <c r="E30" s="637"/>
      <c r="F30" s="637">
        <f>9520-1000</f>
        <v>8520</v>
      </c>
      <c r="G30" s="154">
        <f t="shared" si="0"/>
        <v>53720</v>
      </c>
      <c r="H30" s="155"/>
      <c r="I30" s="155"/>
      <c r="K30" s="155"/>
    </row>
    <row r="31" spans="1:11" ht="19.5" customHeight="1">
      <c r="A31" s="73">
        <v>754</v>
      </c>
      <c r="B31" s="73"/>
      <c r="C31" s="73" t="s">
        <v>361</v>
      </c>
      <c r="D31" s="74">
        <v>7258659</v>
      </c>
      <c r="E31" s="75">
        <f>E35+E32</f>
        <v>52142</v>
      </c>
      <c r="F31" s="75">
        <f>F35+F32</f>
        <v>52142</v>
      </c>
      <c r="G31" s="75">
        <f aca="true" t="shared" si="1" ref="G31:G57">D31+F31-E31</f>
        <v>7258659</v>
      </c>
      <c r="H31" s="47"/>
      <c r="I31" s="47"/>
      <c r="K31" s="47"/>
    </row>
    <row r="32" spans="1:11" s="130" customFormat="1" ht="19.5" customHeight="1">
      <c r="A32" s="81"/>
      <c r="B32" s="78">
        <v>75416</v>
      </c>
      <c r="C32" s="429" t="s">
        <v>317</v>
      </c>
      <c r="D32" s="137">
        <v>5445000</v>
      </c>
      <c r="E32" s="137">
        <f>E33+E34</f>
        <v>52142</v>
      </c>
      <c r="F32" s="137">
        <f>F33+F34</f>
        <v>52142</v>
      </c>
      <c r="G32" s="137">
        <f t="shared" si="1"/>
        <v>5445000</v>
      </c>
      <c r="H32" s="138"/>
      <c r="I32" s="138"/>
      <c r="K32" s="138"/>
    </row>
    <row r="33" spans="1:11" s="130" customFormat="1" ht="19.5" customHeight="1">
      <c r="A33" s="206"/>
      <c r="B33" s="207"/>
      <c r="C33" s="466" t="s">
        <v>601</v>
      </c>
      <c r="D33" s="909">
        <v>3750000</v>
      </c>
      <c r="E33" s="909">
        <v>52142</v>
      </c>
      <c r="F33" s="909"/>
      <c r="G33" s="909">
        <f t="shared" si="1"/>
        <v>3697858</v>
      </c>
      <c r="H33" s="138"/>
      <c r="I33" s="138"/>
      <c r="K33" s="138"/>
    </row>
    <row r="34" spans="1:11" s="156" customFormat="1" ht="19.5" customHeight="1">
      <c r="A34" s="205"/>
      <c r="B34" s="1384"/>
      <c r="C34" s="1398" t="s">
        <v>387</v>
      </c>
      <c r="D34" s="1421">
        <v>923086</v>
      </c>
      <c r="E34" s="1421"/>
      <c r="F34" s="1421">
        <v>52142</v>
      </c>
      <c r="G34" s="1421">
        <f t="shared" si="1"/>
        <v>975228</v>
      </c>
      <c r="H34" s="155"/>
      <c r="I34" s="155"/>
      <c r="K34" s="155"/>
    </row>
    <row r="35" spans="1:11" s="130" customFormat="1" ht="19.5" customHeight="1">
      <c r="A35" s="81"/>
      <c r="B35" s="78">
        <v>75495</v>
      </c>
      <c r="C35" s="78" t="s">
        <v>366</v>
      </c>
      <c r="D35" s="559">
        <v>978000</v>
      </c>
      <c r="E35" s="559"/>
      <c r="F35" s="559"/>
      <c r="G35" s="559">
        <f t="shared" si="1"/>
        <v>978000</v>
      </c>
      <c r="H35" s="138"/>
      <c r="I35" s="138"/>
      <c r="K35" s="138"/>
    </row>
    <row r="36" spans="1:11" s="130" customFormat="1" ht="19.5" customHeight="1">
      <c r="A36" s="80"/>
      <c r="B36" s="466"/>
      <c r="C36" s="210" t="s">
        <v>791</v>
      </c>
      <c r="D36" s="524">
        <v>200000</v>
      </c>
      <c r="E36" s="524"/>
      <c r="F36" s="524"/>
      <c r="G36" s="524">
        <f t="shared" si="1"/>
        <v>200000</v>
      </c>
      <c r="H36" s="138"/>
      <c r="I36" s="138"/>
      <c r="K36" s="138"/>
    </row>
    <row r="37" spans="1:11" ht="19.5" customHeight="1">
      <c r="A37" s="85"/>
      <c r="B37" s="85"/>
      <c r="C37" s="1104" t="s">
        <v>184</v>
      </c>
      <c r="D37" s="567">
        <f>110000+5000</f>
        <v>115000</v>
      </c>
      <c r="E37" s="1420"/>
      <c r="F37" s="1420">
        <f>40000+6000</f>
        <v>46000</v>
      </c>
      <c r="G37" s="1420">
        <f t="shared" si="1"/>
        <v>161000</v>
      </c>
      <c r="H37" s="47"/>
      <c r="I37" s="47"/>
      <c r="K37" s="47"/>
    </row>
    <row r="38" spans="1:11" ht="19.5" customHeight="1">
      <c r="A38" s="89">
        <v>758</v>
      </c>
      <c r="B38" s="89"/>
      <c r="C38" s="89" t="s">
        <v>362</v>
      </c>
      <c r="D38" s="74">
        <v>7073552</v>
      </c>
      <c r="E38" s="75">
        <f>E39</f>
        <v>537856</v>
      </c>
      <c r="F38" s="75"/>
      <c r="G38" s="75">
        <f t="shared" si="1"/>
        <v>6535696</v>
      </c>
      <c r="H38" s="47"/>
      <c r="I38" s="47"/>
      <c r="K38" s="47"/>
    </row>
    <row r="39" spans="1:11" s="130" customFormat="1" ht="19.5" customHeight="1">
      <c r="A39" s="529"/>
      <c r="B39" s="77">
        <v>75818</v>
      </c>
      <c r="C39" s="77" t="s">
        <v>363</v>
      </c>
      <c r="D39" s="137">
        <v>3857554</v>
      </c>
      <c r="E39" s="137">
        <f>E40+E41</f>
        <v>537856</v>
      </c>
      <c r="F39" s="137"/>
      <c r="G39" s="137">
        <f t="shared" si="1"/>
        <v>3319698</v>
      </c>
      <c r="H39" s="138"/>
      <c r="I39" s="138"/>
      <c r="K39" s="138"/>
    </row>
    <row r="40" spans="1:11" s="130" customFormat="1" ht="19.5" customHeight="1">
      <c r="A40" s="206"/>
      <c r="B40" s="214"/>
      <c r="C40" s="101" t="s">
        <v>77</v>
      </c>
      <c r="D40" s="144">
        <v>1959959</v>
      </c>
      <c r="E40" s="144">
        <v>269066</v>
      </c>
      <c r="F40" s="144"/>
      <c r="G40" s="144">
        <f t="shared" si="1"/>
        <v>1690893</v>
      </c>
      <c r="H40" s="138"/>
      <c r="I40" s="138"/>
      <c r="K40" s="138"/>
    </row>
    <row r="41" spans="1:11" s="130" customFormat="1" ht="25.5">
      <c r="A41" s="206"/>
      <c r="B41" s="214"/>
      <c r="C41" s="1419" t="s">
        <v>143</v>
      </c>
      <c r="D41" s="1173">
        <v>268790</v>
      </c>
      <c r="E41" s="1173">
        <v>268790</v>
      </c>
      <c r="F41" s="1173"/>
      <c r="G41" s="1173">
        <f t="shared" si="1"/>
        <v>0</v>
      </c>
      <c r="H41" s="138"/>
      <c r="I41" s="138"/>
      <c r="K41" s="138"/>
    </row>
    <row r="42" spans="1:11" ht="18.75" customHeight="1">
      <c r="A42" s="72">
        <v>801</v>
      </c>
      <c r="B42" s="89"/>
      <c r="C42" s="92" t="s">
        <v>367</v>
      </c>
      <c r="D42" s="74">
        <v>352544826</v>
      </c>
      <c r="E42" s="75">
        <f>E43+E54+E58+E62+E65+E69+E74+E78+E80+E85+E89+E93+E96+E101+E105+E109+E114</f>
        <v>1551700</v>
      </c>
      <c r="F42" s="75">
        <f>F43+F54+F58+F62+F65+F69+F74+F78+F80+F85+F89+F93+F96+F101+F105+F109+F114</f>
        <v>2006164</v>
      </c>
      <c r="G42" s="75">
        <f t="shared" si="1"/>
        <v>352999290</v>
      </c>
      <c r="H42" s="47"/>
      <c r="I42" s="47"/>
      <c r="K42" s="47"/>
    </row>
    <row r="43" spans="1:11" s="95" customFormat="1" ht="18.75" customHeight="1">
      <c r="A43" s="76"/>
      <c r="B43" s="78">
        <v>80101</v>
      </c>
      <c r="C43" s="78" t="s">
        <v>706</v>
      </c>
      <c r="D43" s="559">
        <v>99502238</v>
      </c>
      <c r="E43" s="523">
        <f>E44+E45+E47+E48+E53+E50+E52</f>
        <v>397617</v>
      </c>
      <c r="F43" s="523">
        <f>F44+F45+F47+F48+F53+F50+F52</f>
        <v>274231</v>
      </c>
      <c r="G43" s="523">
        <f t="shared" si="1"/>
        <v>99378852</v>
      </c>
      <c r="H43" s="138"/>
      <c r="I43" s="138"/>
      <c r="K43" s="94"/>
    </row>
    <row r="44" spans="1:11" s="95" customFormat="1" ht="18.75" customHeight="1">
      <c r="A44" s="80"/>
      <c r="B44" s="66"/>
      <c r="C44" s="999" t="s">
        <v>57</v>
      </c>
      <c r="D44" s="144">
        <v>57937420</v>
      </c>
      <c r="E44" s="565">
        <v>198096</v>
      </c>
      <c r="F44" s="565"/>
      <c r="G44" s="565">
        <f t="shared" si="1"/>
        <v>57739324</v>
      </c>
      <c r="H44" s="138"/>
      <c r="I44" s="138"/>
      <c r="K44" s="94"/>
    </row>
    <row r="45" spans="1:11" s="95" customFormat="1" ht="18.75" customHeight="1">
      <c r="A45" s="80"/>
      <c r="B45" s="66"/>
      <c r="C45" s="1400" t="s">
        <v>387</v>
      </c>
      <c r="D45" s="1414">
        <v>12488462</v>
      </c>
      <c r="E45" s="1415"/>
      <c r="F45" s="1415">
        <f>88099-49187</f>
        <v>38912</v>
      </c>
      <c r="G45" s="1415">
        <f t="shared" si="1"/>
        <v>12527374</v>
      </c>
      <c r="H45" s="138"/>
      <c r="I45" s="138"/>
      <c r="K45" s="94"/>
    </row>
    <row r="46" spans="1:11" s="561" customFormat="1" ht="18.75" customHeight="1">
      <c r="A46" s="204"/>
      <c r="B46" s="81"/>
      <c r="C46" s="563" t="s">
        <v>185</v>
      </c>
      <c r="D46" s="945">
        <v>1408480</v>
      </c>
      <c r="E46" s="954"/>
      <c r="F46" s="954">
        <v>48099</v>
      </c>
      <c r="G46" s="954">
        <f t="shared" si="1"/>
        <v>1456579</v>
      </c>
      <c r="H46" s="1260"/>
      <c r="I46" s="157"/>
      <c r="K46" s="562"/>
    </row>
    <row r="47" spans="1:11" s="95" customFormat="1" ht="18.75" customHeight="1">
      <c r="A47" s="80"/>
      <c r="B47" s="66"/>
      <c r="C47" s="1416" t="s">
        <v>413</v>
      </c>
      <c r="D47" s="1417">
        <v>11227010</v>
      </c>
      <c r="E47" s="1418"/>
      <c r="F47" s="1418">
        <v>49645</v>
      </c>
      <c r="G47" s="1418">
        <f t="shared" si="1"/>
        <v>11276655</v>
      </c>
      <c r="H47" s="138"/>
      <c r="I47" s="138"/>
      <c r="K47" s="94"/>
    </row>
    <row r="48" spans="1:11" s="95" customFormat="1" ht="18.75" customHeight="1">
      <c r="A48" s="80"/>
      <c r="B48" s="66"/>
      <c r="C48" s="1400" t="s">
        <v>55</v>
      </c>
      <c r="D48" s="1148">
        <v>404730</v>
      </c>
      <c r="E48" s="550">
        <f>2916-195</f>
        <v>2721</v>
      </c>
      <c r="F48" s="550"/>
      <c r="G48" s="550">
        <f t="shared" si="1"/>
        <v>402009</v>
      </c>
      <c r="H48" s="138"/>
      <c r="I48" s="138"/>
      <c r="K48" s="94"/>
    </row>
    <row r="49" spans="1:11" s="557" customFormat="1" ht="18.75" customHeight="1">
      <c r="A49" s="205"/>
      <c r="B49" s="169"/>
      <c r="C49" s="1308" t="s">
        <v>494</v>
      </c>
      <c r="D49" s="459">
        <v>294456</v>
      </c>
      <c r="E49" s="1309">
        <v>2116</v>
      </c>
      <c r="F49" s="1309"/>
      <c r="G49" s="1309">
        <f>D49+F49-E49</f>
        <v>292340</v>
      </c>
      <c r="H49" s="155"/>
      <c r="I49" s="155"/>
      <c r="K49" s="558"/>
    </row>
    <row r="50" spans="1:11" s="95" customFormat="1" ht="25.5">
      <c r="A50" s="80"/>
      <c r="B50" s="66"/>
      <c r="C50" s="762" t="s">
        <v>543</v>
      </c>
      <c r="D50" s="865"/>
      <c r="E50" s="619"/>
      <c r="F50" s="619">
        <v>184212</v>
      </c>
      <c r="G50" s="619">
        <f t="shared" si="1"/>
        <v>184212</v>
      </c>
      <c r="H50" s="138"/>
      <c r="I50" s="138"/>
      <c r="K50" s="94"/>
    </row>
    <row r="51" spans="1:11" s="557" customFormat="1" ht="19.5" customHeight="1">
      <c r="A51" s="205"/>
      <c r="B51" s="169"/>
      <c r="C51" s="799" t="s">
        <v>494</v>
      </c>
      <c r="D51" s="459"/>
      <c r="E51" s="1309"/>
      <c r="F51" s="1309">
        <v>153614</v>
      </c>
      <c r="G51" s="1309">
        <f>D51+F51-E51</f>
        <v>153614</v>
      </c>
      <c r="H51" s="155"/>
      <c r="I51" s="155"/>
      <c r="K51" s="558"/>
    </row>
    <row r="52" spans="1:11" s="95" customFormat="1" ht="18.75" customHeight="1">
      <c r="A52" s="80"/>
      <c r="B52" s="66"/>
      <c r="C52" s="618" t="s">
        <v>122</v>
      </c>
      <c r="D52" s="865">
        <v>1058000</v>
      </c>
      <c r="E52" s="619"/>
      <c r="F52" s="619">
        <v>1462</v>
      </c>
      <c r="G52" s="619">
        <f t="shared" si="1"/>
        <v>1059462</v>
      </c>
      <c r="H52" s="138"/>
      <c r="I52" s="138"/>
      <c r="K52" s="94"/>
    </row>
    <row r="53" spans="1:11" s="95" customFormat="1" ht="18.75" customHeight="1">
      <c r="A53" s="80"/>
      <c r="B53" s="69"/>
      <c r="C53" s="191" t="s">
        <v>493</v>
      </c>
      <c r="D53" s="1397">
        <v>16317143</v>
      </c>
      <c r="E53" s="1399">
        <f>346800-150000</f>
        <v>196800</v>
      </c>
      <c r="F53" s="1399"/>
      <c r="G53" s="1399">
        <f t="shared" si="1"/>
        <v>16120343</v>
      </c>
      <c r="H53" s="138"/>
      <c r="I53" s="138"/>
      <c r="K53" s="94"/>
    </row>
    <row r="54" spans="1:11" s="95" customFormat="1" ht="18.75" customHeight="1">
      <c r="A54" s="76"/>
      <c r="B54" s="78">
        <v>80102</v>
      </c>
      <c r="C54" s="78" t="s">
        <v>809</v>
      </c>
      <c r="D54" s="559">
        <v>6239837</v>
      </c>
      <c r="E54" s="523"/>
      <c r="F54" s="523">
        <f>F55+F56+F57</f>
        <v>392863</v>
      </c>
      <c r="G54" s="523">
        <f t="shared" si="1"/>
        <v>6632700</v>
      </c>
      <c r="H54" s="138"/>
      <c r="I54" s="138"/>
      <c r="K54" s="94"/>
    </row>
    <row r="55" spans="1:11" s="95" customFormat="1" ht="18.75" customHeight="1">
      <c r="A55" s="923"/>
      <c r="B55" s="69"/>
      <c r="C55" s="1600" t="s">
        <v>57</v>
      </c>
      <c r="D55" s="1393">
        <v>4824200</v>
      </c>
      <c r="E55" s="1601"/>
      <c r="F55" s="1601">
        <v>294640</v>
      </c>
      <c r="G55" s="1601">
        <f t="shared" si="1"/>
        <v>5118840</v>
      </c>
      <c r="H55" s="138"/>
      <c r="I55" s="138"/>
      <c r="K55" s="94"/>
    </row>
    <row r="56" spans="1:11" s="95" customFormat="1" ht="18.75" customHeight="1">
      <c r="A56" s="80"/>
      <c r="B56" s="66"/>
      <c r="C56" s="618" t="s">
        <v>387</v>
      </c>
      <c r="D56" s="865">
        <v>493400</v>
      </c>
      <c r="E56" s="619"/>
      <c r="F56" s="619">
        <v>6500</v>
      </c>
      <c r="G56" s="619">
        <f t="shared" si="1"/>
        <v>499900</v>
      </c>
      <c r="H56" s="138"/>
      <c r="I56" s="138"/>
      <c r="K56" s="94"/>
    </row>
    <row r="57" spans="1:11" s="95" customFormat="1" ht="18.75" customHeight="1">
      <c r="A57" s="80"/>
      <c r="B57" s="69"/>
      <c r="C57" s="191" t="s">
        <v>413</v>
      </c>
      <c r="D57" s="1397">
        <v>922237</v>
      </c>
      <c r="E57" s="1399"/>
      <c r="F57" s="1399">
        <v>91723</v>
      </c>
      <c r="G57" s="1399">
        <f t="shared" si="1"/>
        <v>1013960</v>
      </c>
      <c r="H57" s="138"/>
      <c r="I57" s="138"/>
      <c r="K57" s="94"/>
    </row>
    <row r="58" spans="1:11" s="95" customFormat="1" ht="18.75" customHeight="1">
      <c r="A58" s="76"/>
      <c r="B58" s="78">
        <v>80103</v>
      </c>
      <c r="C58" s="78" t="s">
        <v>808</v>
      </c>
      <c r="D58" s="559">
        <v>1712730</v>
      </c>
      <c r="E58" s="523">
        <f>E59+E60+E61</f>
        <v>2340</v>
      </c>
      <c r="F58" s="523">
        <f>F59+F60+F61</f>
        <v>19206</v>
      </c>
      <c r="G58" s="523">
        <f aca="true" t="shared" si="2" ref="G58:G87">D58+F58-E58</f>
        <v>1729596</v>
      </c>
      <c r="H58" s="138"/>
      <c r="I58" s="138"/>
      <c r="K58" s="94"/>
    </row>
    <row r="59" spans="1:11" s="95" customFormat="1" ht="18.75" customHeight="1">
      <c r="A59" s="80"/>
      <c r="B59" s="66"/>
      <c r="C59" s="999" t="s">
        <v>57</v>
      </c>
      <c r="D59" s="144">
        <v>1287870</v>
      </c>
      <c r="E59" s="565"/>
      <c r="F59" s="565">
        <v>13434</v>
      </c>
      <c r="G59" s="565">
        <f t="shared" si="2"/>
        <v>1301304</v>
      </c>
      <c r="H59" s="138"/>
      <c r="I59" s="138"/>
      <c r="K59" s="94"/>
    </row>
    <row r="60" spans="1:11" s="95" customFormat="1" ht="18.75" customHeight="1">
      <c r="A60" s="80"/>
      <c r="B60" s="66"/>
      <c r="C60" s="1400" t="s">
        <v>387</v>
      </c>
      <c r="D60" s="1148">
        <v>162900</v>
      </c>
      <c r="E60" s="550">
        <v>2340</v>
      </c>
      <c r="F60" s="550"/>
      <c r="G60" s="550">
        <f t="shared" si="2"/>
        <v>160560</v>
      </c>
      <c r="H60" s="138"/>
      <c r="I60" s="138"/>
      <c r="K60" s="94"/>
    </row>
    <row r="61" spans="1:11" s="95" customFormat="1" ht="18.75" customHeight="1">
      <c r="A61" s="80"/>
      <c r="B61" s="66"/>
      <c r="C61" s="618" t="s">
        <v>413</v>
      </c>
      <c r="D61" s="865">
        <v>261960</v>
      </c>
      <c r="E61" s="619"/>
      <c r="F61" s="619">
        <v>5772</v>
      </c>
      <c r="G61" s="619">
        <f t="shared" si="2"/>
        <v>267732</v>
      </c>
      <c r="H61" s="138"/>
      <c r="I61" s="138"/>
      <c r="K61" s="94"/>
    </row>
    <row r="62" spans="1:11" s="130" customFormat="1" ht="18.75" customHeight="1">
      <c r="A62" s="76"/>
      <c r="B62" s="77">
        <v>80104</v>
      </c>
      <c r="C62" s="77" t="s">
        <v>415</v>
      </c>
      <c r="D62" s="137">
        <v>49650090</v>
      </c>
      <c r="E62" s="137"/>
      <c r="F62" s="137">
        <f>F63</f>
        <v>147800</v>
      </c>
      <c r="G62" s="137">
        <f t="shared" si="2"/>
        <v>49797890</v>
      </c>
      <c r="H62" s="138"/>
      <c r="I62" s="138"/>
      <c r="K62" s="138"/>
    </row>
    <row r="63" spans="1:11" s="95" customFormat="1" ht="18.75" customHeight="1">
      <c r="A63" s="80"/>
      <c r="B63" s="66"/>
      <c r="C63" s="999" t="s">
        <v>387</v>
      </c>
      <c r="D63" s="144">
        <v>6767334</v>
      </c>
      <c r="E63" s="565"/>
      <c r="F63" s="565">
        <f>163052-15252</f>
        <v>147800</v>
      </c>
      <c r="G63" s="565">
        <f t="shared" si="2"/>
        <v>6915134</v>
      </c>
      <c r="H63" s="138"/>
      <c r="I63" s="138"/>
      <c r="K63" s="94"/>
    </row>
    <row r="64" spans="1:11" s="95" customFormat="1" ht="18.75" customHeight="1">
      <c r="A64" s="80"/>
      <c r="B64" s="69"/>
      <c r="C64" s="964" t="s">
        <v>185</v>
      </c>
      <c r="D64" s="154">
        <v>553008</v>
      </c>
      <c r="E64" s="636"/>
      <c r="F64" s="636">
        <v>30869</v>
      </c>
      <c r="G64" s="154">
        <f t="shared" si="2"/>
        <v>583877</v>
      </c>
      <c r="H64" s="138"/>
      <c r="I64" s="138"/>
      <c r="K64" s="94"/>
    </row>
    <row r="65" spans="1:11" s="95" customFormat="1" ht="18.75" customHeight="1">
      <c r="A65" s="76"/>
      <c r="B65" s="78">
        <v>80105</v>
      </c>
      <c r="C65" s="78" t="s">
        <v>810</v>
      </c>
      <c r="D65" s="559">
        <v>1630000</v>
      </c>
      <c r="E65" s="523">
        <f>E66+E67+E68</f>
        <v>100</v>
      </c>
      <c r="F65" s="523">
        <f>F66+F67+F68</f>
        <v>78260</v>
      </c>
      <c r="G65" s="523">
        <f t="shared" si="2"/>
        <v>1708160</v>
      </c>
      <c r="H65" s="138"/>
      <c r="I65" s="138"/>
      <c r="K65" s="94"/>
    </row>
    <row r="66" spans="1:11" s="95" customFormat="1" ht="18.75" customHeight="1">
      <c r="A66" s="80"/>
      <c r="B66" s="66"/>
      <c r="C66" s="999" t="s">
        <v>57</v>
      </c>
      <c r="D66" s="144">
        <v>1217900</v>
      </c>
      <c r="E66" s="565"/>
      <c r="F66" s="565">
        <v>49000</v>
      </c>
      <c r="G66" s="565">
        <f t="shared" si="2"/>
        <v>1266900</v>
      </c>
      <c r="H66" s="138"/>
      <c r="I66" s="138"/>
      <c r="K66" s="94"/>
    </row>
    <row r="67" spans="1:11" s="95" customFormat="1" ht="18.75" customHeight="1">
      <c r="A67" s="80"/>
      <c r="B67" s="66"/>
      <c r="C67" s="1400" t="s">
        <v>387</v>
      </c>
      <c r="D67" s="1148">
        <v>185600</v>
      </c>
      <c r="E67" s="550">
        <v>100</v>
      </c>
      <c r="F67" s="550"/>
      <c r="G67" s="550">
        <f t="shared" si="2"/>
        <v>185500</v>
      </c>
      <c r="H67" s="138"/>
      <c r="I67" s="138"/>
      <c r="K67" s="94"/>
    </row>
    <row r="68" spans="1:11" s="95" customFormat="1" ht="18.75" customHeight="1">
      <c r="A68" s="80"/>
      <c r="B68" s="69"/>
      <c r="C68" s="191" t="s">
        <v>413</v>
      </c>
      <c r="D68" s="1397">
        <v>226500</v>
      </c>
      <c r="E68" s="1399"/>
      <c r="F68" s="1399">
        <v>29260</v>
      </c>
      <c r="G68" s="1399">
        <f t="shared" si="2"/>
        <v>255760</v>
      </c>
      <c r="H68" s="138"/>
      <c r="I68" s="138"/>
      <c r="K68" s="94"/>
    </row>
    <row r="69" spans="1:11" s="95" customFormat="1" ht="19.5" customHeight="1">
      <c r="A69" s="76"/>
      <c r="B69" s="78">
        <v>80110</v>
      </c>
      <c r="C69" s="78" t="s">
        <v>707</v>
      </c>
      <c r="D69" s="559">
        <v>55776452</v>
      </c>
      <c r="E69" s="523">
        <f>E70+E71+E73</f>
        <v>124560</v>
      </c>
      <c r="F69" s="523">
        <f>F70+F71+F73</f>
        <v>88552</v>
      </c>
      <c r="G69" s="523">
        <f t="shared" si="2"/>
        <v>55740444</v>
      </c>
      <c r="H69" s="138"/>
      <c r="I69" s="138"/>
      <c r="K69" s="94"/>
    </row>
    <row r="70" spans="1:11" s="95" customFormat="1" ht="18.75" customHeight="1">
      <c r="A70" s="80"/>
      <c r="B70" s="66"/>
      <c r="C70" s="999" t="s">
        <v>57</v>
      </c>
      <c r="D70" s="144">
        <v>35671400</v>
      </c>
      <c r="E70" s="565">
        <v>124560</v>
      </c>
      <c r="F70" s="565"/>
      <c r="G70" s="565">
        <f t="shared" si="2"/>
        <v>35546840</v>
      </c>
      <c r="H70" s="138"/>
      <c r="I70" s="138"/>
      <c r="K70" s="94"/>
    </row>
    <row r="71" spans="1:11" s="95" customFormat="1" ht="19.5" customHeight="1">
      <c r="A71" s="80"/>
      <c r="B71" s="66"/>
      <c r="C71" s="1400" t="s">
        <v>387</v>
      </c>
      <c r="D71" s="1148">
        <v>7093049</v>
      </c>
      <c r="E71" s="550"/>
      <c r="F71" s="550">
        <f>135450-62400</f>
        <v>73050</v>
      </c>
      <c r="G71" s="550">
        <f t="shared" si="2"/>
        <v>7166099</v>
      </c>
      <c r="H71" s="138"/>
      <c r="I71" s="138"/>
      <c r="K71" s="94"/>
    </row>
    <row r="72" spans="1:11" s="561" customFormat="1" ht="19.5" customHeight="1">
      <c r="A72" s="204"/>
      <c r="B72" s="81"/>
      <c r="C72" s="771" t="s">
        <v>185</v>
      </c>
      <c r="D72" s="578">
        <v>1024682</v>
      </c>
      <c r="E72" s="620"/>
      <c r="F72" s="620">
        <v>125650</v>
      </c>
      <c r="G72" s="620">
        <f t="shared" si="2"/>
        <v>1150332</v>
      </c>
      <c r="H72" s="157"/>
      <c r="I72" s="157"/>
      <c r="K72" s="562"/>
    </row>
    <row r="73" spans="1:11" s="95" customFormat="1" ht="18.75" customHeight="1">
      <c r="A73" s="80"/>
      <c r="B73" s="69"/>
      <c r="C73" s="191" t="s">
        <v>413</v>
      </c>
      <c r="D73" s="1397">
        <v>6995448</v>
      </c>
      <c r="E73" s="1399"/>
      <c r="F73" s="1399">
        <f>37420-21918</f>
        <v>15502</v>
      </c>
      <c r="G73" s="1399">
        <f t="shared" si="2"/>
        <v>7010950</v>
      </c>
      <c r="H73" s="138"/>
      <c r="I73" s="138"/>
      <c r="K73" s="94"/>
    </row>
    <row r="74" spans="1:11" s="95" customFormat="1" ht="18.75" customHeight="1">
      <c r="A74" s="76"/>
      <c r="B74" s="78">
        <v>80111</v>
      </c>
      <c r="C74" s="78" t="s">
        <v>833</v>
      </c>
      <c r="D74" s="559">
        <v>4580000</v>
      </c>
      <c r="E74" s="523"/>
      <c r="F74" s="523">
        <f>F75+F76+F77</f>
        <v>42500</v>
      </c>
      <c r="G74" s="523">
        <f t="shared" si="2"/>
        <v>4622500</v>
      </c>
      <c r="H74" s="138"/>
      <c r="I74" s="138"/>
      <c r="K74" s="94"/>
    </row>
    <row r="75" spans="1:11" s="95" customFormat="1" ht="18.75" customHeight="1">
      <c r="A75" s="80"/>
      <c r="B75" s="66"/>
      <c r="C75" s="999" t="s">
        <v>57</v>
      </c>
      <c r="D75" s="144">
        <v>3550800</v>
      </c>
      <c r="E75" s="565"/>
      <c r="F75" s="565">
        <v>24400</v>
      </c>
      <c r="G75" s="565">
        <f t="shared" si="2"/>
        <v>3575200</v>
      </c>
      <c r="H75" s="138"/>
      <c r="I75" s="138"/>
      <c r="K75" s="94"/>
    </row>
    <row r="76" spans="1:11" s="95" customFormat="1" ht="18.75" customHeight="1">
      <c r="A76" s="80"/>
      <c r="B76" s="66"/>
      <c r="C76" s="1400" t="s">
        <v>387</v>
      </c>
      <c r="D76" s="1148">
        <v>345400</v>
      </c>
      <c r="E76" s="550"/>
      <c r="F76" s="550">
        <v>6000</v>
      </c>
      <c r="G76" s="550">
        <f t="shared" si="2"/>
        <v>351400</v>
      </c>
      <c r="H76" s="138"/>
      <c r="I76" s="138"/>
      <c r="K76" s="94"/>
    </row>
    <row r="77" spans="1:11" s="95" customFormat="1" ht="18.75" customHeight="1">
      <c r="A77" s="80"/>
      <c r="B77" s="69"/>
      <c r="C77" s="191" t="s">
        <v>413</v>
      </c>
      <c r="D77" s="1397">
        <v>683800</v>
      </c>
      <c r="E77" s="1399"/>
      <c r="F77" s="1399">
        <v>12100</v>
      </c>
      <c r="G77" s="1399">
        <f t="shared" si="2"/>
        <v>695900</v>
      </c>
      <c r="H77" s="138"/>
      <c r="I77" s="138"/>
      <c r="K77" s="94"/>
    </row>
    <row r="78" spans="1:11" s="95" customFormat="1" ht="19.5" customHeight="1">
      <c r="A78" s="76"/>
      <c r="B78" s="78">
        <v>80113</v>
      </c>
      <c r="C78" s="78" t="s">
        <v>834</v>
      </c>
      <c r="D78" s="559">
        <v>615000</v>
      </c>
      <c r="E78" s="523">
        <f>E79</f>
        <v>36916</v>
      </c>
      <c r="F78" s="523"/>
      <c r="G78" s="523">
        <f t="shared" si="2"/>
        <v>578084</v>
      </c>
      <c r="H78" s="138"/>
      <c r="I78" s="138"/>
      <c r="K78" s="94"/>
    </row>
    <row r="79" spans="1:11" s="95" customFormat="1" ht="19.5" customHeight="1">
      <c r="A79" s="80"/>
      <c r="B79" s="466"/>
      <c r="C79" s="537" t="s">
        <v>161</v>
      </c>
      <c r="D79" s="143">
        <v>615000</v>
      </c>
      <c r="E79" s="560">
        <v>36916</v>
      </c>
      <c r="F79" s="560"/>
      <c r="G79" s="560">
        <f t="shared" si="2"/>
        <v>578084</v>
      </c>
      <c r="H79" s="138"/>
      <c r="I79" s="138"/>
      <c r="K79" s="94"/>
    </row>
    <row r="80" spans="1:11" s="95" customFormat="1" ht="19.5" customHeight="1">
      <c r="A80" s="76"/>
      <c r="B80" s="77">
        <v>80120</v>
      </c>
      <c r="C80" s="77" t="s">
        <v>708</v>
      </c>
      <c r="D80" s="137">
        <v>50972443</v>
      </c>
      <c r="E80" s="79">
        <f>E81+E82+E83+E84</f>
        <v>228850</v>
      </c>
      <c r="F80" s="79">
        <f>F81+F82+F83+F84</f>
        <v>426250</v>
      </c>
      <c r="G80" s="79">
        <f t="shared" si="2"/>
        <v>51169843</v>
      </c>
      <c r="H80" s="138"/>
      <c r="I80" s="138"/>
      <c r="K80" s="94"/>
    </row>
    <row r="81" spans="1:11" s="95" customFormat="1" ht="18.75" customHeight="1">
      <c r="A81" s="80"/>
      <c r="B81" s="66"/>
      <c r="C81" s="999" t="s">
        <v>57</v>
      </c>
      <c r="D81" s="144">
        <v>32378000</v>
      </c>
      <c r="E81" s="565"/>
      <c r="F81" s="565">
        <v>239120</v>
      </c>
      <c r="G81" s="565">
        <f t="shared" si="2"/>
        <v>32617120</v>
      </c>
      <c r="H81" s="138"/>
      <c r="I81" s="138"/>
      <c r="K81" s="94"/>
    </row>
    <row r="82" spans="1:11" s="95" customFormat="1" ht="19.5" customHeight="1">
      <c r="A82" s="80"/>
      <c r="B82" s="66"/>
      <c r="C82" s="1400" t="s">
        <v>387</v>
      </c>
      <c r="D82" s="1148">
        <v>6000623</v>
      </c>
      <c r="E82" s="550">
        <v>28850</v>
      </c>
      <c r="F82" s="550"/>
      <c r="G82" s="550">
        <f t="shared" si="2"/>
        <v>5971773</v>
      </c>
      <c r="H82" s="138"/>
      <c r="I82" s="138"/>
      <c r="K82" s="94"/>
    </row>
    <row r="83" spans="1:11" s="95" customFormat="1" ht="18.75" customHeight="1">
      <c r="A83" s="80"/>
      <c r="B83" s="66"/>
      <c r="C83" s="1400" t="s">
        <v>413</v>
      </c>
      <c r="D83" s="1148">
        <v>6213000</v>
      </c>
      <c r="E83" s="550"/>
      <c r="F83" s="550">
        <v>187130</v>
      </c>
      <c r="G83" s="550">
        <f t="shared" si="2"/>
        <v>6400130</v>
      </c>
      <c r="H83" s="138"/>
      <c r="I83" s="138"/>
      <c r="K83" s="94"/>
    </row>
    <row r="84" spans="1:11" s="555" customFormat="1" ht="17.25" customHeight="1">
      <c r="A84" s="1602"/>
      <c r="B84" s="1384"/>
      <c r="C84" s="1422" t="s">
        <v>493</v>
      </c>
      <c r="D84" s="1396">
        <v>2122220</v>
      </c>
      <c r="E84" s="1407">
        <v>200000</v>
      </c>
      <c r="F84" s="1407"/>
      <c r="G84" s="1407">
        <f t="shared" si="2"/>
        <v>1922220</v>
      </c>
      <c r="H84" s="209"/>
      <c r="I84" s="209"/>
      <c r="K84" s="556"/>
    </row>
    <row r="85" spans="1:11" s="130" customFormat="1" ht="18.75" customHeight="1">
      <c r="A85" s="76"/>
      <c r="B85" s="78">
        <v>80121</v>
      </c>
      <c r="C85" s="78" t="s">
        <v>835</v>
      </c>
      <c r="D85" s="559">
        <v>826000</v>
      </c>
      <c r="E85" s="559"/>
      <c r="F85" s="559">
        <f>F86+F87+F88</f>
        <v>52210</v>
      </c>
      <c r="G85" s="559">
        <f t="shared" si="2"/>
        <v>878210</v>
      </c>
      <c r="H85" s="138"/>
      <c r="I85" s="138"/>
      <c r="K85" s="138"/>
    </row>
    <row r="86" spans="1:11" s="95" customFormat="1" ht="18.75" customHeight="1">
      <c r="A86" s="80"/>
      <c r="B86" s="66"/>
      <c r="C86" s="999" t="s">
        <v>57</v>
      </c>
      <c r="D86" s="144">
        <v>624700</v>
      </c>
      <c r="E86" s="565"/>
      <c r="F86" s="565">
        <v>32500</v>
      </c>
      <c r="G86" s="144">
        <f t="shared" si="2"/>
        <v>657200</v>
      </c>
      <c r="H86" s="138"/>
      <c r="I86" s="138"/>
      <c r="K86" s="94"/>
    </row>
    <row r="87" spans="1:11" s="95" customFormat="1" ht="18.75" customHeight="1">
      <c r="A87" s="80"/>
      <c r="B87" s="66"/>
      <c r="C87" s="1400" t="s">
        <v>387</v>
      </c>
      <c r="D87" s="1148">
        <v>79500</v>
      </c>
      <c r="E87" s="550"/>
      <c r="F87" s="550">
        <v>7000</v>
      </c>
      <c r="G87" s="550">
        <f t="shared" si="2"/>
        <v>86500</v>
      </c>
      <c r="H87" s="138"/>
      <c r="I87" s="138"/>
      <c r="K87" s="94"/>
    </row>
    <row r="88" spans="1:11" s="95" customFormat="1" ht="18.75" customHeight="1">
      <c r="A88" s="80"/>
      <c r="B88" s="66"/>
      <c r="C88" s="618" t="s">
        <v>413</v>
      </c>
      <c r="D88" s="865">
        <v>121800</v>
      </c>
      <c r="E88" s="619"/>
      <c r="F88" s="619">
        <v>12710</v>
      </c>
      <c r="G88" s="865">
        <f aca="true" t="shared" si="3" ref="G88:G112">D88+F88-E88</f>
        <v>134510</v>
      </c>
      <c r="H88" s="138"/>
      <c r="I88" s="138"/>
      <c r="K88" s="94"/>
    </row>
    <row r="89" spans="1:11" s="130" customFormat="1" ht="18.75" customHeight="1">
      <c r="A89" s="76"/>
      <c r="B89" s="77">
        <v>80123</v>
      </c>
      <c r="C89" s="77" t="s">
        <v>836</v>
      </c>
      <c r="D89" s="137">
        <v>8786500</v>
      </c>
      <c r="E89" s="137">
        <f>E90+E91+E92</f>
        <v>21551</v>
      </c>
      <c r="F89" s="137">
        <f>F90+F91+F92</f>
        <v>23082</v>
      </c>
      <c r="G89" s="137">
        <f t="shared" si="3"/>
        <v>8788031</v>
      </c>
      <c r="H89" s="138"/>
      <c r="I89" s="138"/>
      <c r="K89" s="138"/>
    </row>
    <row r="90" spans="1:11" s="95" customFormat="1" ht="18.75" customHeight="1">
      <c r="A90" s="80"/>
      <c r="B90" s="66"/>
      <c r="C90" s="999" t="s">
        <v>57</v>
      </c>
      <c r="D90" s="144">
        <v>6279300</v>
      </c>
      <c r="E90" s="565">
        <v>882</v>
      </c>
      <c r="F90" s="565"/>
      <c r="G90" s="144">
        <f t="shared" si="3"/>
        <v>6278418</v>
      </c>
      <c r="H90" s="138"/>
      <c r="I90" s="138"/>
      <c r="K90" s="94"/>
    </row>
    <row r="91" spans="1:11" s="95" customFormat="1" ht="18.75" customHeight="1">
      <c r="A91" s="80"/>
      <c r="B91" s="66"/>
      <c r="C91" s="1400" t="s">
        <v>387</v>
      </c>
      <c r="D91" s="1148">
        <v>703400</v>
      </c>
      <c r="E91" s="550"/>
      <c r="F91" s="550">
        <v>23082</v>
      </c>
      <c r="G91" s="1148">
        <f t="shared" si="3"/>
        <v>726482</v>
      </c>
      <c r="H91" s="138"/>
      <c r="I91" s="138"/>
      <c r="K91" s="94"/>
    </row>
    <row r="92" spans="1:11" s="95" customFormat="1" ht="18.75" customHeight="1">
      <c r="A92" s="80"/>
      <c r="B92" s="66"/>
      <c r="C92" s="618" t="s">
        <v>413</v>
      </c>
      <c r="D92" s="865">
        <v>1255800</v>
      </c>
      <c r="E92" s="619">
        <f>21924-1255</f>
        <v>20669</v>
      </c>
      <c r="F92" s="619"/>
      <c r="G92" s="865">
        <f t="shared" si="3"/>
        <v>1235131</v>
      </c>
      <c r="H92" s="138"/>
      <c r="I92" s="138"/>
      <c r="K92" s="94"/>
    </row>
    <row r="93" spans="1:11" s="130" customFormat="1" ht="18.75" customHeight="1">
      <c r="A93" s="76"/>
      <c r="B93" s="77">
        <v>80124</v>
      </c>
      <c r="C93" s="77" t="s">
        <v>837</v>
      </c>
      <c r="D93" s="137">
        <v>630000</v>
      </c>
      <c r="E93" s="137">
        <f>E94+E95</f>
        <v>74000</v>
      </c>
      <c r="F93" s="137"/>
      <c r="G93" s="137">
        <f t="shared" si="3"/>
        <v>556000</v>
      </c>
      <c r="H93" s="138"/>
      <c r="I93" s="138"/>
      <c r="K93" s="138"/>
    </row>
    <row r="94" spans="1:11" s="95" customFormat="1" ht="18.75" customHeight="1">
      <c r="A94" s="80"/>
      <c r="B94" s="66"/>
      <c r="C94" s="999" t="s">
        <v>57</v>
      </c>
      <c r="D94" s="144">
        <v>486700</v>
      </c>
      <c r="E94" s="565">
        <v>65000</v>
      </c>
      <c r="F94" s="565"/>
      <c r="G94" s="144">
        <f t="shared" si="3"/>
        <v>421700</v>
      </c>
      <c r="H94" s="138"/>
      <c r="I94" s="138"/>
      <c r="K94" s="94"/>
    </row>
    <row r="95" spans="1:11" s="95" customFormat="1" ht="18.75" customHeight="1">
      <c r="A95" s="80"/>
      <c r="B95" s="66"/>
      <c r="C95" s="1413" t="s">
        <v>413</v>
      </c>
      <c r="D95" s="1173">
        <v>94200</v>
      </c>
      <c r="E95" s="1402">
        <v>9000</v>
      </c>
      <c r="F95" s="1402"/>
      <c r="G95" s="1173">
        <f t="shared" si="3"/>
        <v>85200</v>
      </c>
      <c r="H95" s="138"/>
      <c r="I95" s="138"/>
      <c r="K95" s="94"/>
    </row>
    <row r="96" spans="1:11" s="95" customFormat="1" ht="18.75" customHeight="1">
      <c r="A96" s="76"/>
      <c r="B96" s="77">
        <v>80130</v>
      </c>
      <c r="C96" s="77" t="s">
        <v>414</v>
      </c>
      <c r="D96" s="137">
        <v>47384417</v>
      </c>
      <c r="E96" s="79">
        <f>E97+E98+E99+E100</f>
        <v>274428</v>
      </c>
      <c r="F96" s="79">
        <f>F97+F98+F99+F100</f>
        <v>352170</v>
      </c>
      <c r="G96" s="79">
        <f t="shared" si="3"/>
        <v>47462159</v>
      </c>
      <c r="H96" s="138"/>
      <c r="I96" s="138"/>
      <c r="K96" s="94"/>
    </row>
    <row r="97" spans="1:11" s="95" customFormat="1" ht="18.75" customHeight="1">
      <c r="A97" s="80"/>
      <c r="B97" s="66"/>
      <c r="C97" s="999" t="s">
        <v>57</v>
      </c>
      <c r="D97" s="144">
        <v>24895700</v>
      </c>
      <c r="E97" s="565">
        <v>263100</v>
      </c>
      <c r="F97" s="565"/>
      <c r="G97" s="144">
        <f t="shared" si="3"/>
        <v>24632600</v>
      </c>
      <c r="H97" s="138"/>
      <c r="I97" s="138"/>
      <c r="K97" s="94"/>
    </row>
    <row r="98" spans="1:11" s="95" customFormat="1" ht="19.5" customHeight="1">
      <c r="A98" s="80"/>
      <c r="B98" s="66"/>
      <c r="C98" s="1400" t="s">
        <v>387</v>
      </c>
      <c r="D98" s="1148">
        <v>5308697</v>
      </c>
      <c r="E98" s="550">
        <v>11328</v>
      </c>
      <c r="F98" s="550"/>
      <c r="G98" s="550">
        <f t="shared" si="3"/>
        <v>5297369</v>
      </c>
      <c r="H98" s="138"/>
      <c r="I98" s="138"/>
      <c r="K98" s="94"/>
    </row>
    <row r="99" spans="1:11" s="95" customFormat="1" ht="18.75" customHeight="1">
      <c r="A99" s="80"/>
      <c r="B99" s="66"/>
      <c r="C99" s="1400" t="s">
        <v>413</v>
      </c>
      <c r="D99" s="1148">
        <v>4544950</v>
      </c>
      <c r="E99" s="550"/>
      <c r="F99" s="550">
        <v>172170</v>
      </c>
      <c r="G99" s="1148">
        <f t="shared" si="3"/>
        <v>4717120</v>
      </c>
      <c r="H99" s="138"/>
      <c r="I99" s="138"/>
      <c r="K99" s="94"/>
    </row>
    <row r="100" spans="1:11" s="130" customFormat="1" ht="21" customHeight="1">
      <c r="A100" s="80"/>
      <c r="B100" s="66"/>
      <c r="C100" s="568" t="s">
        <v>493</v>
      </c>
      <c r="D100" s="865">
        <v>7000190</v>
      </c>
      <c r="E100" s="865"/>
      <c r="F100" s="865">
        <v>180000</v>
      </c>
      <c r="G100" s="865">
        <f t="shared" si="3"/>
        <v>7180190</v>
      </c>
      <c r="H100" s="138"/>
      <c r="I100" s="138"/>
      <c r="K100" s="138"/>
    </row>
    <row r="101" spans="1:11" s="95" customFormat="1" ht="18.75" customHeight="1">
      <c r="A101" s="76"/>
      <c r="B101" s="77">
        <v>80132</v>
      </c>
      <c r="C101" s="77" t="s">
        <v>838</v>
      </c>
      <c r="D101" s="137">
        <v>3695000</v>
      </c>
      <c r="E101" s="79">
        <f>E102+E103+E104</f>
        <v>192000</v>
      </c>
      <c r="F101" s="79"/>
      <c r="G101" s="79">
        <f t="shared" si="3"/>
        <v>3503000</v>
      </c>
      <c r="H101" s="138"/>
      <c r="I101" s="138"/>
      <c r="K101" s="94"/>
    </row>
    <row r="102" spans="1:11" s="95" customFormat="1" ht="18.75" customHeight="1">
      <c r="A102" s="80"/>
      <c r="B102" s="66"/>
      <c r="C102" s="999" t="s">
        <v>57</v>
      </c>
      <c r="D102" s="144">
        <v>2801900</v>
      </c>
      <c r="E102" s="565">
        <v>150000</v>
      </c>
      <c r="F102" s="565"/>
      <c r="G102" s="144">
        <f t="shared" si="3"/>
        <v>2651900</v>
      </c>
      <c r="H102" s="138"/>
      <c r="I102" s="138"/>
      <c r="K102" s="94"/>
    </row>
    <row r="103" spans="1:11" s="95" customFormat="1" ht="19.5" customHeight="1">
      <c r="A103" s="80"/>
      <c r="B103" s="66"/>
      <c r="C103" s="1400" t="s">
        <v>387</v>
      </c>
      <c r="D103" s="1148">
        <v>279000</v>
      </c>
      <c r="E103" s="550">
        <v>20000</v>
      </c>
      <c r="F103" s="550"/>
      <c r="G103" s="550">
        <f t="shared" si="3"/>
        <v>259000</v>
      </c>
      <c r="H103" s="138"/>
      <c r="I103" s="138"/>
      <c r="K103" s="94"/>
    </row>
    <row r="104" spans="1:11" s="95" customFormat="1" ht="19.5" customHeight="1">
      <c r="A104" s="80"/>
      <c r="B104" s="66"/>
      <c r="C104" s="618" t="s">
        <v>413</v>
      </c>
      <c r="D104" s="865">
        <v>561100</v>
      </c>
      <c r="E104" s="619">
        <v>22000</v>
      </c>
      <c r="F104" s="619"/>
      <c r="G104" s="619">
        <f t="shared" si="3"/>
        <v>539100</v>
      </c>
      <c r="H104" s="138"/>
      <c r="I104" s="138"/>
      <c r="K104" s="94"/>
    </row>
    <row r="105" spans="1:11" s="95" customFormat="1" ht="18.75" customHeight="1">
      <c r="A105" s="76"/>
      <c r="B105" s="77">
        <v>80134</v>
      </c>
      <c r="C105" s="77" t="s">
        <v>839</v>
      </c>
      <c r="D105" s="137">
        <v>5153038</v>
      </c>
      <c r="E105" s="79">
        <f>E106+E107+E108</f>
        <v>40538</v>
      </c>
      <c r="F105" s="79">
        <f>F106+F107+F108</f>
        <v>72040</v>
      </c>
      <c r="G105" s="79">
        <f t="shared" si="3"/>
        <v>5184540</v>
      </c>
      <c r="H105" s="138"/>
      <c r="I105" s="138"/>
      <c r="K105" s="94"/>
    </row>
    <row r="106" spans="1:11" s="95" customFormat="1" ht="18.75" customHeight="1">
      <c r="A106" s="80"/>
      <c r="B106" s="66"/>
      <c r="C106" s="999" t="s">
        <v>57</v>
      </c>
      <c r="D106" s="144">
        <v>3886200</v>
      </c>
      <c r="E106" s="565"/>
      <c r="F106" s="565">
        <v>33200</v>
      </c>
      <c r="G106" s="144">
        <f t="shared" si="3"/>
        <v>3919400</v>
      </c>
      <c r="H106" s="138"/>
      <c r="I106" s="138"/>
      <c r="K106" s="94"/>
    </row>
    <row r="107" spans="1:11" s="95" customFormat="1" ht="19.5" customHeight="1">
      <c r="A107" s="80"/>
      <c r="B107" s="66"/>
      <c r="C107" s="1400" t="s">
        <v>387</v>
      </c>
      <c r="D107" s="1148">
        <v>523638</v>
      </c>
      <c r="E107" s="550">
        <v>40538</v>
      </c>
      <c r="F107" s="550"/>
      <c r="G107" s="550">
        <f t="shared" si="3"/>
        <v>483100</v>
      </c>
      <c r="H107" s="138"/>
      <c r="I107" s="138"/>
      <c r="K107" s="94"/>
    </row>
    <row r="108" spans="1:11" s="95" customFormat="1" ht="19.5" customHeight="1">
      <c r="A108" s="80"/>
      <c r="B108" s="66"/>
      <c r="C108" s="618" t="s">
        <v>413</v>
      </c>
      <c r="D108" s="865">
        <v>743200</v>
      </c>
      <c r="E108" s="619"/>
      <c r="F108" s="619">
        <v>38840</v>
      </c>
      <c r="G108" s="619">
        <f t="shared" si="3"/>
        <v>782040</v>
      </c>
      <c r="H108" s="138"/>
      <c r="I108" s="138"/>
      <c r="K108" s="94"/>
    </row>
    <row r="109" spans="1:11" s="95" customFormat="1" ht="25.5">
      <c r="A109" s="76"/>
      <c r="B109" s="77">
        <v>80140</v>
      </c>
      <c r="C109" s="323" t="s">
        <v>272</v>
      </c>
      <c r="D109" s="137">
        <v>10898620</v>
      </c>
      <c r="E109" s="79">
        <f>E110+E111+E112</f>
        <v>158800</v>
      </c>
      <c r="F109" s="79">
        <f>F110+F111+F112</f>
        <v>37000</v>
      </c>
      <c r="G109" s="79">
        <f t="shared" si="3"/>
        <v>10776820</v>
      </c>
      <c r="H109" s="138"/>
      <c r="I109" s="138"/>
      <c r="K109" s="94"/>
    </row>
    <row r="110" spans="1:11" s="95" customFormat="1" ht="18.75" customHeight="1">
      <c r="A110" s="80"/>
      <c r="B110" s="66"/>
      <c r="C110" s="999" t="s">
        <v>57</v>
      </c>
      <c r="D110" s="144">
        <v>8095100</v>
      </c>
      <c r="E110" s="565">
        <v>105940</v>
      </c>
      <c r="F110" s="565"/>
      <c r="G110" s="144">
        <f t="shared" si="3"/>
        <v>7989160</v>
      </c>
      <c r="H110" s="138"/>
      <c r="I110" s="138"/>
      <c r="K110" s="94"/>
    </row>
    <row r="111" spans="1:11" s="95" customFormat="1" ht="19.5" customHeight="1">
      <c r="A111" s="80"/>
      <c r="B111" s="66"/>
      <c r="C111" s="1400" t="s">
        <v>387</v>
      </c>
      <c r="D111" s="1148">
        <v>1165200</v>
      </c>
      <c r="E111" s="550"/>
      <c r="F111" s="550">
        <v>37000</v>
      </c>
      <c r="G111" s="550">
        <f t="shared" si="3"/>
        <v>1202200</v>
      </c>
      <c r="H111" s="138"/>
      <c r="I111" s="138"/>
      <c r="K111" s="94"/>
    </row>
    <row r="112" spans="1:11" s="95" customFormat="1" ht="19.5" customHeight="1">
      <c r="A112" s="923"/>
      <c r="B112" s="69"/>
      <c r="C112" s="191" t="s">
        <v>413</v>
      </c>
      <c r="D112" s="1397">
        <v>1624700</v>
      </c>
      <c r="E112" s="1399">
        <v>52860</v>
      </c>
      <c r="F112" s="1399"/>
      <c r="G112" s="1399">
        <f t="shared" si="3"/>
        <v>1571840</v>
      </c>
      <c r="H112" s="138"/>
      <c r="I112" s="138"/>
      <c r="K112" s="94"/>
    </row>
    <row r="113" spans="1:11" s="95" customFormat="1" ht="19.5" customHeight="1">
      <c r="A113" s="1515"/>
      <c r="B113" s="33"/>
      <c r="C113" s="1603"/>
      <c r="D113" s="1604"/>
      <c r="E113" s="1605"/>
      <c r="F113" s="1605"/>
      <c r="G113" s="1605"/>
      <c r="H113" s="138"/>
      <c r="I113" s="138"/>
      <c r="K113" s="94"/>
    </row>
    <row r="114" spans="1:11" s="95" customFormat="1" ht="20.25" customHeight="1">
      <c r="A114" s="76"/>
      <c r="B114" s="78">
        <v>80146</v>
      </c>
      <c r="C114" s="429" t="s">
        <v>710</v>
      </c>
      <c r="D114" s="559">
        <v>1630000</v>
      </c>
      <c r="E114" s="523"/>
      <c r="F114" s="523"/>
      <c r="G114" s="523">
        <f aca="true" t="shared" si="4" ref="G114:G126">D114+F114-E114</f>
        <v>1630000</v>
      </c>
      <c r="H114" s="138"/>
      <c r="I114" s="138"/>
      <c r="K114" s="94"/>
    </row>
    <row r="115" spans="1:11" s="95" customFormat="1" ht="18.75" customHeight="1">
      <c r="A115" s="80"/>
      <c r="B115" s="66"/>
      <c r="C115" s="999" t="s">
        <v>807</v>
      </c>
      <c r="D115" s="144">
        <v>1630000</v>
      </c>
      <c r="E115" s="565"/>
      <c r="F115" s="565"/>
      <c r="G115" s="144">
        <f t="shared" si="4"/>
        <v>1630000</v>
      </c>
      <c r="H115" s="138"/>
      <c r="I115" s="138"/>
      <c r="K115" s="94"/>
    </row>
    <row r="116" spans="1:11" s="557" customFormat="1" ht="19.5" customHeight="1">
      <c r="A116" s="227"/>
      <c r="B116" s="320"/>
      <c r="C116" s="778" t="s">
        <v>494</v>
      </c>
      <c r="D116" s="154">
        <f>560608+105539</f>
        <v>666147</v>
      </c>
      <c r="E116" s="636">
        <f>22775+4486</f>
        <v>27261</v>
      </c>
      <c r="F116" s="636"/>
      <c r="G116" s="636">
        <f t="shared" si="4"/>
        <v>638886</v>
      </c>
      <c r="H116" s="155"/>
      <c r="I116" s="155"/>
      <c r="K116" s="558"/>
    </row>
    <row r="117" spans="1:11" ht="21" customHeight="1">
      <c r="A117" s="431">
        <v>851</v>
      </c>
      <c r="B117" s="73"/>
      <c r="C117" s="92" t="s">
        <v>370</v>
      </c>
      <c r="D117" s="74">
        <v>6195000</v>
      </c>
      <c r="E117" s="75"/>
      <c r="F117" s="75"/>
      <c r="G117" s="75">
        <f t="shared" si="4"/>
        <v>6195000</v>
      </c>
      <c r="H117" s="47">
        <f>F117-E117</f>
        <v>0</v>
      </c>
      <c r="I117" s="47"/>
      <c r="K117" s="47"/>
    </row>
    <row r="118" spans="1:11" s="130" customFormat="1" ht="21" customHeight="1">
      <c r="A118" s="76"/>
      <c r="B118" s="77">
        <v>85149</v>
      </c>
      <c r="C118" s="78" t="s">
        <v>467</v>
      </c>
      <c r="D118" s="137">
        <v>216500</v>
      </c>
      <c r="E118" s="137"/>
      <c r="F118" s="137"/>
      <c r="G118" s="137">
        <f t="shared" si="4"/>
        <v>216500</v>
      </c>
      <c r="H118" s="138"/>
      <c r="I118" s="138"/>
      <c r="K118" s="138"/>
    </row>
    <row r="119" spans="1:11" s="229" customFormat="1" ht="21" customHeight="1">
      <c r="A119" s="206"/>
      <c r="B119" s="214"/>
      <c r="C119" s="210" t="s">
        <v>699</v>
      </c>
      <c r="D119" s="803">
        <v>216500</v>
      </c>
      <c r="E119" s="803"/>
      <c r="F119" s="803"/>
      <c r="G119" s="803">
        <f t="shared" si="4"/>
        <v>216500</v>
      </c>
      <c r="H119" s="209"/>
      <c r="I119" s="209"/>
      <c r="K119" s="209"/>
    </row>
    <row r="120" spans="1:11" s="156" customFormat="1" ht="21" customHeight="1">
      <c r="A120" s="205"/>
      <c r="B120" s="320"/>
      <c r="C120" s="319" t="s">
        <v>494</v>
      </c>
      <c r="D120" s="154">
        <v>9799</v>
      </c>
      <c r="E120" s="154"/>
      <c r="F120" s="154">
        <v>2384</v>
      </c>
      <c r="G120" s="154">
        <f t="shared" si="4"/>
        <v>12183</v>
      </c>
      <c r="H120" s="155"/>
      <c r="I120" s="155"/>
      <c r="K120" s="155"/>
    </row>
    <row r="121" spans="1:11" s="130" customFormat="1" ht="21" customHeight="1">
      <c r="A121" s="76"/>
      <c r="B121" s="78">
        <v>85154</v>
      </c>
      <c r="C121" s="429" t="s">
        <v>724</v>
      </c>
      <c r="D121" s="559">
        <v>4305000</v>
      </c>
      <c r="E121" s="559"/>
      <c r="F121" s="559"/>
      <c r="G121" s="559">
        <f t="shared" si="4"/>
        <v>4305000</v>
      </c>
      <c r="H121" s="138"/>
      <c r="I121" s="138"/>
      <c r="K121" s="138"/>
    </row>
    <row r="122" spans="1:11" s="130" customFormat="1" ht="25.5">
      <c r="A122" s="206"/>
      <c r="B122" s="214"/>
      <c r="C122" s="601" t="s">
        <v>324</v>
      </c>
      <c r="D122" s="267">
        <v>4305000</v>
      </c>
      <c r="E122" s="267"/>
      <c r="F122" s="267"/>
      <c r="G122" s="267">
        <f t="shared" si="4"/>
        <v>4305000</v>
      </c>
      <c r="H122" s="138"/>
      <c r="I122" s="138"/>
      <c r="K122" s="138"/>
    </row>
    <row r="123" spans="1:11" s="156" customFormat="1" ht="21" customHeight="1">
      <c r="A123" s="205"/>
      <c r="B123" s="320"/>
      <c r="C123" s="1596" t="s">
        <v>494</v>
      </c>
      <c r="D123" s="1597">
        <v>863776</v>
      </c>
      <c r="E123" s="1597"/>
      <c r="F123" s="1597">
        <v>7899</v>
      </c>
      <c r="G123" s="1597">
        <f t="shared" si="4"/>
        <v>871675</v>
      </c>
      <c r="H123" s="155"/>
      <c r="I123" s="155"/>
      <c r="K123" s="155"/>
    </row>
    <row r="124" spans="1:11" s="130" customFormat="1" ht="18.75" customHeight="1">
      <c r="A124" s="76"/>
      <c r="B124" s="78">
        <v>85195</v>
      </c>
      <c r="C124" s="78" t="s">
        <v>366</v>
      </c>
      <c r="D124" s="559">
        <v>420000</v>
      </c>
      <c r="E124" s="559"/>
      <c r="F124" s="559"/>
      <c r="G124" s="559">
        <f t="shared" si="4"/>
        <v>420000</v>
      </c>
      <c r="H124" s="138"/>
      <c r="I124" s="138"/>
      <c r="K124" s="138"/>
    </row>
    <row r="125" spans="1:11" s="229" customFormat="1" ht="25.5">
      <c r="A125" s="206"/>
      <c r="B125" s="207"/>
      <c r="C125" s="530" t="s">
        <v>323</v>
      </c>
      <c r="D125" s="416">
        <v>400000</v>
      </c>
      <c r="E125" s="416"/>
      <c r="F125" s="416"/>
      <c r="G125" s="416">
        <f t="shared" si="4"/>
        <v>400000</v>
      </c>
      <c r="H125" s="209"/>
      <c r="I125" s="209"/>
      <c r="K125" s="209"/>
    </row>
    <row r="126" spans="1:11" s="156" customFormat="1" ht="21" customHeight="1">
      <c r="A126" s="1425"/>
      <c r="B126" s="317"/>
      <c r="C126" s="1426" t="s">
        <v>494</v>
      </c>
      <c r="D126" s="1598">
        <v>25999</v>
      </c>
      <c r="E126" s="1598"/>
      <c r="F126" s="1598">
        <v>845</v>
      </c>
      <c r="G126" s="1598">
        <f t="shared" si="4"/>
        <v>26844</v>
      </c>
      <c r="H126" s="155"/>
      <c r="I126" s="155"/>
      <c r="K126" s="155"/>
    </row>
    <row r="127" spans="1:11" ht="21" customHeight="1">
      <c r="A127" s="431">
        <v>852</v>
      </c>
      <c r="B127" s="73"/>
      <c r="C127" s="92" t="s">
        <v>368</v>
      </c>
      <c r="D127" s="74">
        <v>99508725</v>
      </c>
      <c r="E127" s="75">
        <f>E133+E147+E128+E137</f>
        <v>171314</v>
      </c>
      <c r="F127" s="75">
        <f>F133+F147+F128+F137</f>
        <v>386314</v>
      </c>
      <c r="G127" s="75">
        <f aca="true" t="shared" si="5" ref="G127:G142">D127+F127-E127</f>
        <v>99723725</v>
      </c>
      <c r="H127" s="47">
        <f>F127-E127</f>
        <v>215000</v>
      </c>
      <c r="I127" s="47"/>
      <c r="K127" s="47"/>
    </row>
    <row r="128" spans="1:11" s="130" customFormat="1" ht="21" customHeight="1">
      <c r="A128" s="76"/>
      <c r="B128" s="77">
        <v>85201</v>
      </c>
      <c r="C128" s="323" t="s">
        <v>849</v>
      </c>
      <c r="D128" s="137">
        <v>12219504</v>
      </c>
      <c r="E128" s="137">
        <f>E129+E130+E131+E132</f>
        <v>8486</v>
      </c>
      <c r="F128" s="137">
        <f>F129+F130+F131+F132</f>
        <v>146450</v>
      </c>
      <c r="G128" s="137">
        <f t="shared" si="5"/>
        <v>12357468</v>
      </c>
      <c r="H128" s="138"/>
      <c r="I128" s="138"/>
      <c r="K128" s="138"/>
    </row>
    <row r="129" spans="1:11" s="229" customFormat="1" ht="18.75" customHeight="1">
      <c r="A129" s="206"/>
      <c r="B129" s="214"/>
      <c r="C129" s="893" t="s">
        <v>57</v>
      </c>
      <c r="D129" s="803">
        <v>3503865</v>
      </c>
      <c r="E129" s="803"/>
      <c r="F129" s="803">
        <v>101050</v>
      </c>
      <c r="G129" s="803">
        <f t="shared" si="5"/>
        <v>3604915</v>
      </c>
      <c r="H129" s="209"/>
      <c r="I129" s="209"/>
      <c r="K129" s="209"/>
    </row>
    <row r="130" spans="1:11" s="229" customFormat="1" ht="19.5" customHeight="1">
      <c r="A130" s="206"/>
      <c r="B130" s="214"/>
      <c r="C130" s="1390" t="s">
        <v>387</v>
      </c>
      <c r="D130" s="1409">
        <v>1691416</v>
      </c>
      <c r="E130" s="1409">
        <v>8486</v>
      </c>
      <c r="F130" s="1409"/>
      <c r="G130" s="1409">
        <f t="shared" si="5"/>
        <v>1682930</v>
      </c>
      <c r="H130" s="209"/>
      <c r="I130" s="209"/>
      <c r="K130" s="209"/>
    </row>
    <row r="131" spans="1:11" s="229" customFormat="1" ht="19.5" customHeight="1">
      <c r="A131" s="206"/>
      <c r="B131" s="214"/>
      <c r="C131" s="1392" t="s">
        <v>413</v>
      </c>
      <c r="D131" s="1409">
        <v>677000</v>
      </c>
      <c r="E131" s="1409"/>
      <c r="F131" s="1409">
        <v>17400</v>
      </c>
      <c r="G131" s="1409">
        <f t="shared" si="5"/>
        <v>694400</v>
      </c>
      <c r="H131" s="209"/>
      <c r="I131" s="209"/>
      <c r="K131" s="209"/>
    </row>
    <row r="132" spans="1:11" s="229" customFormat="1" ht="18.75" customHeight="1">
      <c r="A132" s="206"/>
      <c r="B132" s="1384"/>
      <c r="C132" s="1384" t="s">
        <v>493</v>
      </c>
      <c r="D132" s="1396">
        <v>2217223</v>
      </c>
      <c r="E132" s="1396"/>
      <c r="F132" s="1396">
        <v>28000</v>
      </c>
      <c r="G132" s="1396">
        <f t="shared" si="5"/>
        <v>2245223</v>
      </c>
      <c r="H132" s="209"/>
      <c r="I132" s="209"/>
      <c r="K132" s="209"/>
    </row>
    <row r="133" spans="1:11" s="130" customFormat="1" ht="21" customHeight="1">
      <c r="A133" s="76"/>
      <c r="B133" s="78">
        <v>85202</v>
      </c>
      <c r="C133" s="429" t="s">
        <v>724</v>
      </c>
      <c r="D133" s="559">
        <v>19392351</v>
      </c>
      <c r="E133" s="559">
        <f>E134+E136+E135</f>
        <v>22992</v>
      </c>
      <c r="F133" s="559">
        <f>F134+F136+F135</f>
        <v>20000</v>
      </c>
      <c r="G133" s="559">
        <f t="shared" si="5"/>
        <v>19389359</v>
      </c>
      <c r="H133" s="138"/>
      <c r="I133" s="138"/>
      <c r="K133" s="138"/>
    </row>
    <row r="134" spans="1:11" s="130" customFormat="1" ht="21" customHeight="1">
      <c r="A134" s="206"/>
      <c r="B134" s="214"/>
      <c r="C134" s="882" t="s">
        <v>387</v>
      </c>
      <c r="D134" s="267">
        <v>3726226</v>
      </c>
      <c r="E134" s="267">
        <v>20792</v>
      </c>
      <c r="F134" s="267"/>
      <c r="G134" s="267">
        <f t="shared" si="5"/>
        <v>3705434</v>
      </c>
      <c r="H134" s="138"/>
      <c r="I134" s="138"/>
      <c r="K134" s="138"/>
    </row>
    <row r="135" spans="1:11" s="130" customFormat="1" ht="21" customHeight="1">
      <c r="A135" s="206"/>
      <c r="B135" s="214"/>
      <c r="C135" s="1390" t="s">
        <v>413</v>
      </c>
      <c r="D135" s="1148">
        <v>1559422</v>
      </c>
      <c r="E135" s="1148">
        <v>2200</v>
      </c>
      <c r="F135" s="1148"/>
      <c r="G135" s="1148">
        <f t="shared" si="5"/>
        <v>1557222</v>
      </c>
      <c r="H135" s="138"/>
      <c r="I135" s="138"/>
      <c r="K135" s="138"/>
    </row>
    <row r="136" spans="1:11" s="130" customFormat="1" ht="18.75" customHeight="1">
      <c r="A136" s="206"/>
      <c r="B136" s="1384"/>
      <c r="C136" s="69" t="s">
        <v>493</v>
      </c>
      <c r="D136" s="1397">
        <v>4001003</v>
      </c>
      <c r="E136" s="1397"/>
      <c r="F136" s="1397">
        <v>20000</v>
      </c>
      <c r="G136" s="1397">
        <f t="shared" si="5"/>
        <v>4021003</v>
      </c>
      <c r="H136" s="138"/>
      <c r="I136" s="138"/>
      <c r="K136" s="138"/>
    </row>
    <row r="137" spans="1:11" s="130" customFormat="1" ht="24" customHeight="1">
      <c r="A137" s="76"/>
      <c r="B137" s="78">
        <v>85220</v>
      </c>
      <c r="C137" s="887" t="s">
        <v>570</v>
      </c>
      <c r="D137" s="559">
        <v>702060</v>
      </c>
      <c r="E137" s="559">
        <f>E138+E143</f>
        <v>139836</v>
      </c>
      <c r="F137" s="559"/>
      <c r="G137" s="559">
        <f t="shared" si="5"/>
        <v>562224</v>
      </c>
      <c r="H137" s="138"/>
      <c r="I137" s="138"/>
      <c r="K137" s="138"/>
    </row>
    <row r="138" spans="1:11" s="229" customFormat="1" ht="18" customHeight="1">
      <c r="A138" s="206"/>
      <c r="B138" s="207"/>
      <c r="C138" s="207" t="s">
        <v>286</v>
      </c>
      <c r="D138" s="416">
        <v>292060</v>
      </c>
      <c r="E138" s="416">
        <f>E139+E140+E142</f>
        <v>34336</v>
      </c>
      <c r="F138" s="416"/>
      <c r="G138" s="416">
        <f t="shared" si="5"/>
        <v>257724</v>
      </c>
      <c r="H138" s="209"/>
      <c r="I138" s="209"/>
      <c r="K138" s="209"/>
    </row>
    <row r="139" spans="1:11" s="229" customFormat="1" ht="16.5" customHeight="1">
      <c r="A139" s="206"/>
      <c r="B139" s="214"/>
      <c r="C139" s="894" t="s">
        <v>57</v>
      </c>
      <c r="D139" s="895">
        <v>97360</v>
      </c>
      <c r="E139" s="895">
        <v>29000</v>
      </c>
      <c r="F139" s="895"/>
      <c r="G139" s="895">
        <f t="shared" si="5"/>
        <v>68360</v>
      </c>
      <c r="H139" s="209"/>
      <c r="I139" s="209"/>
      <c r="K139" s="209"/>
    </row>
    <row r="140" spans="1:11" s="229" customFormat="1" ht="18" customHeight="1">
      <c r="A140" s="206"/>
      <c r="B140" s="214"/>
      <c r="C140" s="1392" t="s">
        <v>387</v>
      </c>
      <c r="D140" s="1409">
        <v>177060</v>
      </c>
      <c r="E140" s="1409">
        <f>22891-22155</f>
        <v>736</v>
      </c>
      <c r="F140" s="1409"/>
      <c r="G140" s="1409">
        <f t="shared" si="5"/>
        <v>176324</v>
      </c>
      <c r="H140" s="209"/>
      <c r="I140" s="209"/>
      <c r="K140" s="209"/>
    </row>
    <row r="141" spans="1:11" s="156" customFormat="1" ht="21" customHeight="1">
      <c r="A141" s="227"/>
      <c r="B141" s="320"/>
      <c r="C141" s="896" t="s">
        <v>185</v>
      </c>
      <c r="D141" s="154">
        <v>45000</v>
      </c>
      <c r="E141" s="154"/>
      <c r="F141" s="154">
        <v>22155</v>
      </c>
      <c r="G141" s="154">
        <f t="shared" si="5"/>
        <v>67155</v>
      </c>
      <c r="H141" s="155"/>
      <c r="I141" s="155"/>
      <c r="K141" s="155"/>
    </row>
    <row r="142" spans="1:11" s="229" customFormat="1" ht="19.5" customHeight="1">
      <c r="A142" s="206"/>
      <c r="B142" s="214"/>
      <c r="C142" s="214" t="s">
        <v>413</v>
      </c>
      <c r="D142" s="803">
        <v>17640</v>
      </c>
      <c r="E142" s="803">
        <v>4600</v>
      </c>
      <c r="F142" s="803"/>
      <c r="G142" s="803">
        <f t="shared" si="5"/>
        <v>13040</v>
      </c>
      <c r="H142" s="209"/>
      <c r="I142" s="209"/>
      <c r="K142" s="209"/>
    </row>
    <row r="143" spans="1:11" s="229" customFormat="1" ht="18" customHeight="1">
      <c r="A143" s="206"/>
      <c r="B143" s="214"/>
      <c r="C143" s="1427" t="s">
        <v>642</v>
      </c>
      <c r="D143" s="1428">
        <v>210000</v>
      </c>
      <c r="E143" s="1428">
        <f>E144+E145+E146</f>
        <v>105500</v>
      </c>
      <c r="F143" s="1428"/>
      <c r="G143" s="1428">
        <f aca="true" t="shared" si="6" ref="G143:G173">D143+F143-E143</f>
        <v>104500</v>
      </c>
      <c r="H143" s="209"/>
      <c r="I143" s="209"/>
      <c r="K143" s="209"/>
    </row>
    <row r="144" spans="1:11" s="229" customFormat="1" ht="21" customHeight="1">
      <c r="A144" s="206"/>
      <c r="B144" s="214"/>
      <c r="C144" s="894" t="s">
        <v>57</v>
      </c>
      <c r="D144" s="895">
        <v>165700</v>
      </c>
      <c r="E144" s="895">
        <v>83000</v>
      </c>
      <c r="F144" s="895"/>
      <c r="G144" s="895">
        <f t="shared" si="6"/>
        <v>82700</v>
      </c>
      <c r="H144" s="209"/>
      <c r="I144" s="209"/>
      <c r="K144" s="209"/>
    </row>
    <row r="145" spans="1:11" s="229" customFormat="1" ht="21" customHeight="1">
      <c r="A145" s="206"/>
      <c r="B145" s="214"/>
      <c r="C145" s="1392" t="s">
        <v>387</v>
      </c>
      <c r="D145" s="1409">
        <v>13300</v>
      </c>
      <c r="E145" s="1409">
        <v>5500</v>
      </c>
      <c r="F145" s="1409"/>
      <c r="G145" s="1409">
        <f t="shared" si="6"/>
        <v>7800</v>
      </c>
      <c r="H145" s="209"/>
      <c r="I145" s="209"/>
      <c r="K145" s="209"/>
    </row>
    <row r="146" spans="1:11" s="229" customFormat="1" ht="21" customHeight="1">
      <c r="A146" s="206"/>
      <c r="B146" s="214"/>
      <c r="C146" s="214" t="s">
        <v>413</v>
      </c>
      <c r="D146" s="803">
        <v>31000</v>
      </c>
      <c r="E146" s="803">
        <v>17000</v>
      </c>
      <c r="F146" s="803"/>
      <c r="G146" s="803">
        <f t="shared" si="6"/>
        <v>14000</v>
      </c>
      <c r="H146" s="209"/>
      <c r="I146" s="209"/>
      <c r="K146" s="209"/>
    </row>
    <row r="147" spans="1:11" s="130" customFormat="1" ht="21" customHeight="1">
      <c r="A147" s="76"/>
      <c r="B147" s="77">
        <v>85295</v>
      </c>
      <c r="C147" s="1005" t="s">
        <v>366</v>
      </c>
      <c r="D147" s="137">
        <v>4315811</v>
      </c>
      <c r="E147" s="137"/>
      <c r="F147" s="137">
        <f>F148+F149</f>
        <v>219864</v>
      </c>
      <c r="G147" s="137">
        <f t="shared" si="6"/>
        <v>4535675</v>
      </c>
      <c r="H147" s="138"/>
      <c r="I147" s="138"/>
      <c r="K147" s="138"/>
    </row>
    <row r="148" spans="1:11" s="130" customFormat="1" ht="20.25" customHeight="1">
      <c r="A148" s="206"/>
      <c r="B148" s="214"/>
      <c r="C148" s="797" t="s">
        <v>759</v>
      </c>
      <c r="D148" s="1148">
        <v>3000000</v>
      </c>
      <c r="E148" s="1148"/>
      <c r="F148" s="1148">
        <v>215000</v>
      </c>
      <c r="G148" s="1148">
        <f t="shared" si="6"/>
        <v>3215000</v>
      </c>
      <c r="H148" s="138"/>
      <c r="I148" s="138"/>
      <c r="K148" s="138"/>
    </row>
    <row r="149" spans="1:11" s="130" customFormat="1" ht="25.5">
      <c r="A149" s="206"/>
      <c r="B149" s="1384"/>
      <c r="C149" s="1394" t="s">
        <v>641</v>
      </c>
      <c r="D149" s="1397">
        <v>9811</v>
      </c>
      <c r="E149" s="1397"/>
      <c r="F149" s="1397">
        <v>4864</v>
      </c>
      <c r="G149" s="1397">
        <f t="shared" si="6"/>
        <v>14675</v>
      </c>
      <c r="H149" s="138"/>
      <c r="I149" s="138"/>
      <c r="K149" s="138"/>
    </row>
    <row r="150" spans="1:11" ht="21" customHeight="1">
      <c r="A150" s="72">
        <v>853</v>
      </c>
      <c r="B150" s="73"/>
      <c r="C150" s="92" t="s">
        <v>412</v>
      </c>
      <c r="D150" s="74">
        <v>9940267</v>
      </c>
      <c r="E150" s="75">
        <f>E154+E151</f>
        <v>37915</v>
      </c>
      <c r="F150" s="75">
        <f>F154+F151</f>
        <v>42915</v>
      </c>
      <c r="G150" s="75">
        <f t="shared" si="6"/>
        <v>9945267</v>
      </c>
      <c r="H150" s="47"/>
      <c r="I150" s="47"/>
      <c r="K150" s="47"/>
    </row>
    <row r="151" spans="1:11" s="95" customFormat="1" ht="18.75" customHeight="1">
      <c r="A151" s="76"/>
      <c r="B151" s="77">
        <v>85321</v>
      </c>
      <c r="C151" s="78" t="s">
        <v>205</v>
      </c>
      <c r="D151" s="137">
        <v>100000</v>
      </c>
      <c r="E151" s="79">
        <f>E152+E153</f>
        <v>37915</v>
      </c>
      <c r="F151" s="79">
        <f>F152+F153</f>
        <v>37915</v>
      </c>
      <c r="G151" s="79">
        <f t="shared" si="6"/>
        <v>100000</v>
      </c>
      <c r="H151" s="138"/>
      <c r="I151" s="138"/>
      <c r="K151" s="94"/>
    </row>
    <row r="152" spans="1:11" s="229" customFormat="1" ht="18" customHeight="1">
      <c r="A152" s="206"/>
      <c r="B152" s="214"/>
      <c r="C152" s="207" t="s">
        <v>57</v>
      </c>
      <c r="D152" s="803"/>
      <c r="E152" s="803"/>
      <c r="F152" s="803">
        <v>37915</v>
      </c>
      <c r="G152" s="803">
        <f t="shared" si="6"/>
        <v>37915</v>
      </c>
      <c r="H152" s="209"/>
      <c r="I152" s="209"/>
      <c r="K152" s="209"/>
    </row>
    <row r="153" spans="1:11" s="229" customFormat="1" ht="18" customHeight="1">
      <c r="A153" s="206"/>
      <c r="B153" s="1384"/>
      <c r="C153" s="1408" t="s">
        <v>387</v>
      </c>
      <c r="D153" s="1395">
        <v>100000</v>
      </c>
      <c r="E153" s="1395">
        <v>37915</v>
      </c>
      <c r="F153" s="1395"/>
      <c r="G153" s="1395">
        <f t="shared" si="6"/>
        <v>62085</v>
      </c>
      <c r="H153" s="209"/>
      <c r="I153" s="209"/>
      <c r="K153" s="209"/>
    </row>
    <row r="154" spans="1:11" s="95" customFormat="1" ht="18.75" customHeight="1">
      <c r="A154" s="76"/>
      <c r="B154" s="78">
        <v>85333</v>
      </c>
      <c r="C154" s="78" t="s">
        <v>331</v>
      </c>
      <c r="D154" s="559">
        <v>4451467</v>
      </c>
      <c r="E154" s="523"/>
      <c r="F154" s="523">
        <f>F155</f>
        <v>5000</v>
      </c>
      <c r="G154" s="523">
        <f t="shared" si="6"/>
        <v>4456467</v>
      </c>
      <c r="H154" s="138"/>
      <c r="I154" s="138"/>
      <c r="K154" s="94"/>
    </row>
    <row r="155" spans="1:11" s="229" customFormat="1" ht="18" customHeight="1">
      <c r="A155" s="206"/>
      <c r="B155" s="214"/>
      <c r="C155" s="882" t="s">
        <v>387</v>
      </c>
      <c r="D155" s="803">
        <v>603600</v>
      </c>
      <c r="E155" s="803"/>
      <c r="F155" s="803">
        <v>5000</v>
      </c>
      <c r="G155" s="803">
        <f t="shared" si="6"/>
        <v>608600</v>
      </c>
      <c r="H155" s="209"/>
      <c r="I155" s="209"/>
      <c r="K155" s="209"/>
    </row>
    <row r="156" spans="1:11" s="156" customFormat="1" ht="18" customHeight="1">
      <c r="A156" s="205"/>
      <c r="B156" s="169"/>
      <c r="C156" s="778" t="s">
        <v>185</v>
      </c>
      <c r="D156" s="154">
        <v>95000</v>
      </c>
      <c r="E156" s="154"/>
      <c r="F156" s="154">
        <v>5000</v>
      </c>
      <c r="G156" s="154">
        <f t="shared" si="6"/>
        <v>100000</v>
      </c>
      <c r="H156" s="155"/>
      <c r="I156" s="155"/>
      <c r="K156" s="155"/>
    </row>
    <row r="157" spans="1:11" ht="19.5" customHeight="1">
      <c r="A157" s="72">
        <v>854</v>
      </c>
      <c r="B157" s="89"/>
      <c r="C157" s="92" t="s">
        <v>369</v>
      </c>
      <c r="D157" s="74">
        <v>42811970</v>
      </c>
      <c r="E157" s="75">
        <f>E158+E162+E167+E171+E175+E179+E182+E188</f>
        <v>324326</v>
      </c>
      <c r="F157" s="75">
        <f>F158+F162+F167+F171+F175+F179+F182+F188</f>
        <v>1297489</v>
      </c>
      <c r="G157" s="75">
        <f t="shared" si="6"/>
        <v>43785133</v>
      </c>
      <c r="H157" s="47"/>
      <c r="I157" s="47"/>
      <c r="K157" s="47"/>
    </row>
    <row r="158" spans="1:11" s="95" customFormat="1" ht="18.75" customHeight="1">
      <c r="A158" s="76"/>
      <c r="B158" s="77">
        <v>85401</v>
      </c>
      <c r="C158" s="78" t="s">
        <v>841</v>
      </c>
      <c r="D158" s="137">
        <v>7067360</v>
      </c>
      <c r="E158" s="79">
        <f>E159+E160+E161</f>
        <v>91367</v>
      </c>
      <c r="F158" s="79">
        <f>F159+F160+F161</f>
        <v>9125</v>
      </c>
      <c r="G158" s="79">
        <f t="shared" si="6"/>
        <v>6985118</v>
      </c>
      <c r="H158" s="138"/>
      <c r="I158" s="138"/>
      <c r="K158" s="94"/>
    </row>
    <row r="159" spans="1:11" s="229" customFormat="1" ht="18" customHeight="1">
      <c r="A159" s="206"/>
      <c r="B159" s="214"/>
      <c r="C159" s="207" t="s">
        <v>57</v>
      </c>
      <c r="D159" s="803">
        <v>5500260</v>
      </c>
      <c r="E159" s="803">
        <v>21800</v>
      </c>
      <c r="F159" s="803"/>
      <c r="G159" s="803">
        <f t="shared" si="6"/>
        <v>5478460</v>
      </c>
      <c r="H159" s="209"/>
      <c r="I159" s="209"/>
      <c r="K159" s="209"/>
    </row>
    <row r="160" spans="1:11" s="95" customFormat="1" ht="18.75" customHeight="1">
      <c r="A160" s="80"/>
      <c r="B160" s="66"/>
      <c r="C160" s="1400" t="s">
        <v>387</v>
      </c>
      <c r="D160" s="1148">
        <v>444415</v>
      </c>
      <c r="E160" s="550"/>
      <c r="F160" s="550">
        <v>9125</v>
      </c>
      <c r="G160" s="550">
        <f t="shared" si="6"/>
        <v>453540</v>
      </c>
      <c r="H160" s="138"/>
      <c r="I160" s="138"/>
      <c r="K160" s="94"/>
    </row>
    <row r="161" spans="1:11" s="555" customFormat="1" ht="18.75" customHeight="1">
      <c r="A161" s="206"/>
      <c r="B161" s="1384"/>
      <c r="C161" s="1388" t="s">
        <v>413</v>
      </c>
      <c r="D161" s="1396">
        <v>1122685</v>
      </c>
      <c r="E161" s="1407">
        <f>71739-2172</f>
        <v>69567</v>
      </c>
      <c r="F161" s="1407"/>
      <c r="G161" s="1407">
        <f t="shared" si="6"/>
        <v>1053118</v>
      </c>
      <c r="H161" s="209"/>
      <c r="I161" s="209"/>
      <c r="K161" s="556"/>
    </row>
    <row r="162" spans="1:11" s="95" customFormat="1" ht="18.75" customHeight="1">
      <c r="A162" s="76"/>
      <c r="B162" s="78">
        <v>85403</v>
      </c>
      <c r="C162" s="78" t="s">
        <v>831</v>
      </c>
      <c r="D162" s="559">
        <v>10813206</v>
      </c>
      <c r="E162" s="523">
        <f>E163+E164+E166</f>
        <v>38000</v>
      </c>
      <c r="F162" s="523">
        <f>F163+F164+F166</f>
        <v>64400</v>
      </c>
      <c r="G162" s="523">
        <f t="shared" si="6"/>
        <v>10839606</v>
      </c>
      <c r="H162" s="138"/>
      <c r="I162" s="138"/>
      <c r="K162" s="94"/>
    </row>
    <row r="163" spans="1:11" s="95" customFormat="1" ht="18.75" customHeight="1">
      <c r="A163" s="80"/>
      <c r="B163" s="66"/>
      <c r="C163" s="999" t="s">
        <v>57</v>
      </c>
      <c r="D163" s="144">
        <v>5480200</v>
      </c>
      <c r="E163" s="565"/>
      <c r="F163" s="565">
        <v>35200</v>
      </c>
      <c r="G163" s="144">
        <f t="shared" si="6"/>
        <v>5515400</v>
      </c>
      <c r="H163" s="138"/>
      <c r="I163" s="138"/>
      <c r="K163" s="94"/>
    </row>
    <row r="164" spans="1:11" s="95" customFormat="1" ht="18.75" customHeight="1">
      <c r="A164" s="80"/>
      <c r="B164" s="66"/>
      <c r="C164" s="1400" t="s">
        <v>387</v>
      </c>
      <c r="D164" s="1148">
        <v>1353264</v>
      </c>
      <c r="E164" s="550">
        <v>38000</v>
      </c>
      <c r="F164" s="550"/>
      <c r="G164" s="550">
        <f t="shared" si="6"/>
        <v>1315264</v>
      </c>
      <c r="H164" s="138"/>
      <c r="I164" s="138"/>
      <c r="K164" s="94"/>
    </row>
    <row r="165" spans="1:11" s="557" customFormat="1" ht="18.75" customHeight="1">
      <c r="A165" s="205"/>
      <c r="B165" s="169"/>
      <c r="C165" s="216" t="s">
        <v>185</v>
      </c>
      <c r="D165" s="783">
        <v>226073</v>
      </c>
      <c r="E165" s="912">
        <v>4000</v>
      </c>
      <c r="F165" s="912"/>
      <c r="G165" s="912">
        <f t="shared" si="6"/>
        <v>222073</v>
      </c>
      <c r="H165" s="155"/>
      <c r="I165" s="155"/>
      <c r="K165" s="558"/>
    </row>
    <row r="166" spans="1:11" s="95" customFormat="1" ht="18.75" customHeight="1">
      <c r="A166" s="80"/>
      <c r="B166" s="69"/>
      <c r="C166" s="1404" t="s">
        <v>413</v>
      </c>
      <c r="D166" s="1405">
        <v>1040500</v>
      </c>
      <c r="E166" s="1406"/>
      <c r="F166" s="1406">
        <v>29200</v>
      </c>
      <c r="G166" s="1405">
        <f t="shared" si="6"/>
        <v>1069700</v>
      </c>
      <c r="H166" s="138"/>
      <c r="I166" s="138"/>
      <c r="K166" s="94"/>
    </row>
    <row r="167" spans="1:11" s="95" customFormat="1" ht="25.5">
      <c r="A167" s="76"/>
      <c r="B167" s="78">
        <v>85406</v>
      </c>
      <c r="C167" s="429" t="s">
        <v>425</v>
      </c>
      <c r="D167" s="559">
        <v>5593342</v>
      </c>
      <c r="E167" s="523">
        <f>E168+E169+E170</f>
        <v>41142</v>
      </c>
      <c r="F167" s="523">
        <f>F168+F169+F170</f>
        <v>56500</v>
      </c>
      <c r="G167" s="523">
        <f t="shared" si="6"/>
        <v>5608700</v>
      </c>
      <c r="H167" s="138"/>
      <c r="I167" s="138"/>
      <c r="K167" s="94"/>
    </row>
    <row r="168" spans="1:11" s="95" customFormat="1" ht="18.75" customHeight="1">
      <c r="A168" s="80"/>
      <c r="B168" s="66"/>
      <c r="C168" s="999" t="s">
        <v>57</v>
      </c>
      <c r="D168" s="144">
        <v>4156800</v>
      </c>
      <c r="E168" s="565"/>
      <c r="F168" s="565">
        <v>56500</v>
      </c>
      <c r="G168" s="144">
        <f t="shared" si="6"/>
        <v>4213300</v>
      </c>
      <c r="H168" s="138"/>
      <c r="I168" s="138"/>
      <c r="K168" s="94"/>
    </row>
    <row r="169" spans="1:11" s="95" customFormat="1" ht="18.75" customHeight="1">
      <c r="A169" s="80"/>
      <c r="B169" s="66"/>
      <c r="C169" s="1400" t="s">
        <v>387</v>
      </c>
      <c r="D169" s="1148">
        <v>596100</v>
      </c>
      <c r="E169" s="550">
        <v>25000</v>
      </c>
      <c r="F169" s="550"/>
      <c r="G169" s="550">
        <f t="shared" si="6"/>
        <v>571100</v>
      </c>
      <c r="H169" s="138"/>
      <c r="I169" s="138"/>
      <c r="K169" s="94"/>
    </row>
    <row r="170" spans="1:11" s="95" customFormat="1" ht="18.75" customHeight="1">
      <c r="A170" s="923"/>
      <c r="B170" s="69"/>
      <c r="C170" s="191" t="s">
        <v>413</v>
      </c>
      <c r="D170" s="1397">
        <v>835842</v>
      </c>
      <c r="E170" s="1399">
        <f>16742-600</f>
        <v>16142</v>
      </c>
      <c r="F170" s="1399"/>
      <c r="G170" s="1397">
        <f t="shared" si="6"/>
        <v>819700</v>
      </c>
      <c r="H170" s="138"/>
      <c r="I170" s="138"/>
      <c r="K170" s="94"/>
    </row>
    <row r="171" spans="1:11" s="95" customFormat="1" ht="19.5" customHeight="1">
      <c r="A171" s="76"/>
      <c r="B171" s="78">
        <v>85407</v>
      </c>
      <c r="C171" s="429" t="s">
        <v>709</v>
      </c>
      <c r="D171" s="559">
        <v>2471000</v>
      </c>
      <c r="E171" s="523">
        <f>E172+E173+E174</f>
        <v>29446</v>
      </c>
      <c r="F171" s="523">
        <f>F172+F173+F174</f>
        <v>5700</v>
      </c>
      <c r="G171" s="523">
        <f t="shared" si="6"/>
        <v>2447254</v>
      </c>
      <c r="H171" s="138"/>
      <c r="I171" s="138"/>
      <c r="K171" s="94"/>
    </row>
    <row r="172" spans="1:11" s="130" customFormat="1" ht="21" customHeight="1">
      <c r="A172" s="80"/>
      <c r="B172" s="66"/>
      <c r="C172" s="893" t="s">
        <v>57</v>
      </c>
      <c r="D172" s="267">
        <v>1724490</v>
      </c>
      <c r="E172" s="267">
        <v>12446</v>
      </c>
      <c r="F172" s="267"/>
      <c r="G172" s="267">
        <f t="shared" si="6"/>
        <v>1712044</v>
      </c>
      <c r="H172" s="138"/>
      <c r="I172" s="138"/>
      <c r="K172" s="138"/>
    </row>
    <row r="173" spans="1:11" s="130" customFormat="1" ht="21" customHeight="1">
      <c r="A173" s="80"/>
      <c r="B173" s="66"/>
      <c r="C173" s="1390" t="s">
        <v>387</v>
      </c>
      <c r="D173" s="1148">
        <v>387410</v>
      </c>
      <c r="E173" s="1148"/>
      <c r="F173" s="1148">
        <v>5700</v>
      </c>
      <c r="G173" s="1148">
        <f t="shared" si="6"/>
        <v>393110</v>
      </c>
      <c r="H173" s="138"/>
      <c r="I173" s="138"/>
      <c r="K173" s="138"/>
    </row>
    <row r="174" spans="1:11" s="130" customFormat="1" ht="21" customHeight="1">
      <c r="A174" s="80"/>
      <c r="B174" s="66"/>
      <c r="C174" s="1403" t="s">
        <v>413</v>
      </c>
      <c r="D174" s="865">
        <v>349100</v>
      </c>
      <c r="E174" s="865">
        <v>17000</v>
      </c>
      <c r="F174" s="865"/>
      <c r="G174" s="865">
        <f aca="true" t="shared" si="7" ref="G174:G204">D174+F174-E174</f>
        <v>332100</v>
      </c>
      <c r="H174" s="138"/>
      <c r="I174" s="138"/>
      <c r="K174" s="138"/>
    </row>
    <row r="175" spans="1:11" s="95" customFormat="1" ht="19.5" customHeight="1">
      <c r="A175" s="76"/>
      <c r="B175" s="77">
        <v>85410</v>
      </c>
      <c r="C175" s="323" t="s">
        <v>732</v>
      </c>
      <c r="D175" s="137">
        <v>7311179</v>
      </c>
      <c r="E175" s="79">
        <f>E176+E177+E178</f>
        <v>36530</v>
      </c>
      <c r="F175" s="79">
        <f>F176+F177+F178</f>
        <v>174997</v>
      </c>
      <c r="G175" s="79">
        <f t="shared" si="7"/>
        <v>7449646</v>
      </c>
      <c r="H175" s="138"/>
      <c r="I175" s="138"/>
      <c r="K175" s="94"/>
    </row>
    <row r="176" spans="1:11" s="95" customFormat="1" ht="18.75" customHeight="1">
      <c r="A176" s="80"/>
      <c r="B176" s="66"/>
      <c r="C176" s="999" t="s">
        <v>57</v>
      </c>
      <c r="D176" s="144">
        <v>4168040</v>
      </c>
      <c r="E176" s="565"/>
      <c r="F176" s="565">
        <v>125466</v>
      </c>
      <c r="G176" s="144">
        <f t="shared" si="7"/>
        <v>4293506</v>
      </c>
      <c r="H176" s="138"/>
      <c r="I176" s="138"/>
      <c r="K176" s="94"/>
    </row>
    <row r="177" spans="1:11" s="95" customFormat="1" ht="18.75" customHeight="1">
      <c r="A177" s="80"/>
      <c r="B177" s="66"/>
      <c r="C177" s="1400" t="s">
        <v>387</v>
      </c>
      <c r="D177" s="1148">
        <v>1490839</v>
      </c>
      <c r="E177" s="550"/>
      <c r="F177" s="550">
        <v>49531</v>
      </c>
      <c r="G177" s="550">
        <f t="shared" si="7"/>
        <v>1540370</v>
      </c>
      <c r="H177" s="138"/>
      <c r="I177" s="138"/>
      <c r="K177" s="94"/>
    </row>
    <row r="178" spans="1:11" s="95" customFormat="1" ht="18.75" customHeight="1">
      <c r="A178" s="80"/>
      <c r="B178" s="66"/>
      <c r="C178" s="618" t="s">
        <v>413</v>
      </c>
      <c r="D178" s="865">
        <v>856300</v>
      </c>
      <c r="E178" s="619">
        <f>41570-5040</f>
        <v>36530</v>
      </c>
      <c r="F178" s="619"/>
      <c r="G178" s="865">
        <f t="shared" si="7"/>
        <v>819770</v>
      </c>
      <c r="H178" s="138"/>
      <c r="I178" s="138"/>
      <c r="K178" s="94"/>
    </row>
    <row r="179" spans="1:11" s="130" customFormat="1" ht="18.75" customHeight="1">
      <c r="A179" s="76"/>
      <c r="B179" s="77">
        <v>85415</v>
      </c>
      <c r="C179" s="77" t="s">
        <v>705</v>
      </c>
      <c r="D179" s="137">
        <v>1725704</v>
      </c>
      <c r="E179" s="137">
        <f>E180+E181</f>
        <v>54236</v>
      </c>
      <c r="F179" s="137">
        <f>F180+F181</f>
        <v>973163</v>
      </c>
      <c r="G179" s="137">
        <f t="shared" si="7"/>
        <v>2644631</v>
      </c>
      <c r="H179" s="138"/>
      <c r="I179" s="138"/>
      <c r="K179" s="138"/>
    </row>
    <row r="180" spans="1:11" s="130" customFormat="1" ht="19.5" customHeight="1">
      <c r="A180" s="80"/>
      <c r="B180" s="466"/>
      <c r="C180" s="601" t="s">
        <v>60</v>
      </c>
      <c r="D180" s="144">
        <v>453787</v>
      </c>
      <c r="E180" s="144">
        <v>54236</v>
      </c>
      <c r="F180" s="144"/>
      <c r="G180" s="144">
        <f t="shared" si="7"/>
        <v>399551</v>
      </c>
      <c r="H180" s="138"/>
      <c r="I180" s="138"/>
      <c r="K180" s="138"/>
    </row>
    <row r="181" spans="1:11" s="130" customFormat="1" ht="27" customHeight="1">
      <c r="A181" s="80"/>
      <c r="B181" s="69"/>
      <c r="C181" s="1401" t="s">
        <v>605</v>
      </c>
      <c r="D181" s="1173">
        <v>1063517</v>
      </c>
      <c r="E181" s="1173"/>
      <c r="F181" s="1173">
        <v>973163</v>
      </c>
      <c r="G181" s="1173">
        <f t="shared" si="7"/>
        <v>2036680</v>
      </c>
      <c r="H181" s="138"/>
      <c r="I181" s="138"/>
      <c r="K181" s="138"/>
    </row>
    <row r="182" spans="1:11" s="95" customFormat="1" ht="19.5" customHeight="1">
      <c r="A182" s="76"/>
      <c r="B182" s="78">
        <v>85417</v>
      </c>
      <c r="C182" s="78" t="s">
        <v>844</v>
      </c>
      <c r="D182" s="559">
        <v>285531</v>
      </c>
      <c r="E182" s="523"/>
      <c r="F182" s="523">
        <f>F183+F184</f>
        <v>3850</v>
      </c>
      <c r="G182" s="523">
        <f t="shared" si="7"/>
        <v>289381</v>
      </c>
      <c r="H182" s="138"/>
      <c r="I182" s="138"/>
      <c r="K182" s="94"/>
    </row>
    <row r="183" spans="1:11" s="95" customFormat="1" ht="18.75" customHeight="1">
      <c r="A183" s="80"/>
      <c r="B183" s="466"/>
      <c r="C183" s="601" t="s">
        <v>57</v>
      </c>
      <c r="D183" s="144">
        <v>171500</v>
      </c>
      <c r="E183" s="565"/>
      <c r="F183" s="565">
        <v>3000</v>
      </c>
      <c r="G183" s="565">
        <f t="shared" si="7"/>
        <v>174500</v>
      </c>
      <c r="H183" s="138"/>
      <c r="I183" s="138"/>
      <c r="K183" s="94"/>
    </row>
    <row r="184" spans="1:11" s="95" customFormat="1" ht="18.75" customHeight="1">
      <c r="A184" s="80"/>
      <c r="B184" s="69"/>
      <c r="C184" s="1401" t="s">
        <v>413</v>
      </c>
      <c r="D184" s="1173">
        <v>34400</v>
      </c>
      <c r="E184" s="1402"/>
      <c r="F184" s="1402">
        <v>850</v>
      </c>
      <c r="G184" s="1402">
        <f t="shared" si="7"/>
        <v>35250</v>
      </c>
      <c r="H184" s="138"/>
      <c r="I184" s="138"/>
      <c r="K184" s="94"/>
    </row>
    <row r="185" spans="1:11" s="95" customFormat="1" ht="19.5" customHeight="1">
      <c r="A185" s="76"/>
      <c r="B185" s="78">
        <v>85446</v>
      </c>
      <c r="C185" s="78" t="s">
        <v>710</v>
      </c>
      <c r="D185" s="559">
        <v>178000</v>
      </c>
      <c r="E185" s="523"/>
      <c r="F185" s="523"/>
      <c r="G185" s="523">
        <f>D185+F185-E185</f>
        <v>178000</v>
      </c>
      <c r="H185" s="138"/>
      <c r="I185" s="138"/>
      <c r="K185" s="94"/>
    </row>
    <row r="186" spans="1:11" s="95" customFormat="1" ht="18.75" customHeight="1">
      <c r="A186" s="80"/>
      <c r="B186" s="466"/>
      <c r="C186" s="601" t="s">
        <v>807</v>
      </c>
      <c r="D186" s="144">
        <v>178000</v>
      </c>
      <c r="E186" s="565"/>
      <c r="F186" s="565"/>
      <c r="G186" s="565">
        <f>D186+F186-E186</f>
        <v>178000</v>
      </c>
      <c r="H186" s="138"/>
      <c r="I186" s="138"/>
      <c r="K186" s="94"/>
    </row>
    <row r="187" spans="1:11" s="557" customFormat="1" ht="18.75" customHeight="1">
      <c r="A187" s="205"/>
      <c r="B187" s="320"/>
      <c r="C187" s="1069" t="s">
        <v>494</v>
      </c>
      <c r="D187" s="154">
        <v>60377</v>
      </c>
      <c r="E187" s="636">
        <v>372</v>
      </c>
      <c r="F187" s="636"/>
      <c r="G187" s="636">
        <f>D187+F187-E187</f>
        <v>60005</v>
      </c>
      <c r="H187" s="155"/>
      <c r="I187" s="155"/>
      <c r="K187" s="558"/>
    </row>
    <row r="188" spans="1:11" s="95" customFormat="1" ht="18.75" customHeight="1">
      <c r="A188" s="76"/>
      <c r="B188" s="77">
        <v>85495</v>
      </c>
      <c r="C188" s="77" t="s">
        <v>366</v>
      </c>
      <c r="D188" s="137">
        <v>6624148</v>
      </c>
      <c r="E188" s="79">
        <f>E189</f>
        <v>33605</v>
      </c>
      <c r="F188" s="79">
        <f>F189</f>
        <v>9754</v>
      </c>
      <c r="G188" s="79">
        <f t="shared" si="7"/>
        <v>6600297</v>
      </c>
      <c r="H188" s="138"/>
      <c r="I188" s="138"/>
      <c r="K188" s="94"/>
    </row>
    <row r="189" spans="1:11" s="95" customFormat="1" ht="18.75" customHeight="1">
      <c r="A189" s="80"/>
      <c r="B189" s="466"/>
      <c r="C189" s="466" t="s">
        <v>856</v>
      </c>
      <c r="D189" s="144">
        <v>6410490</v>
      </c>
      <c r="E189" s="565">
        <f>E190+E191+E192</f>
        <v>33605</v>
      </c>
      <c r="F189" s="565">
        <f>F190+F191+F192</f>
        <v>9754</v>
      </c>
      <c r="G189" s="565">
        <f t="shared" si="7"/>
        <v>6386639</v>
      </c>
      <c r="H189" s="138"/>
      <c r="I189" s="138"/>
      <c r="K189" s="94"/>
    </row>
    <row r="190" spans="1:11" s="95" customFormat="1" ht="18.75" customHeight="1">
      <c r="A190" s="80"/>
      <c r="B190" s="66"/>
      <c r="C190" s="1263" t="s">
        <v>57</v>
      </c>
      <c r="D190" s="575">
        <v>4154280</v>
      </c>
      <c r="E190" s="576"/>
      <c r="F190" s="576">
        <v>9754</v>
      </c>
      <c r="G190" s="576">
        <f t="shared" si="7"/>
        <v>4164034</v>
      </c>
      <c r="H190" s="138"/>
      <c r="I190" s="138"/>
      <c r="K190" s="94"/>
    </row>
    <row r="191" spans="1:11" s="95" customFormat="1" ht="18.75" customHeight="1">
      <c r="A191" s="80"/>
      <c r="B191" s="66"/>
      <c r="C191" s="1400" t="s">
        <v>387</v>
      </c>
      <c r="D191" s="1148">
        <v>1440520</v>
      </c>
      <c r="E191" s="550">
        <f>73000-40120</f>
        <v>32880</v>
      </c>
      <c r="F191" s="550"/>
      <c r="G191" s="550">
        <f t="shared" si="7"/>
        <v>1407640</v>
      </c>
      <c r="H191" s="138"/>
      <c r="I191" s="138"/>
      <c r="K191" s="94"/>
    </row>
    <row r="192" spans="1:11" s="95" customFormat="1" ht="18.75" customHeight="1">
      <c r="A192" s="923"/>
      <c r="B192" s="69"/>
      <c r="C192" s="191" t="s">
        <v>413</v>
      </c>
      <c r="D192" s="1397">
        <v>800190</v>
      </c>
      <c r="E192" s="1399">
        <f>4628-3903</f>
        <v>725</v>
      </c>
      <c r="F192" s="1399"/>
      <c r="G192" s="1397">
        <f t="shared" si="7"/>
        <v>799465</v>
      </c>
      <c r="H192" s="138"/>
      <c r="I192" s="138"/>
      <c r="K192" s="94"/>
    </row>
    <row r="193" spans="1:11" ht="21" customHeight="1">
      <c r="A193" s="73">
        <v>900</v>
      </c>
      <c r="B193" s="73"/>
      <c r="C193" s="73" t="s">
        <v>25</v>
      </c>
      <c r="D193" s="74">
        <v>63857379</v>
      </c>
      <c r="E193" s="75">
        <f>E194+E203+E196+E200</f>
        <v>125000</v>
      </c>
      <c r="F193" s="75">
        <f>F194+F203+F196+F200</f>
        <v>330066</v>
      </c>
      <c r="G193" s="75">
        <f t="shared" si="7"/>
        <v>64062445</v>
      </c>
      <c r="H193" s="47"/>
      <c r="I193" s="47"/>
      <c r="K193" s="47"/>
    </row>
    <row r="194" spans="1:11" s="95" customFormat="1" ht="17.25" customHeight="1">
      <c r="A194" s="76"/>
      <c r="B194" s="78">
        <v>90002</v>
      </c>
      <c r="C194" s="78" t="s">
        <v>801</v>
      </c>
      <c r="D194" s="559">
        <v>15972379</v>
      </c>
      <c r="E194" s="523"/>
      <c r="F194" s="523">
        <f>F195</f>
        <v>205066</v>
      </c>
      <c r="G194" s="523">
        <f t="shared" si="7"/>
        <v>16177445</v>
      </c>
      <c r="H194" s="138"/>
      <c r="I194" s="138"/>
      <c r="K194" s="94"/>
    </row>
    <row r="195" spans="1:11" s="130" customFormat="1" ht="25.5">
      <c r="A195" s="80"/>
      <c r="B195" s="605"/>
      <c r="C195" s="1387" t="s">
        <v>327</v>
      </c>
      <c r="D195" s="1393"/>
      <c r="E195" s="1393"/>
      <c r="F195" s="1393">
        <v>205066</v>
      </c>
      <c r="G195" s="1393">
        <f t="shared" si="7"/>
        <v>205066</v>
      </c>
      <c r="H195" s="138"/>
      <c r="I195" s="138"/>
      <c r="K195" s="138"/>
    </row>
    <row r="196" spans="1:11" s="95" customFormat="1" ht="18" customHeight="1">
      <c r="A196" s="76"/>
      <c r="B196" s="78">
        <v>90003</v>
      </c>
      <c r="C196" s="78" t="s">
        <v>802</v>
      </c>
      <c r="D196" s="559">
        <v>9117000</v>
      </c>
      <c r="E196" s="523">
        <f>E197+E198</f>
        <v>25000</v>
      </c>
      <c r="F196" s="523">
        <f>F197+F198</f>
        <v>5000</v>
      </c>
      <c r="G196" s="523">
        <f t="shared" si="7"/>
        <v>9097000</v>
      </c>
      <c r="H196" s="138"/>
      <c r="I196" s="138"/>
      <c r="K196" s="94"/>
    </row>
    <row r="197" spans="1:11" s="130" customFormat="1" ht="21" customHeight="1">
      <c r="A197" s="80"/>
      <c r="B197" s="66"/>
      <c r="C197" s="601" t="s">
        <v>202</v>
      </c>
      <c r="D197" s="267">
        <v>1100000</v>
      </c>
      <c r="E197" s="144">
        <f>109410-84410</f>
        <v>25000</v>
      </c>
      <c r="F197" s="144"/>
      <c r="G197" s="144">
        <f t="shared" si="7"/>
        <v>1075000</v>
      </c>
      <c r="H197" s="138"/>
      <c r="I197" s="138"/>
      <c r="K197" s="138"/>
    </row>
    <row r="198" spans="1:11" s="561" customFormat="1" ht="18.75" customHeight="1">
      <c r="A198" s="1602"/>
      <c r="B198" s="1384"/>
      <c r="C198" s="1398" t="s">
        <v>778</v>
      </c>
      <c r="D198" s="1173">
        <v>120000</v>
      </c>
      <c r="E198" s="1173"/>
      <c r="F198" s="1173">
        <v>5000</v>
      </c>
      <c r="G198" s="1173">
        <f t="shared" si="7"/>
        <v>125000</v>
      </c>
      <c r="H198" s="157"/>
      <c r="I198" s="157"/>
      <c r="K198" s="562"/>
    </row>
    <row r="199" spans="1:11" s="561" customFormat="1" ht="18.75" customHeight="1">
      <c r="A199" s="1606"/>
      <c r="B199" s="1607"/>
      <c r="C199" s="33"/>
      <c r="D199" s="1604"/>
      <c r="E199" s="1604"/>
      <c r="F199" s="1604"/>
      <c r="G199" s="1604"/>
      <c r="H199" s="157"/>
      <c r="I199" s="157"/>
      <c r="K199" s="562"/>
    </row>
    <row r="200" spans="1:11" s="561" customFormat="1" ht="18" customHeight="1">
      <c r="A200" s="81"/>
      <c r="B200" s="78">
        <v>90015</v>
      </c>
      <c r="C200" s="78" t="s">
        <v>774</v>
      </c>
      <c r="D200" s="559">
        <v>7950000</v>
      </c>
      <c r="E200" s="559">
        <f>E201+E202</f>
        <v>100000</v>
      </c>
      <c r="F200" s="559">
        <f>F201+F202</f>
        <v>100000</v>
      </c>
      <c r="G200" s="559">
        <f t="shared" si="7"/>
        <v>7950000</v>
      </c>
      <c r="H200" s="157"/>
      <c r="I200" s="157"/>
      <c r="K200" s="562"/>
    </row>
    <row r="201" spans="1:11" s="561" customFormat="1" ht="18.75" customHeight="1">
      <c r="A201" s="206"/>
      <c r="B201" s="214"/>
      <c r="C201" s="535" t="s">
        <v>775</v>
      </c>
      <c r="D201" s="267">
        <v>4500000</v>
      </c>
      <c r="E201" s="267">
        <v>100000</v>
      </c>
      <c r="F201" s="267"/>
      <c r="G201" s="144">
        <f t="shared" si="7"/>
        <v>4400000</v>
      </c>
      <c r="H201" s="157"/>
      <c r="I201" s="157"/>
      <c r="K201" s="562"/>
    </row>
    <row r="202" spans="1:11" s="555" customFormat="1" ht="17.25" customHeight="1">
      <c r="A202" s="206"/>
      <c r="B202" s="1384"/>
      <c r="C202" s="1394" t="s">
        <v>493</v>
      </c>
      <c r="D202" s="1395">
        <v>350000</v>
      </c>
      <c r="E202" s="1395"/>
      <c r="F202" s="1395">
        <v>100000</v>
      </c>
      <c r="G202" s="1395">
        <f t="shared" si="7"/>
        <v>450000</v>
      </c>
      <c r="H202" s="209"/>
      <c r="I202" s="209"/>
      <c r="K202" s="556"/>
    </row>
    <row r="203" spans="1:11" s="95" customFormat="1" ht="18.75" customHeight="1">
      <c r="A203" s="76"/>
      <c r="B203" s="78">
        <v>90095</v>
      </c>
      <c r="C203" s="78" t="s">
        <v>366</v>
      </c>
      <c r="D203" s="559">
        <v>17181000</v>
      </c>
      <c r="E203" s="523"/>
      <c r="F203" s="523">
        <f>F204</f>
        <v>20000</v>
      </c>
      <c r="G203" s="523">
        <f t="shared" si="7"/>
        <v>17201000</v>
      </c>
      <c r="H203" s="138"/>
      <c r="I203" s="138"/>
      <c r="K203" s="94"/>
    </row>
    <row r="204" spans="1:11" s="561" customFormat="1" ht="17.25" customHeight="1">
      <c r="A204" s="206"/>
      <c r="B204" s="1385"/>
      <c r="C204" s="605" t="s">
        <v>779</v>
      </c>
      <c r="D204" s="1393">
        <v>45000</v>
      </c>
      <c r="E204" s="1393"/>
      <c r="F204" s="1393">
        <v>20000</v>
      </c>
      <c r="G204" s="1393">
        <f t="shared" si="7"/>
        <v>65000</v>
      </c>
      <c r="H204" s="157"/>
      <c r="I204" s="157"/>
      <c r="K204" s="562"/>
    </row>
    <row r="205" spans="1:11" ht="27.75" customHeight="1" thickBot="1">
      <c r="A205" s="66"/>
      <c r="B205" s="66"/>
      <c r="C205" s="633" t="s">
        <v>334</v>
      </c>
      <c r="D205" s="785">
        <v>5753097</v>
      </c>
      <c r="E205" s="785"/>
      <c r="F205" s="785">
        <f>F206+F209</f>
        <v>230000</v>
      </c>
      <c r="G205" s="785">
        <f aca="true" t="shared" si="8" ref="G205:G228">D205+F205-E205</f>
        <v>5983097</v>
      </c>
      <c r="H205" s="47"/>
      <c r="I205" s="47"/>
      <c r="K205" s="47"/>
    </row>
    <row r="206" spans="1:11" ht="18.75" customHeight="1" thickTop="1">
      <c r="A206" s="72">
        <v>710</v>
      </c>
      <c r="B206" s="89"/>
      <c r="C206" s="92" t="s">
        <v>756</v>
      </c>
      <c r="D206" s="74"/>
      <c r="E206" s="75"/>
      <c r="F206" s="75">
        <f>F207</f>
        <v>30000</v>
      </c>
      <c r="G206" s="75">
        <f t="shared" si="8"/>
        <v>30000</v>
      </c>
      <c r="H206" s="47"/>
      <c r="I206" s="47"/>
      <c r="K206" s="47"/>
    </row>
    <row r="207" spans="1:11" s="130" customFormat="1" ht="18.75" customHeight="1">
      <c r="A207" s="76"/>
      <c r="B207" s="77">
        <v>71035</v>
      </c>
      <c r="C207" s="77" t="s">
        <v>332</v>
      </c>
      <c r="D207" s="137"/>
      <c r="E207" s="137"/>
      <c r="F207" s="137">
        <f>F208</f>
        <v>30000</v>
      </c>
      <c r="G207" s="137">
        <f t="shared" si="8"/>
        <v>30000</v>
      </c>
      <c r="H207" s="138"/>
      <c r="I207" s="138"/>
      <c r="K207" s="138"/>
    </row>
    <row r="208" spans="1:11" s="130" customFormat="1" ht="18.75" customHeight="1">
      <c r="A208" s="923"/>
      <c r="B208" s="605"/>
      <c r="C208" s="1387" t="s">
        <v>640</v>
      </c>
      <c r="D208" s="1393"/>
      <c r="E208" s="1393"/>
      <c r="F208" s="1393">
        <v>30000</v>
      </c>
      <c r="G208" s="1393">
        <f t="shared" si="8"/>
        <v>30000</v>
      </c>
      <c r="H208" s="138"/>
      <c r="I208" s="138"/>
      <c r="K208" s="138"/>
    </row>
    <row r="209" spans="1:11" s="194" customFormat="1" ht="18.75" customHeight="1">
      <c r="A209" s="431">
        <v>852</v>
      </c>
      <c r="B209" s="73"/>
      <c r="C209" s="92" t="s">
        <v>368</v>
      </c>
      <c r="D209" s="597">
        <v>3618310</v>
      </c>
      <c r="E209" s="597"/>
      <c r="F209" s="597">
        <f>F210</f>
        <v>200000</v>
      </c>
      <c r="G209" s="597">
        <f t="shared" si="8"/>
        <v>3818310</v>
      </c>
      <c r="H209" s="195"/>
      <c r="I209" s="195"/>
      <c r="K209" s="195"/>
    </row>
    <row r="210" spans="1:11" s="194" customFormat="1" ht="18.75" customHeight="1">
      <c r="A210" s="141"/>
      <c r="B210" s="136">
        <v>85295</v>
      </c>
      <c r="C210" s="77" t="s">
        <v>366</v>
      </c>
      <c r="D210" s="315"/>
      <c r="E210" s="315"/>
      <c r="F210" s="315">
        <f>F211</f>
        <v>200000</v>
      </c>
      <c r="G210" s="315">
        <f t="shared" si="8"/>
        <v>200000</v>
      </c>
      <c r="H210" s="195"/>
      <c r="I210" s="195"/>
      <c r="K210" s="195"/>
    </row>
    <row r="211" spans="1:11" s="273" customFormat="1" ht="17.25" customHeight="1">
      <c r="A211" s="214"/>
      <c r="B211" s="214"/>
      <c r="C211" s="466" t="s">
        <v>784</v>
      </c>
      <c r="D211" s="909"/>
      <c r="E211" s="909"/>
      <c r="F211" s="909">
        <v>200000</v>
      </c>
      <c r="G211" s="909">
        <f t="shared" si="8"/>
        <v>200000</v>
      </c>
      <c r="H211" s="406"/>
      <c r="I211" s="406"/>
      <c r="K211" s="406"/>
    </row>
    <row r="212" spans="1:11" s="194" customFormat="1" ht="17.25" customHeight="1">
      <c r="A212" s="169"/>
      <c r="B212" s="169"/>
      <c r="C212" s="896" t="s">
        <v>185</v>
      </c>
      <c r="D212" s="863"/>
      <c r="E212" s="863"/>
      <c r="F212" s="863">
        <v>87550</v>
      </c>
      <c r="G212" s="863">
        <f t="shared" si="8"/>
        <v>87550</v>
      </c>
      <c r="H212" s="195"/>
      <c r="I212" s="195"/>
      <c r="K212" s="195"/>
    </row>
    <row r="213" spans="1:11" ht="20.25" customHeight="1" thickBot="1">
      <c r="A213" s="66"/>
      <c r="B213" s="66"/>
      <c r="C213" s="950" t="s">
        <v>397</v>
      </c>
      <c r="D213" s="951">
        <v>98940149</v>
      </c>
      <c r="E213" s="951">
        <f>E214+E219</f>
        <v>4000</v>
      </c>
      <c r="F213" s="951">
        <f>F214+F219</f>
        <v>1148558</v>
      </c>
      <c r="G213" s="951">
        <f t="shared" si="8"/>
        <v>100084707</v>
      </c>
      <c r="H213" s="47">
        <f>F213-E213</f>
        <v>1144558</v>
      </c>
      <c r="I213" s="47"/>
      <c r="K213" s="47"/>
    </row>
    <row r="214" spans="1:11" s="194" customFormat="1" ht="21" customHeight="1" thickBot="1">
      <c r="A214" s="169"/>
      <c r="B214" s="169"/>
      <c r="C214" s="162" t="s">
        <v>398</v>
      </c>
      <c r="D214" s="463">
        <v>76622378</v>
      </c>
      <c r="E214" s="463"/>
      <c r="F214" s="463">
        <f>F215</f>
        <v>907558</v>
      </c>
      <c r="G214" s="463">
        <f t="shared" si="8"/>
        <v>77529936</v>
      </c>
      <c r="H214" s="195"/>
      <c r="I214" s="195"/>
      <c r="K214" s="195"/>
    </row>
    <row r="215" spans="1:11" s="194" customFormat="1" ht="30.75" customHeight="1" thickTop="1">
      <c r="A215" s="184">
        <v>751</v>
      </c>
      <c r="B215" s="72"/>
      <c r="C215" s="795" t="s">
        <v>624</v>
      </c>
      <c r="D215" s="314">
        <v>29100</v>
      </c>
      <c r="E215" s="314"/>
      <c r="F215" s="314">
        <f>F216</f>
        <v>907558</v>
      </c>
      <c r="G215" s="314">
        <f t="shared" si="8"/>
        <v>936658</v>
      </c>
      <c r="H215" s="195"/>
      <c r="I215" s="195"/>
      <c r="K215" s="195"/>
    </row>
    <row r="216" spans="1:11" s="194" customFormat="1" ht="38.25">
      <c r="A216" s="257"/>
      <c r="B216" s="226">
        <v>75109</v>
      </c>
      <c r="C216" s="323" t="s">
        <v>625</v>
      </c>
      <c r="D216" s="703"/>
      <c r="E216" s="703"/>
      <c r="F216" s="703">
        <f>F217</f>
        <v>907558</v>
      </c>
      <c r="G216" s="315">
        <f t="shared" si="8"/>
        <v>907558</v>
      </c>
      <c r="H216" s="195"/>
      <c r="I216" s="195"/>
      <c r="K216" s="195"/>
    </row>
    <row r="217" spans="1:11" s="194" customFormat="1" ht="18" customHeight="1">
      <c r="A217" s="169"/>
      <c r="B217" s="169"/>
      <c r="C217" s="601" t="s">
        <v>626</v>
      </c>
      <c r="D217" s="909"/>
      <c r="E217" s="909"/>
      <c r="F217" s="909">
        <v>907558</v>
      </c>
      <c r="G217" s="909">
        <f t="shared" si="8"/>
        <v>907558</v>
      </c>
      <c r="H217" s="195"/>
      <c r="I217" s="195"/>
      <c r="K217" s="195"/>
    </row>
    <row r="218" spans="1:11" s="194" customFormat="1" ht="19.5" customHeight="1">
      <c r="A218" s="169"/>
      <c r="B218" s="169"/>
      <c r="C218" s="1069" t="s">
        <v>494</v>
      </c>
      <c r="D218" s="863"/>
      <c r="E218" s="863"/>
      <c r="F218" s="863">
        <v>176120</v>
      </c>
      <c r="G218" s="863">
        <f>D218+F218-E218</f>
        <v>176120</v>
      </c>
      <c r="H218" s="195"/>
      <c r="I218" s="195"/>
      <c r="K218" s="195"/>
    </row>
    <row r="219" spans="1:11" s="194" customFormat="1" ht="27.75" customHeight="1" thickBot="1">
      <c r="A219" s="320"/>
      <c r="B219" s="320"/>
      <c r="C219" s="163" t="s">
        <v>399</v>
      </c>
      <c r="D219" s="785">
        <v>22317771</v>
      </c>
      <c r="E219" s="785">
        <f>E220+E229</f>
        <v>4000</v>
      </c>
      <c r="F219" s="785">
        <f>F220+F229</f>
        <v>241000</v>
      </c>
      <c r="G219" s="785">
        <f t="shared" si="8"/>
        <v>22554771</v>
      </c>
      <c r="H219" s="195"/>
      <c r="I219" s="195"/>
      <c r="K219" s="195"/>
    </row>
    <row r="220" spans="1:11" s="194" customFormat="1" ht="18" customHeight="1" thickTop="1">
      <c r="A220" s="72">
        <v>852</v>
      </c>
      <c r="B220" s="89"/>
      <c r="C220" s="92" t="s">
        <v>368</v>
      </c>
      <c r="D220" s="597">
        <v>3191590</v>
      </c>
      <c r="E220" s="597">
        <f>E221+E227</f>
        <v>4000</v>
      </c>
      <c r="F220" s="597">
        <f>F221+F227</f>
        <v>224000</v>
      </c>
      <c r="G220" s="597">
        <f t="shared" si="8"/>
        <v>3411590</v>
      </c>
      <c r="H220" s="195"/>
      <c r="I220" s="195"/>
      <c r="K220" s="195"/>
    </row>
    <row r="221" spans="1:11" s="194" customFormat="1" ht="17.25" customHeight="1">
      <c r="A221" s="141"/>
      <c r="B221" s="136">
        <v>85203</v>
      </c>
      <c r="C221" s="801" t="s">
        <v>789</v>
      </c>
      <c r="D221" s="800">
        <v>2957590</v>
      </c>
      <c r="E221" s="800">
        <f>E222+E226</f>
        <v>4000</v>
      </c>
      <c r="F221" s="800">
        <f>F222+F226</f>
        <v>194000</v>
      </c>
      <c r="G221" s="800">
        <f t="shared" si="8"/>
        <v>3147590</v>
      </c>
      <c r="H221" s="195"/>
      <c r="I221" s="195"/>
      <c r="K221" s="195"/>
    </row>
    <row r="222" spans="1:11" s="194" customFormat="1" ht="24.75" customHeight="1">
      <c r="A222" s="1297"/>
      <c r="B222" s="408"/>
      <c r="C222" s="943" t="s">
        <v>769</v>
      </c>
      <c r="D222" s="1204">
        <v>180000</v>
      </c>
      <c r="E222" s="1204">
        <f>E223+E224+E225</f>
        <v>4000</v>
      </c>
      <c r="F222" s="1204">
        <f>F223+F224+F225</f>
        <v>4000</v>
      </c>
      <c r="G222" s="1204">
        <f t="shared" si="8"/>
        <v>180000</v>
      </c>
      <c r="H222" s="195"/>
      <c r="I222" s="195"/>
      <c r="K222" s="195"/>
    </row>
    <row r="223" spans="1:11" s="273" customFormat="1" ht="17.25" customHeight="1">
      <c r="A223" s="214"/>
      <c r="B223" s="214"/>
      <c r="C223" s="1625" t="s">
        <v>57</v>
      </c>
      <c r="D223" s="1626">
        <v>89000</v>
      </c>
      <c r="E223" s="1626">
        <v>4000</v>
      </c>
      <c r="F223" s="1626"/>
      <c r="G223" s="1626">
        <f t="shared" si="8"/>
        <v>85000</v>
      </c>
      <c r="H223" s="406"/>
      <c r="I223" s="406"/>
      <c r="K223" s="406"/>
    </row>
    <row r="224" spans="1:11" s="273" customFormat="1" ht="20.25" customHeight="1">
      <c r="A224" s="214"/>
      <c r="B224" s="214"/>
      <c r="C224" s="1390" t="s">
        <v>387</v>
      </c>
      <c r="D224" s="1391">
        <v>81200</v>
      </c>
      <c r="E224" s="1391"/>
      <c r="F224" s="1391">
        <v>2300</v>
      </c>
      <c r="G224" s="1391">
        <f t="shared" si="8"/>
        <v>83500</v>
      </c>
      <c r="H224" s="406"/>
      <c r="I224" s="406"/>
      <c r="K224" s="406"/>
    </row>
    <row r="225" spans="1:11" s="273" customFormat="1" ht="21" customHeight="1">
      <c r="A225" s="214"/>
      <c r="B225" s="214"/>
      <c r="C225" s="1392" t="s">
        <v>413</v>
      </c>
      <c r="D225" s="1391">
        <v>9800</v>
      </c>
      <c r="E225" s="1391"/>
      <c r="F225" s="1391">
        <v>1700</v>
      </c>
      <c r="G225" s="1391">
        <f t="shared" si="8"/>
        <v>11500</v>
      </c>
      <c r="H225" s="406"/>
      <c r="I225" s="406"/>
      <c r="K225" s="406"/>
    </row>
    <row r="226" spans="1:11" s="273" customFormat="1" ht="27" customHeight="1">
      <c r="A226" s="1384"/>
      <c r="B226" s="1384"/>
      <c r="C226" s="1388" t="s">
        <v>503</v>
      </c>
      <c r="D226" s="1389"/>
      <c r="E226" s="1389"/>
      <c r="F226" s="1389">
        <v>190000</v>
      </c>
      <c r="G226" s="1389">
        <f t="shared" si="8"/>
        <v>190000</v>
      </c>
      <c r="H226" s="406"/>
      <c r="I226" s="406"/>
      <c r="K226" s="406"/>
    </row>
    <row r="227" spans="1:11" s="194" customFormat="1" ht="18" customHeight="1">
      <c r="A227" s="141"/>
      <c r="B227" s="142">
        <v>85295</v>
      </c>
      <c r="C227" s="313" t="s">
        <v>366</v>
      </c>
      <c r="D227" s="315"/>
      <c r="E227" s="315"/>
      <c r="F227" s="315">
        <f>F228</f>
        <v>30000</v>
      </c>
      <c r="G227" s="315">
        <f t="shared" si="8"/>
        <v>30000</v>
      </c>
      <c r="H227" s="195"/>
      <c r="I227" s="195"/>
      <c r="K227" s="195"/>
    </row>
    <row r="228" spans="1:11" s="273" customFormat="1" ht="25.5">
      <c r="A228" s="1384"/>
      <c r="B228" s="1384"/>
      <c r="C228" s="1365" t="s">
        <v>761</v>
      </c>
      <c r="D228" s="1386"/>
      <c r="E228" s="1386"/>
      <c r="F228" s="1386">
        <v>30000</v>
      </c>
      <c r="G228" s="1386">
        <f t="shared" si="8"/>
        <v>30000</v>
      </c>
      <c r="H228" s="406"/>
      <c r="I228" s="406"/>
      <c r="K228" s="406"/>
    </row>
    <row r="229" spans="1:11" s="194" customFormat="1" ht="18.75" customHeight="1">
      <c r="A229" s="72">
        <v>853</v>
      </c>
      <c r="B229" s="89"/>
      <c r="C229" s="89" t="s">
        <v>412</v>
      </c>
      <c r="D229" s="597">
        <v>616654</v>
      </c>
      <c r="E229" s="597"/>
      <c r="F229" s="597">
        <f>F230</f>
        <v>17000</v>
      </c>
      <c r="G229" s="597">
        <f>D229+F229-E229</f>
        <v>633654</v>
      </c>
      <c r="H229" s="195"/>
      <c r="I229" s="195"/>
      <c r="K229" s="195"/>
    </row>
    <row r="230" spans="1:11" s="194" customFormat="1" ht="18.75" customHeight="1">
      <c r="A230" s="141"/>
      <c r="B230" s="136">
        <v>85321</v>
      </c>
      <c r="C230" s="90" t="s">
        <v>205</v>
      </c>
      <c r="D230" s="315">
        <v>552000</v>
      </c>
      <c r="E230" s="315"/>
      <c r="F230" s="315">
        <f>F231</f>
        <v>17000</v>
      </c>
      <c r="G230" s="315">
        <f>D230+F230-E230</f>
        <v>569000</v>
      </c>
      <c r="H230" s="195"/>
      <c r="I230" s="195"/>
      <c r="K230" s="195"/>
    </row>
    <row r="231" spans="1:11" s="273" customFormat="1" ht="18.75" customHeight="1">
      <c r="A231" s="1384"/>
      <c r="B231" s="1384"/>
      <c r="C231" s="1367" t="s">
        <v>601</v>
      </c>
      <c r="D231" s="1386">
        <v>380003</v>
      </c>
      <c r="E231" s="1386"/>
      <c r="F231" s="1386">
        <v>17000</v>
      </c>
      <c r="G231" s="1386">
        <f>D231+F231-E231</f>
        <v>397003</v>
      </c>
      <c r="H231" s="406"/>
      <c r="I231" s="406"/>
      <c r="K231" s="406"/>
    </row>
    <row r="232" ht="26.25" customHeight="1"/>
    <row r="233" ht="18" customHeight="1"/>
    <row r="234" spans="3:7" ht="19.5" customHeight="1">
      <c r="C234" s="1" t="s">
        <v>172</v>
      </c>
      <c r="D234" s="1"/>
      <c r="F234" s="1" t="s">
        <v>174</v>
      </c>
      <c r="G234" s="1"/>
    </row>
    <row r="235" spans="3:7" ht="12.75" customHeight="1">
      <c r="C235" s="48" t="s">
        <v>173</v>
      </c>
      <c r="D235" s="1"/>
      <c r="F235" s="48" t="s">
        <v>175</v>
      </c>
      <c r="G235" s="1"/>
    </row>
    <row r="236" spans="1:11" s="95" customFormat="1" ht="18.75" customHeight="1">
      <c r="A236" s="22"/>
      <c r="B236" s="22"/>
      <c r="C236" s="22"/>
      <c r="D236" s="22"/>
      <c r="E236" s="22"/>
      <c r="F236" s="22"/>
      <c r="G236" s="22"/>
      <c r="H236" s="94"/>
      <c r="I236" s="94"/>
      <c r="K236" s="94"/>
    </row>
    <row r="237" spans="1:11" s="45" customFormat="1" ht="18.75" customHeight="1">
      <c r="A237" s="22"/>
      <c r="B237" s="22"/>
      <c r="C237" s="22"/>
      <c r="D237" s="22"/>
      <c r="E237" s="22"/>
      <c r="F237" s="22"/>
      <c r="G237" s="22"/>
      <c r="H237" s="126"/>
      <c r="I237" s="126"/>
      <c r="K237" s="126"/>
    </row>
    <row r="238" spans="1:11" s="45" customFormat="1" ht="18.75" customHeight="1">
      <c r="A238" s="22"/>
      <c r="B238" s="22"/>
      <c r="C238" s="22"/>
      <c r="D238" s="22"/>
      <c r="E238" s="22"/>
      <c r="F238" s="22"/>
      <c r="G238" s="22"/>
      <c r="H238" s="126"/>
      <c r="I238" s="126"/>
      <c r="K238" s="126"/>
    </row>
    <row r="239" spans="8:11" ht="21" customHeight="1">
      <c r="H239" s="47"/>
      <c r="I239" s="47"/>
      <c r="K239" s="47"/>
    </row>
    <row r="240" spans="8:11" ht="21" customHeight="1">
      <c r="H240" s="47"/>
      <c r="I240" s="47"/>
      <c r="K240" s="47"/>
    </row>
    <row r="241" ht="18.75" customHeight="1"/>
    <row r="242" ht="18.75" customHeight="1"/>
    <row r="243" spans="8:11" ht="21" customHeight="1">
      <c r="H243" s="47"/>
      <c r="I243" s="47"/>
      <c r="K243" s="47"/>
    </row>
    <row r="244" ht="18.75" customHeight="1"/>
    <row r="245" ht="19.5" customHeight="1"/>
    <row r="246" ht="19.5" customHeight="1"/>
    <row r="247" ht="19.5" customHeight="1"/>
    <row r="248" ht="18.75" customHeight="1"/>
    <row r="249" ht="18.75" customHeight="1"/>
    <row r="250" ht="28.5" customHeight="1"/>
    <row r="251" spans="1:8" s="33" customFormat="1" ht="18.75" customHeight="1">
      <c r="A251" s="22"/>
      <c r="B251" s="22"/>
      <c r="C251" s="22"/>
      <c r="D251" s="22"/>
      <c r="E251" s="22"/>
      <c r="F251" s="22"/>
      <c r="G251" s="22"/>
      <c r="H251" s="127"/>
    </row>
    <row r="252" spans="1:8" s="33" customFormat="1" ht="18.75" customHeight="1">
      <c r="A252" s="22"/>
      <c r="B252" s="22"/>
      <c r="C252" s="22"/>
      <c r="D252" s="22"/>
      <c r="E252" s="22"/>
      <c r="F252" s="22"/>
      <c r="G252" s="22"/>
      <c r="H252" s="127"/>
    </row>
    <row r="253" spans="1:8" s="33" customFormat="1" ht="18.75" customHeight="1">
      <c r="A253" s="22"/>
      <c r="B253" s="22"/>
      <c r="C253" s="22"/>
      <c r="D253" s="22"/>
      <c r="E253" s="22"/>
      <c r="F253" s="22"/>
      <c r="G253" s="22"/>
      <c r="H253" s="127"/>
    </row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spans="1:8" s="33" customFormat="1" ht="19.5" customHeight="1">
      <c r="A262" s="22"/>
      <c r="B262" s="22"/>
      <c r="C262" s="22"/>
      <c r="D262" s="22"/>
      <c r="E262" s="22"/>
      <c r="F262" s="22"/>
      <c r="G262" s="22"/>
      <c r="H262" s="128"/>
    </row>
    <row r="263" spans="1:8" s="33" customFormat="1" ht="18.75" customHeight="1">
      <c r="A263" s="22"/>
      <c r="B263" s="22"/>
      <c r="C263" s="22"/>
      <c r="D263" s="22"/>
      <c r="E263" s="22"/>
      <c r="F263" s="22"/>
      <c r="G263" s="22"/>
      <c r="H263" s="127"/>
    </row>
    <row r="264" spans="1:8" s="33" customFormat="1" ht="18.75" customHeight="1">
      <c r="A264" s="22"/>
      <c r="B264" s="22"/>
      <c r="C264" s="22"/>
      <c r="D264" s="22"/>
      <c r="E264" s="22"/>
      <c r="F264" s="22"/>
      <c r="G264" s="22"/>
      <c r="H264" s="127"/>
    </row>
    <row r="265" spans="1:8" s="33" customFormat="1" ht="18.75" customHeight="1">
      <c r="A265" s="22"/>
      <c r="B265" s="22"/>
      <c r="C265" s="22"/>
      <c r="D265" s="22"/>
      <c r="E265" s="22"/>
      <c r="F265" s="22"/>
      <c r="G265" s="22"/>
      <c r="H265" s="127"/>
    </row>
    <row r="266" ht="19.5" customHeight="1"/>
    <row r="267" ht="18.75" customHeight="1"/>
    <row r="268" spans="1:8" s="33" customFormat="1" ht="18.75" customHeight="1">
      <c r="A268" s="22"/>
      <c r="B268" s="22"/>
      <c r="C268" s="22"/>
      <c r="D268" s="22"/>
      <c r="E268" s="22"/>
      <c r="F268" s="22"/>
      <c r="G268" s="22"/>
      <c r="H268" s="127"/>
    </row>
    <row r="269" ht="18.75" customHeight="1"/>
    <row r="270" spans="1:8" s="33" customFormat="1" ht="18.75" customHeight="1">
      <c r="A270" s="22"/>
      <c r="B270" s="22"/>
      <c r="C270" s="22"/>
      <c r="D270" s="22"/>
      <c r="E270" s="22"/>
      <c r="F270" s="22"/>
      <c r="G270" s="22"/>
      <c r="H270" s="127"/>
    </row>
    <row r="271" spans="1:8" s="33" customFormat="1" ht="27" customHeight="1">
      <c r="A271" s="22"/>
      <c r="B271" s="22"/>
      <c r="C271" s="22"/>
      <c r="D271" s="22"/>
      <c r="E271" s="22"/>
      <c r="F271" s="22"/>
      <c r="G271" s="22"/>
      <c r="H271" s="127"/>
    </row>
    <row r="272" spans="1:8" s="33" customFormat="1" ht="18.75" customHeight="1">
      <c r="A272" s="22"/>
      <c r="B272" s="22"/>
      <c r="C272" s="22"/>
      <c r="D272" s="22"/>
      <c r="E272" s="22"/>
      <c r="F272" s="22"/>
      <c r="G272" s="22"/>
      <c r="H272" s="127"/>
    </row>
    <row r="273" spans="1:8" s="33" customFormat="1" ht="19.5" customHeight="1">
      <c r="A273" s="22"/>
      <c r="B273" s="22"/>
      <c r="C273" s="22"/>
      <c r="D273" s="22"/>
      <c r="E273" s="22"/>
      <c r="F273" s="22"/>
      <c r="G273" s="22"/>
      <c r="H273" s="127"/>
    </row>
    <row r="274" ht="19.5" customHeight="1"/>
    <row r="275" ht="19.5" customHeight="1"/>
    <row r="276" ht="19.5" customHeight="1"/>
    <row r="277" ht="19.5" customHeight="1"/>
    <row r="278" ht="19.5" customHeight="1"/>
    <row r="279" spans="1:8" s="33" customFormat="1" ht="18.75" customHeight="1">
      <c r="A279" s="22"/>
      <c r="B279" s="22"/>
      <c r="C279" s="22"/>
      <c r="D279" s="22"/>
      <c r="E279" s="22"/>
      <c r="F279" s="22"/>
      <c r="G279" s="22"/>
      <c r="H279" s="127"/>
    </row>
    <row r="280" spans="1:8" s="33" customFormat="1" ht="19.5" customHeight="1">
      <c r="A280" s="22"/>
      <c r="B280" s="22"/>
      <c r="C280" s="22"/>
      <c r="D280" s="22"/>
      <c r="E280" s="22"/>
      <c r="F280" s="22"/>
      <c r="G280" s="22"/>
      <c r="H280" s="127"/>
    </row>
    <row r="281" ht="19.5" customHeight="1"/>
    <row r="282" ht="18.75" customHeight="1"/>
    <row r="283" ht="18" customHeight="1"/>
    <row r="284" ht="28.5" customHeight="1"/>
    <row r="285" ht="20.25" customHeight="1"/>
    <row r="286" ht="18" customHeight="1"/>
    <row r="287" ht="19.5" customHeight="1"/>
    <row r="288" ht="20.25" customHeight="1"/>
    <row r="289" ht="20.25" customHeight="1"/>
    <row r="290" ht="20.25" customHeight="1"/>
    <row r="291" spans="1:7" s="33" customFormat="1" ht="27" customHeight="1">
      <c r="A291" s="22"/>
      <c r="B291" s="22"/>
      <c r="C291" s="22"/>
      <c r="D291" s="22"/>
      <c r="E291" s="22"/>
      <c r="F291" s="22"/>
      <c r="G291" s="22"/>
    </row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27.75" customHeight="1"/>
    <row r="312" ht="20.25" customHeight="1"/>
    <row r="313" ht="20.25" customHeight="1"/>
    <row r="314" ht="19.5" customHeight="1"/>
    <row r="315" ht="25.5" customHeight="1"/>
    <row r="316" ht="26.25" customHeight="1"/>
    <row r="317" ht="19.5" customHeight="1"/>
    <row r="318" ht="18.75" customHeight="1"/>
    <row r="319" ht="18" customHeight="1"/>
    <row r="320" ht="19.5" customHeight="1"/>
    <row r="321" ht="19.5" customHeight="1"/>
    <row r="322" ht="20.25" customHeight="1"/>
    <row r="323" ht="19.5" customHeight="1"/>
    <row r="324" ht="19.5" customHeight="1"/>
    <row r="325" ht="20.25" customHeight="1"/>
    <row r="326" ht="18" customHeight="1"/>
    <row r="327" ht="19.5" customHeight="1"/>
    <row r="328" ht="19.5" customHeight="1"/>
  </sheetData>
  <printOptions horizontalCentered="1"/>
  <pageMargins left="0.3937007874015748" right="0.3937007874015748" top="0.61" bottom="0.47" header="0.5118110236220472" footer="0.31496062992125984"/>
  <pageSetup firstPageNumber="8" useFirstPageNumber="1" horizontalDpi="300" verticalDpi="300" orientation="landscape" paperSize="9" scale="8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O66"/>
  <sheetViews>
    <sheetView zoomScale="90" zoomScaleNormal="90" zoomScaleSheetLayoutView="75" workbookViewId="0" topLeftCell="A8">
      <pane ySplit="885" topLeftCell="BM45" activePane="bottomLeft" state="split"/>
      <selection pane="topLeft" activeCell="A13" sqref="A13"/>
      <selection pane="bottomLeft" activeCell="J64" sqref="J64:J65"/>
    </sheetView>
  </sheetViews>
  <sheetFormatPr defaultColWidth="9.00390625" defaultRowHeight="12.75"/>
  <cols>
    <col min="1" max="1" width="5.125" style="0" customWidth="1"/>
    <col min="2" max="2" width="7.875" style="0" customWidth="1"/>
    <col min="3" max="3" width="41.875" style="374" customWidth="1"/>
    <col min="4" max="4" width="17.75390625" style="0" customWidth="1"/>
    <col min="5" max="5" width="14.625" style="0" customWidth="1"/>
    <col min="6" max="6" width="13.875" style="0" customWidth="1"/>
    <col min="7" max="7" width="16.375" style="0" customWidth="1"/>
    <col min="8" max="8" width="12.25390625" style="0" customWidth="1"/>
    <col min="9" max="9" width="15.625" style="0" customWidth="1"/>
    <col min="10" max="10" width="15.375" style="0" customWidth="1"/>
    <col min="11" max="11" width="13.75390625" style="0" customWidth="1"/>
    <col min="12" max="12" width="16.00390625" style="0" customWidth="1"/>
    <col min="13" max="13" width="14.875" style="0" customWidth="1"/>
    <col min="14" max="14" width="12.75390625" style="0" customWidth="1"/>
  </cols>
  <sheetData>
    <row r="1" spans="3:11" s="22" customFormat="1" ht="16.5" customHeight="1">
      <c r="C1" s="324"/>
      <c r="J1" s="50"/>
      <c r="K1" s="50" t="s">
        <v>734</v>
      </c>
    </row>
    <row r="2" spans="3:11" s="22" customFormat="1" ht="16.5" customHeight="1">
      <c r="C2" s="324"/>
      <c r="H2" s="47"/>
      <c r="K2" s="22" t="s">
        <v>15</v>
      </c>
    </row>
    <row r="3" spans="3:11" s="22" customFormat="1" ht="16.5" customHeight="1">
      <c r="C3" s="325" t="s">
        <v>737</v>
      </c>
      <c r="G3" s="47"/>
      <c r="H3" s="47"/>
      <c r="K3" s="22" t="s">
        <v>337</v>
      </c>
    </row>
    <row r="4" spans="3:11" s="22" customFormat="1" ht="16.5" customHeight="1">
      <c r="C4" s="324"/>
      <c r="G4" s="47"/>
      <c r="K4" s="22" t="s">
        <v>787</v>
      </c>
    </row>
    <row r="5" spans="2:12" s="22" customFormat="1" ht="16.5" customHeight="1" thickBot="1">
      <c r="B5" s="240"/>
      <c r="C5" s="324"/>
      <c r="G5" s="47"/>
      <c r="K5" s="130"/>
      <c r="L5" s="326" t="s">
        <v>338</v>
      </c>
    </row>
    <row r="6" spans="1:12" s="22" customFormat="1" ht="42" customHeight="1" thickBot="1" thickTop="1">
      <c r="A6" s="327"/>
      <c r="B6" s="327"/>
      <c r="C6" s="328"/>
      <c r="D6" s="1631" t="s">
        <v>738</v>
      </c>
      <c r="E6" s="1633" t="s">
        <v>739</v>
      </c>
      <c r="F6" s="1634"/>
      <c r="G6" s="1635"/>
      <c r="H6" s="329"/>
      <c r="I6" s="330" t="s">
        <v>340</v>
      </c>
      <c r="J6" s="1633" t="s">
        <v>739</v>
      </c>
      <c r="K6" s="1634"/>
      <c r="L6" s="1635"/>
    </row>
    <row r="7" spans="1:12" s="22" customFormat="1" ht="67.5" customHeight="1" thickBot="1" thickTop="1">
      <c r="A7" s="331" t="s">
        <v>389</v>
      </c>
      <c r="B7" s="332" t="s">
        <v>740</v>
      </c>
      <c r="C7" s="332" t="s">
        <v>741</v>
      </c>
      <c r="D7" s="1632"/>
      <c r="E7" s="118" t="s">
        <v>742</v>
      </c>
      <c r="F7" s="118" t="s">
        <v>743</v>
      </c>
      <c r="G7" s="118" t="s">
        <v>744</v>
      </c>
      <c r="H7" s="333" t="s">
        <v>405</v>
      </c>
      <c r="I7" s="332" t="s">
        <v>745</v>
      </c>
      <c r="J7" s="118" t="s">
        <v>742</v>
      </c>
      <c r="K7" s="118" t="s">
        <v>743</v>
      </c>
      <c r="L7" s="118" t="s">
        <v>744</v>
      </c>
    </row>
    <row r="8" spans="1:12" s="18" customFormat="1" ht="18" customHeight="1" thickBot="1" thickTop="1">
      <c r="A8" s="334">
        <v>1</v>
      </c>
      <c r="B8" s="334">
        <v>2</v>
      </c>
      <c r="C8" s="335">
        <v>3</v>
      </c>
      <c r="D8" s="334">
        <v>4</v>
      </c>
      <c r="E8" s="334">
        <v>5</v>
      </c>
      <c r="F8" s="336">
        <v>6</v>
      </c>
      <c r="G8" s="334">
        <v>7</v>
      </c>
      <c r="H8" s="334">
        <v>8</v>
      </c>
      <c r="I8" s="334">
        <v>9</v>
      </c>
      <c r="J8" s="334">
        <v>10</v>
      </c>
      <c r="K8" s="336">
        <v>11</v>
      </c>
      <c r="L8" s="336">
        <v>12</v>
      </c>
    </row>
    <row r="9" spans="1:14" s="243" customFormat="1" ht="21" customHeight="1" thickBot="1" thickTop="1">
      <c r="A9" s="337"/>
      <c r="B9" s="337"/>
      <c r="C9" s="338" t="s">
        <v>746</v>
      </c>
      <c r="D9" s="339">
        <f>E9+F9+G9</f>
        <v>202536803</v>
      </c>
      <c r="E9" s="339">
        <v>142690531</v>
      </c>
      <c r="F9" s="339">
        <v>52549805</v>
      </c>
      <c r="G9" s="339">
        <v>7296467</v>
      </c>
      <c r="H9" s="340">
        <f>H11+H61+H62</f>
        <v>1736060</v>
      </c>
      <c r="I9" s="341">
        <f>D9+H9</f>
        <v>204272863</v>
      </c>
      <c r="J9" s="342">
        <f>E9+H16+H18+H19+H20+H21+H27+H30+H34+H45+H50+H57+35550-504800-110</f>
        <v>141677371</v>
      </c>
      <c r="K9" s="342">
        <f>F9+481650+723400-330</f>
        <v>53754525</v>
      </c>
      <c r="L9" s="342">
        <f>G9+H17</f>
        <v>8840967</v>
      </c>
      <c r="M9" s="343"/>
      <c r="N9" s="52"/>
    </row>
    <row r="10" spans="1:13" s="133" customFormat="1" ht="12.75" customHeight="1">
      <c r="A10" s="67"/>
      <c r="B10" s="67"/>
      <c r="C10" s="344" t="s">
        <v>358</v>
      </c>
      <c r="D10" s="213"/>
      <c r="E10" s="213"/>
      <c r="F10" s="213"/>
      <c r="G10" s="345"/>
      <c r="H10" s="346"/>
      <c r="I10" s="347"/>
      <c r="J10" s="348"/>
      <c r="K10" s="348"/>
      <c r="L10" s="349"/>
      <c r="M10" s="343"/>
    </row>
    <row r="11" spans="1:14" ht="21" customHeight="1" thickBot="1">
      <c r="A11" s="398"/>
      <c r="B11" s="398"/>
      <c r="C11" s="252" t="s">
        <v>360</v>
      </c>
      <c r="D11" s="192">
        <f>E11+F11+G11</f>
        <v>200918240</v>
      </c>
      <c r="E11" s="350">
        <v>142110221</v>
      </c>
      <c r="F11" s="350">
        <v>52543508</v>
      </c>
      <c r="G11" s="350">
        <v>6264511</v>
      </c>
      <c r="H11" s="351">
        <f>H12+H24+H27+H30+H34+H45+H50+H57</f>
        <v>1736060</v>
      </c>
      <c r="I11" s="352">
        <f>D11+H11</f>
        <v>202654300</v>
      </c>
      <c r="J11" s="353">
        <f>E11+H16+H18+H19+H20+H21+H27+H30+H34+H45+H50+H57+35550-504800-110</f>
        <v>141097061</v>
      </c>
      <c r="K11" s="353">
        <f>F11+481650+723400-330</f>
        <v>53748228</v>
      </c>
      <c r="L11" s="354">
        <f>G11+H17</f>
        <v>7809011</v>
      </c>
      <c r="M11" s="343"/>
      <c r="N11" s="52"/>
    </row>
    <row r="12" spans="1:14" s="240" customFormat="1" ht="19.5" customHeight="1" thickBot="1" thickTop="1">
      <c r="A12" s="355">
        <v>600</v>
      </c>
      <c r="B12" s="355"/>
      <c r="C12" s="356" t="s">
        <v>364</v>
      </c>
      <c r="D12" s="357">
        <f aca="true" t="shared" si="0" ref="D12:D62">E12+F12+G12</f>
        <v>91094201</v>
      </c>
      <c r="E12" s="357">
        <v>49778462</v>
      </c>
      <c r="F12" s="357">
        <v>39815739</v>
      </c>
      <c r="G12" s="357">
        <v>1500000</v>
      </c>
      <c r="H12" s="358">
        <f>H13+H21</f>
        <v>1740500</v>
      </c>
      <c r="I12" s="359">
        <f aca="true" t="shared" si="1" ref="I12:I62">D12+H12</f>
        <v>92834701</v>
      </c>
      <c r="J12" s="360">
        <f>E12+H21+H20+H19+H18+H16+35550-504800</f>
        <v>48769412</v>
      </c>
      <c r="K12" s="360">
        <f>F12+481650+723400</f>
        <v>41020789</v>
      </c>
      <c r="L12" s="361">
        <f>G12+H17</f>
        <v>3044500</v>
      </c>
      <c r="M12" s="124"/>
      <c r="N12" s="124"/>
    </row>
    <row r="13" spans="1:14" s="240" customFormat="1" ht="29.25" customHeight="1">
      <c r="A13" s="362"/>
      <c r="B13" s="363">
        <v>60015</v>
      </c>
      <c r="C13" s="577" t="s">
        <v>712</v>
      </c>
      <c r="D13" s="364">
        <f t="shared" si="0"/>
        <v>76992141</v>
      </c>
      <c r="E13" s="364">
        <v>36573447</v>
      </c>
      <c r="F13" s="364">
        <v>38918694</v>
      </c>
      <c r="G13" s="364">
        <v>1500000</v>
      </c>
      <c r="H13" s="365">
        <f>H14+H15+H16+H17+H18+H19+H20</f>
        <v>1740500</v>
      </c>
      <c r="I13" s="366">
        <f t="shared" si="1"/>
        <v>78732641</v>
      </c>
      <c r="J13" s="367">
        <f>E13+H20+H19+H18+H16+35550-504800</f>
        <v>35564397</v>
      </c>
      <c r="K13" s="367">
        <f>F13+481650+723400</f>
        <v>40123744</v>
      </c>
      <c r="L13" s="368">
        <f>G13+H17</f>
        <v>3044500</v>
      </c>
      <c r="M13" s="124"/>
      <c r="N13" s="124"/>
    </row>
    <row r="14" spans="1:14" s="240" customFormat="1" ht="38.25">
      <c r="A14" s="362"/>
      <c r="B14" s="715"/>
      <c r="C14" s="1117" t="s">
        <v>561</v>
      </c>
      <c r="D14" s="718">
        <f t="shared" si="0"/>
        <v>127000</v>
      </c>
      <c r="E14" s="718">
        <v>127000</v>
      </c>
      <c r="F14" s="718"/>
      <c r="G14" s="718"/>
      <c r="H14" s="719">
        <f>-125000+481650+160550</f>
        <v>517200</v>
      </c>
      <c r="I14" s="720">
        <f t="shared" si="1"/>
        <v>644200</v>
      </c>
      <c r="J14" s="717">
        <f>-125000+160550+E14</f>
        <v>162550</v>
      </c>
      <c r="K14" s="717">
        <f>481650+F14</f>
        <v>481650</v>
      </c>
      <c r="L14" s="721"/>
      <c r="M14" s="124"/>
      <c r="N14" s="124"/>
    </row>
    <row r="15" spans="1:14" s="22" customFormat="1" ht="38.25">
      <c r="A15" s="362"/>
      <c r="B15" s="369"/>
      <c r="C15" s="1117" t="s">
        <v>390</v>
      </c>
      <c r="D15" s="1217">
        <f t="shared" si="0"/>
        <v>748000</v>
      </c>
      <c r="E15" s="1217">
        <v>748000</v>
      </c>
      <c r="F15" s="1217"/>
      <c r="G15" s="1217"/>
      <c r="H15" s="1218">
        <f>-746000+723400+241200</f>
        <v>218600</v>
      </c>
      <c r="I15" s="1219">
        <f t="shared" si="1"/>
        <v>966600</v>
      </c>
      <c r="J15" s="1216">
        <f>-746000+241200+E15</f>
        <v>243200</v>
      </c>
      <c r="K15" s="1216">
        <f>723400+F15</f>
        <v>723400</v>
      </c>
      <c r="L15" s="1220"/>
      <c r="M15" s="47"/>
      <c r="N15" s="47"/>
    </row>
    <row r="16" spans="1:14" s="22" customFormat="1" ht="38.25">
      <c r="A16" s="362"/>
      <c r="B16" s="369"/>
      <c r="C16" s="1117" t="s">
        <v>204</v>
      </c>
      <c r="D16" s="679">
        <f t="shared" si="0"/>
        <v>560000</v>
      </c>
      <c r="E16" s="679">
        <v>560000</v>
      </c>
      <c r="F16" s="679"/>
      <c r="G16" s="679"/>
      <c r="H16" s="680">
        <v>-517200</v>
      </c>
      <c r="I16" s="681">
        <f t="shared" si="1"/>
        <v>42800</v>
      </c>
      <c r="J16" s="678">
        <f aca="true" t="shared" si="2" ref="J16:J23">E16+H16</f>
        <v>42800</v>
      </c>
      <c r="K16" s="678"/>
      <c r="L16" s="682"/>
      <c r="M16" s="47"/>
      <c r="N16" s="47"/>
    </row>
    <row r="17" spans="1:14" s="22" customFormat="1" ht="20.25" customHeight="1">
      <c r="A17" s="362"/>
      <c r="B17" s="369"/>
      <c r="C17" s="1117" t="s">
        <v>785</v>
      </c>
      <c r="D17" s="679"/>
      <c r="E17" s="679"/>
      <c r="F17" s="679"/>
      <c r="G17" s="679"/>
      <c r="H17" s="1363">
        <v>1544500</v>
      </c>
      <c r="I17" s="681">
        <f t="shared" si="1"/>
        <v>1544500</v>
      </c>
      <c r="J17" s="678"/>
      <c r="K17" s="678"/>
      <c r="L17" s="682">
        <f>G17+H17</f>
        <v>1544500</v>
      </c>
      <c r="M17" s="47"/>
      <c r="N17" s="47"/>
    </row>
    <row r="18" spans="1:14" s="240" customFormat="1" ht="25.5">
      <c r="A18" s="362"/>
      <c r="B18" s="715"/>
      <c r="C18" s="1231" t="s">
        <v>796</v>
      </c>
      <c r="D18" s="1232">
        <f t="shared" si="0"/>
        <v>2350000</v>
      </c>
      <c r="E18" s="1232">
        <v>2350000</v>
      </c>
      <c r="F18" s="1232"/>
      <c r="G18" s="1232"/>
      <c r="H18" s="1233">
        <v>90000</v>
      </c>
      <c r="I18" s="1234">
        <f t="shared" si="1"/>
        <v>2440000</v>
      </c>
      <c r="J18" s="1235">
        <f t="shared" si="2"/>
        <v>2440000</v>
      </c>
      <c r="K18" s="1235"/>
      <c r="L18" s="1236"/>
      <c r="M18" s="124"/>
      <c r="N18" s="124"/>
    </row>
    <row r="19" spans="1:14" s="22" customFormat="1" ht="25.5">
      <c r="A19" s="362"/>
      <c r="B19" s="369"/>
      <c r="C19" s="1117" t="s">
        <v>797</v>
      </c>
      <c r="D19" s="1217">
        <f t="shared" si="0"/>
        <v>350000</v>
      </c>
      <c r="E19" s="1217">
        <v>350000</v>
      </c>
      <c r="F19" s="1217"/>
      <c r="G19" s="1217"/>
      <c r="H19" s="1218">
        <v>106000</v>
      </c>
      <c r="I19" s="1219">
        <f t="shared" si="1"/>
        <v>456000</v>
      </c>
      <c r="J19" s="1216">
        <f t="shared" si="2"/>
        <v>456000</v>
      </c>
      <c r="K19" s="1216"/>
      <c r="L19" s="1220"/>
      <c r="M19" s="47"/>
      <c r="N19" s="47"/>
    </row>
    <row r="20" spans="1:14" s="22" customFormat="1" ht="21" customHeight="1">
      <c r="A20" s="362"/>
      <c r="B20" s="369"/>
      <c r="C20" s="1118" t="s">
        <v>832</v>
      </c>
      <c r="D20" s="401">
        <f t="shared" si="0"/>
        <v>500000</v>
      </c>
      <c r="E20" s="401">
        <v>500000</v>
      </c>
      <c r="F20" s="401"/>
      <c r="G20" s="401"/>
      <c r="H20" s="402">
        <v>-218600</v>
      </c>
      <c r="I20" s="701">
        <f t="shared" si="1"/>
        <v>281400</v>
      </c>
      <c r="J20" s="370">
        <f t="shared" si="2"/>
        <v>281400</v>
      </c>
      <c r="K20" s="370"/>
      <c r="L20" s="403"/>
      <c r="M20" s="47"/>
      <c r="N20" s="47"/>
    </row>
    <row r="21" spans="1:14" s="240" customFormat="1" ht="21" customHeight="1">
      <c r="A21" s="362"/>
      <c r="B21" s="363">
        <v>60016</v>
      </c>
      <c r="C21" s="90" t="s">
        <v>755</v>
      </c>
      <c r="D21" s="364">
        <f t="shared" si="0"/>
        <v>6588000</v>
      </c>
      <c r="E21" s="364">
        <f>6558000+30000</f>
        <v>6588000</v>
      </c>
      <c r="F21" s="364"/>
      <c r="G21" s="364"/>
      <c r="H21" s="365">
        <f>H22+H23</f>
        <v>0</v>
      </c>
      <c r="I21" s="366">
        <f t="shared" si="1"/>
        <v>6588000</v>
      </c>
      <c r="J21" s="367">
        <f t="shared" si="2"/>
        <v>6588000</v>
      </c>
      <c r="K21" s="367"/>
      <c r="L21" s="368"/>
      <c r="M21" s="124"/>
      <c r="N21" s="124"/>
    </row>
    <row r="22" spans="1:14" s="240" customFormat="1" ht="18" customHeight="1">
      <c r="A22" s="362"/>
      <c r="B22" s="715"/>
      <c r="C22" s="1022" t="s">
        <v>490</v>
      </c>
      <c r="D22" s="1023">
        <f t="shared" si="0"/>
        <v>200000</v>
      </c>
      <c r="E22" s="1023">
        <v>200000</v>
      </c>
      <c r="F22" s="1023"/>
      <c r="G22" s="1023"/>
      <c r="H22" s="1024">
        <v>-150000</v>
      </c>
      <c r="I22" s="1025">
        <f t="shared" si="1"/>
        <v>50000</v>
      </c>
      <c r="J22" s="1022">
        <f t="shared" si="2"/>
        <v>50000</v>
      </c>
      <c r="K22" s="1022"/>
      <c r="L22" s="1026"/>
      <c r="M22" s="124"/>
      <c r="N22" s="124"/>
    </row>
    <row r="23" spans="1:14" s="240" customFormat="1" ht="26.25" customHeight="1">
      <c r="A23" s="362"/>
      <c r="B23" s="715"/>
      <c r="C23" s="1027" t="s">
        <v>31</v>
      </c>
      <c r="D23" s="1028">
        <f t="shared" si="0"/>
        <v>3788000</v>
      </c>
      <c r="E23" s="1028">
        <v>3788000</v>
      </c>
      <c r="F23" s="1028"/>
      <c r="G23" s="1028"/>
      <c r="H23" s="1029">
        <v>150000</v>
      </c>
      <c r="I23" s="1030">
        <f t="shared" si="1"/>
        <v>3938000</v>
      </c>
      <c r="J23" s="1027">
        <f t="shared" si="2"/>
        <v>3938000</v>
      </c>
      <c r="K23" s="1027"/>
      <c r="L23" s="1031"/>
      <c r="M23" s="124"/>
      <c r="N23" s="124"/>
    </row>
    <row r="24" spans="1:14" s="240" customFormat="1" ht="19.5" customHeight="1" thickBot="1">
      <c r="A24" s="355">
        <v>630</v>
      </c>
      <c r="B24" s="355"/>
      <c r="C24" s="356" t="s">
        <v>811</v>
      </c>
      <c r="D24" s="357">
        <f t="shared" si="0"/>
        <v>528656</v>
      </c>
      <c r="E24" s="357">
        <v>146189</v>
      </c>
      <c r="F24" s="357">
        <v>382467</v>
      </c>
      <c r="G24" s="357"/>
      <c r="H24" s="358">
        <f>H25</f>
        <v>-440</v>
      </c>
      <c r="I24" s="359">
        <f t="shared" si="1"/>
        <v>528216</v>
      </c>
      <c r="J24" s="360">
        <f>E24-110</f>
        <v>146079</v>
      </c>
      <c r="K24" s="360">
        <f>F24-330</f>
        <v>382137</v>
      </c>
      <c r="L24" s="361"/>
      <c r="M24" s="124"/>
      <c r="N24" s="124"/>
    </row>
    <row r="25" spans="1:14" s="240" customFormat="1" ht="21" customHeight="1">
      <c r="A25" s="362"/>
      <c r="B25" s="363">
        <v>63003</v>
      </c>
      <c r="C25" s="159" t="s">
        <v>812</v>
      </c>
      <c r="D25" s="468">
        <f t="shared" si="0"/>
        <v>528656</v>
      </c>
      <c r="E25" s="468">
        <v>146189</v>
      </c>
      <c r="F25" s="468">
        <v>382467</v>
      </c>
      <c r="G25" s="468"/>
      <c r="H25" s="469">
        <f>H26</f>
        <v>-440</v>
      </c>
      <c r="I25" s="470">
        <f t="shared" si="1"/>
        <v>528216</v>
      </c>
      <c r="J25" s="471">
        <f>E25-110</f>
        <v>146079</v>
      </c>
      <c r="K25" s="471">
        <f>F25-330</f>
        <v>382137</v>
      </c>
      <c r="L25" s="472"/>
      <c r="M25" s="124"/>
      <c r="N25" s="124"/>
    </row>
    <row r="26" spans="1:14" s="273" customFormat="1" ht="25.5">
      <c r="A26" s="404"/>
      <c r="B26" s="405"/>
      <c r="C26" s="988" t="s">
        <v>69</v>
      </c>
      <c r="D26" s="985">
        <f t="shared" si="0"/>
        <v>528656</v>
      </c>
      <c r="E26" s="985">
        <v>146189</v>
      </c>
      <c r="F26" s="985">
        <v>382467</v>
      </c>
      <c r="G26" s="985"/>
      <c r="H26" s="986">
        <v>-440</v>
      </c>
      <c r="I26" s="987">
        <f>D26+H26</f>
        <v>528216</v>
      </c>
      <c r="J26" s="988">
        <f>E26-110</f>
        <v>146079</v>
      </c>
      <c r="K26" s="988">
        <f>F26-330</f>
        <v>382137</v>
      </c>
      <c r="L26" s="989"/>
      <c r="M26" s="406"/>
      <c r="N26" s="406"/>
    </row>
    <row r="27" spans="1:14" s="240" customFormat="1" ht="21.75" customHeight="1" thickBot="1">
      <c r="A27" s="355">
        <v>750</v>
      </c>
      <c r="B27" s="355"/>
      <c r="C27" s="356" t="s">
        <v>371</v>
      </c>
      <c r="D27" s="357">
        <f t="shared" si="0"/>
        <v>6239915</v>
      </c>
      <c r="E27" s="357">
        <v>5264220</v>
      </c>
      <c r="F27" s="357">
        <v>973145</v>
      </c>
      <c r="G27" s="357">
        <v>2550</v>
      </c>
      <c r="H27" s="358">
        <f>H28</f>
        <v>18800</v>
      </c>
      <c r="I27" s="359">
        <f>D27+H27</f>
        <v>6258715</v>
      </c>
      <c r="J27" s="360">
        <f aca="true" t="shared" si="3" ref="J27:J60">E27+H27</f>
        <v>5283020</v>
      </c>
      <c r="K27" s="360">
        <f>F27</f>
        <v>973145</v>
      </c>
      <c r="L27" s="361">
        <f>G27</f>
        <v>2550</v>
      </c>
      <c r="M27" s="124"/>
      <c r="N27" s="124"/>
    </row>
    <row r="28" spans="1:14" s="240" customFormat="1" ht="21" customHeight="1">
      <c r="A28" s="362"/>
      <c r="B28" s="363">
        <v>75023</v>
      </c>
      <c r="C28" s="159" t="s">
        <v>386</v>
      </c>
      <c r="D28" s="364">
        <f t="shared" si="0"/>
        <v>6229715</v>
      </c>
      <c r="E28" s="364">
        <v>5264220</v>
      </c>
      <c r="F28" s="364">
        <v>965495</v>
      </c>
      <c r="G28" s="364"/>
      <c r="H28" s="365">
        <f>H29</f>
        <v>18800</v>
      </c>
      <c r="I28" s="366">
        <f t="shared" si="1"/>
        <v>6248515</v>
      </c>
      <c r="J28" s="367">
        <f t="shared" si="3"/>
        <v>5283020</v>
      </c>
      <c r="K28" s="367">
        <f>F28</f>
        <v>965495</v>
      </c>
      <c r="L28" s="368"/>
      <c r="M28" s="124"/>
      <c r="N28" s="124"/>
    </row>
    <row r="29" spans="1:14" s="22" customFormat="1" ht="20.25" customHeight="1">
      <c r="A29" s="699"/>
      <c r="B29" s="700"/>
      <c r="C29" s="611" t="s">
        <v>747</v>
      </c>
      <c r="D29" s="569">
        <f t="shared" si="0"/>
        <v>949980</v>
      </c>
      <c r="E29" s="569">
        <v>949980</v>
      </c>
      <c r="F29" s="569"/>
      <c r="G29" s="569"/>
      <c r="H29" s="570">
        <v>18800</v>
      </c>
      <c r="I29" s="571">
        <f>D29+H29</f>
        <v>968780</v>
      </c>
      <c r="J29" s="572">
        <f t="shared" si="3"/>
        <v>968780</v>
      </c>
      <c r="K29" s="572"/>
      <c r="L29" s="573"/>
      <c r="M29" s="47"/>
      <c r="N29" s="47"/>
    </row>
    <row r="30" spans="1:14" s="240" customFormat="1" ht="29.25" customHeight="1" thickBot="1">
      <c r="A30" s="671">
        <v>754</v>
      </c>
      <c r="B30" s="671"/>
      <c r="C30" s="672" t="s">
        <v>361</v>
      </c>
      <c r="D30" s="673">
        <f t="shared" si="0"/>
        <v>1280014</v>
      </c>
      <c r="E30" s="673">
        <v>1280014</v>
      </c>
      <c r="F30" s="673"/>
      <c r="G30" s="673"/>
      <c r="H30" s="674">
        <f>H31</f>
        <v>46000</v>
      </c>
      <c r="I30" s="675">
        <f>D30+H30</f>
        <v>1326014</v>
      </c>
      <c r="J30" s="676">
        <f t="shared" si="3"/>
        <v>1326014</v>
      </c>
      <c r="K30" s="676"/>
      <c r="L30" s="677"/>
      <c r="M30" s="124"/>
      <c r="N30" s="124"/>
    </row>
    <row r="31" spans="1:14" s="240" customFormat="1" ht="21" customHeight="1">
      <c r="A31" s="362"/>
      <c r="B31" s="1067">
        <v>75495</v>
      </c>
      <c r="C31" s="90" t="s">
        <v>366</v>
      </c>
      <c r="D31" s="981">
        <f t="shared" si="0"/>
        <v>792000</v>
      </c>
      <c r="E31" s="981">
        <v>792000</v>
      </c>
      <c r="F31" s="981"/>
      <c r="G31" s="981"/>
      <c r="H31" s="982">
        <f>H32+H33</f>
        <v>46000</v>
      </c>
      <c r="I31" s="983">
        <f t="shared" si="1"/>
        <v>838000</v>
      </c>
      <c r="J31" s="577">
        <f t="shared" si="3"/>
        <v>838000</v>
      </c>
      <c r="K31" s="577"/>
      <c r="L31" s="984"/>
      <c r="M31" s="124"/>
      <c r="N31" s="124"/>
    </row>
    <row r="32" spans="1:14" s="1115" customFormat="1" ht="25.5">
      <c r="A32" s="1112"/>
      <c r="B32" s="1113"/>
      <c r="C32" s="988" t="s">
        <v>325</v>
      </c>
      <c r="D32" s="985">
        <f t="shared" si="0"/>
        <v>110000</v>
      </c>
      <c r="E32" s="985">
        <v>110000</v>
      </c>
      <c r="F32" s="985"/>
      <c r="G32" s="985"/>
      <c r="H32" s="986">
        <v>40000</v>
      </c>
      <c r="I32" s="987">
        <f t="shared" si="1"/>
        <v>150000</v>
      </c>
      <c r="J32" s="988">
        <f t="shared" si="3"/>
        <v>150000</v>
      </c>
      <c r="K32" s="988"/>
      <c r="L32" s="989"/>
      <c r="M32" s="1114"/>
      <c r="N32" s="1114"/>
    </row>
    <row r="33" spans="1:14" s="22" customFormat="1" ht="25.5">
      <c r="A33" s="362"/>
      <c r="B33" s="369"/>
      <c r="C33" s="370" t="s">
        <v>792</v>
      </c>
      <c r="D33" s="370">
        <f t="shared" si="0"/>
        <v>5000</v>
      </c>
      <c r="E33" s="370">
        <v>5000</v>
      </c>
      <c r="F33" s="370"/>
      <c r="G33" s="401"/>
      <c r="H33" s="402">
        <v>6000</v>
      </c>
      <c r="I33" s="403">
        <f t="shared" si="1"/>
        <v>11000</v>
      </c>
      <c r="J33" s="370">
        <f t="shared" si="3"/>
        <v>11000</v>
      </c>
      <c r="K33" s="370"/>
      <c r="L33" s="370"/>
      <c r="M33" s="47"/>
      <c r="N33" s="47"/>
    </row>
    <row r="34" spans="1:14" s="240" customFormat="1" ht="19.5" customHeight="1" thickBot="1">
      <c r="A34" s="355">
        <v>801</v>
      </c>
      <c r="B34" s="355"/>
      <c r="C34" s="356" t="s">
        <v>367</v>
      </c>
      <c r="D34" s="357">
        <f t="shared" si="0"/>
        <v>29744268</v>
      </c>
      <c r="E34" s="357">
        <v>28844277</v>
      </c>
      <c r="F34" s="357"/>
      <c r="G34" s="357">
        <v>899991</v>
      </c>
      <c r="H34" s="358">
        <f>H35+H40+H42</f>
        <v>-216800</v>
      </c>
      <c r="I34" s="359">
        <f t="shared" si="1"/>
        <v>29527468</v>
      </c>
      <c r="J34" s="360">
        <f t="shared" si="3"/>
        <v>28627477</v>
      </c>
      <c r="K34" s="360"/>
      <c r="L34" s="361">
        <f>G34</f>
        <v>899991</v>
      </c>
      <c r="M34" s="124"/>
      <c r="N34" s="124"/>
    </row>
    <row r="35" spans="1:14" s="240" customFormat="1" ht="18.75" customHeight="1">
      <c r="A35" s="362"/>
      <c r="B35" s="363">
        <v>80101</v>
      </c>
      <c r="C35" s="467" t="s">
        <v>706</v>
      </c>
      <c r="D35" s="468">
        <f t="shared" si="0"/>
        <v>16317143</v>
      </c>
      <c r="E35" s="468">
        <v>15417152</v>
      </c>
      <c r="F35" s="468"/>
      <c r="G35" s="468">
        <v>899991</v>
      </c>
      <c r="H35" s="469">
        <f>H36+H37+H38+H39</f>
        <v>-196800</v>
      </c>
      <c r="I35" s="470">
        <f t="shared" si="1"/>
        <v>16120343</v>
      </c>
      <c r="J35" s="471">
        <f t="shared" si="3"/>
        <v>15220352</v>
      </c>
      <c r="K35" s="471"/>
      <c r="L35" s="472">
        <f>G35</f>
        <v>899991</v>
      </c>
      <c r="M35" s="124"/>
      <c r="N35" s="124"/>
    </row>
    <row r="36" spans="1:14" s="22" customFormat="1" ht="18.75" customHeight="1">
      <c r="A36" s="362"/>
      <c r="B36" s="369"/>
      <c r="C36" s="1216" t="s">
        <v>559</v>
      </c>
      <c r="D36" s="1217">
        <f t="shared" si="0"/>
        <v>4200000</v>
      </c>
      <c r="E36" s="1217">
        <v>4200000</v>
      </c>
      <c r="F36" s="1217"/>
      <c r="G36" s="1217"/>
      <c r="H36" s="1218">
        <v>-130000</v>
      </c>
      <c r="I36" s="1219">
        <f t="shared" si="1"/>
        <v>4070000</v>
      </c>
      <c r="J36" s="993">
        <f t="shared" si="3"/>
        <v>4070000</v>
      </c>
      <c r="K36" s="1220"/>
      <c r="L36" s="1220"/>
      <c r="M36" s="47"/>
      <c r="N36" s="47"/>
    </row>
    <row r="37" spans="1:14" s="22" customFormat="1" ht="18.75" customHeight="1">
      <c r="A37" s="362"/>
      <c r="B37" s="369"/>
      <c r="C37" s="1032" t="s">
        <v>315</v>
      </c>
      <c r="D37" s="1033">
        <f t="shared" si="0"/>
        <v>200000</v>
      </c>
      <c r="E37" s="1033">
        <v>200000</v>
      </c>
      <c r="F37" s="1033"/>
      <c r="G37" s="1033"/>
      <c r="H37" s="1034">
        <f>-95000-64850</f>
        <v>-159850</v>
      </c>
      <c r="I37" s="1035">
        <f t="shared" si="1"/>
        <v>40150</v>
      </c>
      <c r="J37" s="1032">
        <f t="shared" si="3"/>
        <v>40150</v>
      </c>
      <c r="K37" s="1036"/>
      <c r="L37" s="1036"/>
      <c r="M37" s="47"/>
      <c r="N37" s="47"/>
    </row>
    <row r="38" spans="1:14" s="22" customFormat="1" ht="18.75" customHeight="1">
      <c r="A38" s="362"/>
      <c r="B38" s="369"/>
      <c r="C38" s="1032" t="s">
        <v>555</v>
      </c>
      <c r="D38" s="1033">
        <f t="shared" si="0"/>
        <v>4849991</v>
      </c>
      <c r="E38" s="1033">
        <v>4350000</v>
      </c>
      <c r="F38" s="1033"/>
      <c r="G38" s="1033">
        <v>499991</v>
      </c>
      <c r="H38" s="1034">
        <v>150000</v>
      </c>
      <c r="I38" s="1035">
        <f t="shared" si="1"/>
        <v>4999991</v>
      </c>
      <c r="J38" s="1032">
        <f t="shared" si="3"/>
        <v>4500000</v>
      </c>
      <c r="K38" s="1036"/>
      <c r="L38" s="1036">
        <f>G38</f>
        <v>499991</v>
      </c>
      <c r="M38" s="47"/>
      <c r="N38" s="47"/>
    </row>
    <row r="39" spans="1:14" s="22" customFormat="1" ht="18.75" customHeight="1">
      <c r="A39" s="362"/>
      <c r="B39" s="369"/>
      <c r="C39" s="1045" t="s">
        <v>860</v>
      </c>
      <c r="D39" s="679">
        <f t="shared" si="0"/>
        <v>2942152</v>
      </c>
      <c r="E39" s="679">
        <v>2942152</v>
      </c>
      <c r="F39" s="679"/>
      <c r="G39" s="679"/>
      <c r="H39" s="680">
        <v>-56950</v>
      </c>
      <c r="I39" s="681">
        <f t="shared" si="1"/>
        <v>2885202</v>
      </c>
      <c r="J39" s="678">
        <f t="shared" si="3"/>
        <v>2885202</v>
      </c>
      <c r="K39" s="682"/>
      <c r="L39" s="682"/>
      <c r="M39" s="47"/>
      <c r="N39" s="47"/>
    </row>
    <row r="40" spans="1:14" s="240" customFormat="1" ht="20.25" customHeight="1">
      <c r="A40" s="362"/>
      <c r="B40" s="363">
        <v>80120</v>
      </c>
      <c r="C40" s="159" t="s">
        <v>708</v>
      </c>
      <c r="D40" s="981">
        <f t="shared" si="0"/>
        <v>2122220</v>
      </c>
      <c r="E40" s="981">
        <v>2122220</v>
      </c>
      <c r="F40" s="981"/>
      <c r="G40" s="981"/>
      <c r="H40" s="982">
        <f>H41</f>
        <v>-200000</v>
      </c>
      <c r="I40" s="983">
        <f>D40+H40</f>
        <v>1922220</v>
      </c>
      <c r="J40" s="577">
        <f t="shared" si="3"/>
        <v>1922220</v>
      </c>
      <c r="K40" s="577"/>
      <c r="L40" s="984"/>
      <c r="M40" s="124"/>
      <c r="N40" s="124"/>
    </row>
    <row r="41" spans="1:14" s="22" customFormat="1" ht="38.25" customHeight="1">
      <c r="A41" s="362"/>
      <c r="B41" s="369"/>
      <c r="C41" s="611" t="s">
        <v>560</v>
      </c>
      <c r="D41" s="608">
        <f t="shared" si="0"/>
        <v>350000</v>
      </c>
      <c r="E41" s="608">
        <v>350000</v>
      </c>
      <c r="F41" s="608"/>
      <c r="G41" s="608"/>
      <c r="H41" s="609">
        <v>-200000</v>
      </c>
      <c r="I41" s="610">
        <f t="shared" si="1"/>
        <v>150000</v>
      </c>
      <c r="J41" s="611">
        <f t="shared" si="3"/>
        <v>150000</v>
      </c>
      <c r="K41" s="611"/>
      <c r="L41" s="612"/>
      <c r="M41" s="47"/>
      <c r="N41" s="47"/>
    </row>
    <row r="42" spans="1:14" s="240" customFormat="1" ht="18" customHeight="1">
      <c r="A42" s="362"/>
      <c r="B42" s="363">
        <v>80130</v>
      </c>
      <c r="C42" s="159" t="s">
        <v>414</v>
      </c>
      <c r="D42" s="981">
        <f t="shared" si="0"/>
        <v>7000190</v>
      </c>
      <c r="E42" s="981">
        <v>7000190</v>
      </c>
      <c r="F42" s="981"/>
      <c r="G42" s="981"/>
      <c r="H42" s="982">
        <f>H43+H44</f>
        <v>180000</v>
      </c>
      <c r="I42" s="983">
        <f t="shared" si="1"/>
        <v>7180190</v>
      </c>
      <c r="J42" s="577">
        <f t="shared" si="3"/>
        <v>7180190</v>
      </c>
      <c r="K42" s="577"/>
      <c r="L42" s="984"/>
      <c r="M42" s="124"/>
      <c r="N42" s="124"/>
    </row>
    <row r="43" spans="1:14" s="22" customFormat="1" ht="19.5" customHeight="1">
      <c r="A43" s="362"/>
      <c r="B43" s="369"/>
      <c r="C43" s="1216" t="s">
        <v>692</v>
      </c>
      <c r="D43" s="1217">
        <f t="shared" si="0"/>
        <v>3650000</v>
      </c>
      <c r="E43" s="1217">
        <v>3650000</v>
      </c>
      <c r="F43" s="1217"/>
      <c r="G43" s="1217"/>
      <c r="H43" s="1218">
        <v>130000</v>
      </c>
      <c r="I43" s="1219">
        <f t="shared" si="1"/>
        <v>3780000</v>
      </c>
      <c r="J43" s="1216">
        <f t="shared" si="3"/>
        <v>3780000</v>
      </c>
      <c r="K43" s="1216"/>
      <c r="L43" s="1220"/>
      <c r="M43" s="47"/>
      <c r="N43" s="47"/>
    </row>
    <row r="44" spans="1:14" s="22" customFormat="1" ht="19.5" customHeight="1">
      <c r="A44" s="362"/>
      <c r="B44" s="369"/>
      <c r="C44" s="370" t="s">
        <v>694</v>
      </c>
      <c r="D44" s="401">
        <f t="shared" si="0"/>
        <v>2300000</v>
      </c>
      <c r="E44" s="401">
        <v>2300000</v>
      </c>
      <c r="F44" s="401"/>
      <c r="G44" s="401"/>
      <c r="H44" s="402">
        <v>50000</v>
      </c>
      <c r="I44" s="701">
        <f t="shared" si="1"/>
        <v>2350000</v>
      </c>
      <c r="J44" s="370">
        <f t="shared" si="3"/>
        <v>2350000</v>
      </c>
      <c r="K44" s="370"/>
      <c r="L44" s="403"/>
      <c r="M44" s="47"/>
      <c r="N44" s="47"/>
    </row>
    <row r="45" spans="1:14" s="240" customFormat="1" ht="19.5" customHeight="1" thickBot="1">
      <c r="A45" s="355">
        <v>852</v>
      </c>
      <c r="B45" s="355"/>
      <c r="C45" s="356" t="s">
        <v>368</v>
      </c>
      <c r="D45" s="357">
        <f t="shared" si="0"/>
        <v>7437426</v>
      </c>
      <c r="E45" s="357">
        <v>5042556</v>
      </c>
      <c r="F45" s="357"/>
      <c r="G45" s="357">
        <v>2394870</v>
      </c>
      <c r="H45" s="358">
        <f>H46+H48</f>
        <v>48000</v>
      </c>
      <c r="I45" s="359">
        <f>D45+H45</f>
        <v>7485426</v>
      </c>
      <c r="J45" s="360">
        <f t="shared" si="3"/>
        <v>5090556</v>
      </c>
      <c r="K45" s="360"/>
      <c r="L45" s="361">
        <f aca="true" t="shared" si="4" ref="L45:L50">G45</f>
        <v>2394870</v>
      </c>
      <c r="M45" s="124"/>
      <c r="N45" s="124"/>
    </row>
    <row r="46" spans="1:14" s="240" customFormat="1" ht="21" customHeight="1">
      <c r="A46" s="362"/>
      <c r="B46" s="363">
        <v>85201</v>
      </c>
      <c r="C46" s="159" t="s">
        <v>849</v>
      </c>
      <c r="D46" s="468">
        <f t="shared" si="0"/>
        <v>2217223</v>
      </c>
      <c r="E46" s="468">
        <v>1421663</v>
      </c>
      <c r="F46" s="468"/>
      <c r="G46" s="468">
        <v>795560</v>
      </c>
      <c r="H46" s="469">
        <f>H47</f>
        <v>28000</v>
      </c>
      <c r="I46" s="470">
        <f t="shared" si="1"/>
        <v>2245223</v>
      </c>
      <c r="J46" s="471">
        <f t="shared" si="3"/>
        <v>1449663</v>
      </c>
      <c r="K46" s="471"/>
      <c r="L46" s="472">
        <f t="shared" si="4"/>
        <v>795560</v>
      </c>
      <c r="M46" s="124"/>
      <c r="N46" s="124"/>
    </row>
    <row r="47" spans="1:14" s="22" customFormat="1" ht="18" customHeight="1">
      <c r="A47" s="362"/>
      <c r="B47" s="369"/>
      <c r="C47" s="1045" t="s">
        <v>145</v>
      </c>
      <c r="D47" s="1055">
        <f t="shared" si="0"/>
        <v>1328323</v>
      </c>
      <c r="E47" s="1055">
        <v>591663</v>
      </c>
      <c r="F47" s="1055"/>
      <c r="G47" s="1055">
        <v>736660</v>
      </c>
      <c r="H47" s="1056">
        <v>28000</v>
      </c>
      <c r="I47" s="1057">
        <f t="shared" si="1"/>
        <v>1356323</v>
      </c>
      <c r="J47" s="1058">
        <f t="shared" si="3"/>
        <v>619663</v>
      </c>
      <c r="K47" s="1058"/>
      <c r="L47" s="1059">
        <f t="shared" si="4"/>
        <v>736660</v>
      </c>
      <c r="M47" s="47"/>
      <c r="N47" s="47"/>
    </row>
    <row r="48" spans="1:15" s="240" customFormat="1" ht="19.5" customHeight="1">
      <c r="A48" s="362"/>
      <c r="B48" s="363">
        <v>85202</v>
      </c>
      <c r="C48" s="159" t="s">
        <v>724</v>
      </c>
      <c r="D48" s="981">
        <f t="shared" si="0"/>
        <v>4789203</v>
      </c>
      <c r="E48" s="981">
        <v>3227393</v>
      </c>
      <c r="F48" s="981"/>
      <c r="G48" s="981">
        <v>1561810</v>
      </c>
      <c r="H48" s="982">
        <f>H49</f>
        <v>20000</v>
      </c>
      <c r="I48" s="983">
        <f t="shared" si="1"/>
        <v>4809203</v>
      </c>
      <c r="J48" s="577">
        <f t="shared" si="3"/>
        <v>3247393</v>
      </c>
      <c r="K48" s="577"/>
      <c r="L48" s="984">
        <f t="shared" si="4"/>
        <v>1561810</v>
      </c>
      <c r="M48" s="124"/>
      <c r="N48" s="124"/>
      <c r="O48" s="22"/>
    </row>
    <row r="49" spans="1:14" s="22" customFormat="1" ht="17.25" customHeight="1">
      <c r="A49" s="699"/>
      <c r="B49" s="700"/>
      <c r="C49" s="1046" t="s">
        <v>70</v>
      </c>
      <c r="D49" s="1047">
        <f t="shared" si="0"/>
        <v>552300</v>
      </c>
      <c r="E49" s="1047">
        <v>228890</v>
      </c>
      <c r="F49" s="1047"/>
      <c r="G49" s="1047">
        <v>323410</v>
      </c>
      <c r="H49" s="1048">
        <v>20000</v>
      </c>
      <c r="I49" s="1049">
        <f t="shared" si="1"/>
        <v>572300</v>
      </c>
      <c r="J49" s="1046">
        <f t="shared" si="3"/>
        <v>248890</v>
      </c>
      <c r="K49" s="1046"/>
      <c r="L49" s="1050">
        <f t="shared" si="4"/>
        <v>323410</v>
      </c>
      <c r="M49" s="47"/>
      <c r="N49" s="47"/>
    </row>
    <row r="50" spans="1:14" s="240" customFormat="1" ht="24" customHeight="1" thickBot="1">
      <c r="A50" s="671">
        <v>900</v>
      </c>
      <c r="B50" s="671"/>
      <c r="C50" s="672" t="s">
        <v>600</v>
      </c>
      <c r="D50" s="673">
        <f t="shared" si="0"/>
        <v>36743379</v>
      </c>
      <c r="E50" s="673">
        <f>27700769+3300000</f>
        <v>31000769</v>
      </c>
      <c r="F50" s="673">
        <v>5242610</v>
      </c>
      <c r="G50" s="673">
        <v>500000</v>
      </c>
      <c r="H50" s="674">
        <f>H51+H53</f>
        <v>100000</v>
      </c>
      <c r="I50" s="675">
        <f t="shared" si="1"/>
        <v>36843379</v>
      </c>
      <c r="J50" s="676">
        <f t="shared" si="3"/>
        <v>31100769</v>
      </c>
      <c r="K50" s="676">
        <f>F50</f>
        <v>5242610</v>
      </c>
      <c r="L50" s="677">
        <f t="shared" si="4"/>
        <v>500000</v>
      </c>
      <c r="M50" s="124"/>
      <c r="N50" s="124"/>
    </row>
    <row r="51" spans="1:14" s="22" customFormat="1" ht="19.5" customHeight="1">
      <c r="A51" s="362"/>
      <c r="B51" s="660">
        <v>90015</v>
      </c>
      <c r="C51" s="661" t="s">
        <v>774</v>
      </c>
      <c r="D51" s="662">
        <f t="shared" si="0"/>
        <v>350000</v>
      </c>
      <c r="E51" s="662">
        <v>350000</v>
      </c>
      <c r="F51" s="662"/>
      <c r="G51" s="662"/>
      <c r="H51" s="663">
        <f>H52</f>
        <v>100000</v>
      </c>
      <c r="I51" s="664">
        <f t="shared" si="1"/>
        <v>450000</v>
      </c>
      <c r="J51" s="665">
        <f t="shared" si="3"/>
        <v>450000</v>
      </c>
      <c r="K51" s="665"/>
      <c r="L51" s="666"/>
      <c r="M51" s="47"/>
      <c r="N51" s="47"/>
    </row>
    <row r="52" spans="1:14" s="22" customFormat="1" ht="16.5" customHeight="1">
      <c r="A52" s="362"/>
      <c r="B52" s="369"/>
      <c r="C52" s="611" t="s">
        <v>777</v>
      </c>
      <c r="D52" s="569">
        <f t="shared" si="0"/>
        <v>350000</v>
      </c>
      <c r="E52" s="569">
        <v>350000</v>
      </c>
      <c r="F52" s="569"/>
      <c r="G52" s="569"/>
      <c r="H52" s="570">
        <v>100000</v>
      </c>
      <c r="I52" s="571">
        <f>D52+H52</f>
        <v>450000</v>
      </c>
      <c r="J52" s="572">
        <f t="shared" si="3"/>
        <v>450000</v>
      </c>
      <c r="K52" s="572"/>
      <c r="L52" s="573"/>
      <c r="M52" s="47"/>
      <c r="N52" s="47"/>
    </row>
    <row r="53" spans="1:14" s="22" customFormat="1" ht="18" customHeight="1">
      <c r="A53" s="362"/>
      <c r="B53" s="660">
        <v>90095</v>
      </c>
      <c r="C53" s="661" t="s">
        <v>366</v>
      </c>
      <c r="D53" s="662">
        <f t="shared" si="0"/>
        <v>17071000</v>
      </c>
      <c r="E53" s="662">
        <f>15671000+900000</f>
        <v>16571000</v>
      </c>
      <c r="F53" s="662"/>
      <c r="G53" s="662">
        <v>500000</v>
      </c>
      <c r="H53" s="663">
        <f>H54+H55+H56</f>
        <v>0</v>
      </c>
      <c r="I53" s="664">
        <f>D53+H53</f>
        <v>17071000</v>
      </c>
      <c r="J53" s="665">
        <f t="shared" si="3"/>
        <v>16571000</v>
      </c>
      <c r="K53" s="665"/>
      <c r="L53" s="666">
        <f>G53</f>
        <v>500000</v>
      </c>
      <c r="M53" s="47"/>
      <c r="N53" s="47"/>
    </row>
    <row r="54" spans="1:14" s="22" customFormat="1" ht="28.5">
      <c r="A54" s="362"/>
      <c r="B54" s="369"/>
      <c r="C54" s="752" t="s">
        <v>32</v>
      </c>
      <c r="D54" s="990">
        <f t="shared" si="0"/>
        <v>6346000</v>
      </c>
      <c r="E54" s="990">
        <f>4946000+900000</f>
        <v>5846000</v>
      </c>
      <c r="F54" s="990"/>
      <c r="G54" s="990">
        <v>500000</v>
      </c>
      <c r="H54" s="991">
        <v>200000</v>
      </c>
      <c r="I54" s="992">
        <f t="shared" si="1"/>
        <v>6546000</v>
      </c>
      <c r="J54" s="993">
        <f t="shared" si="3"/>
        <v>6046000</v>
      </c>
      <c r="K54" s="993"/>
      <c r="L54" s="994">
        <f>G54</f>
        <v>500000</v>
      </c>
      <c r="M54" s="47"/>
      <c r="N54" s="47"/>
    </row>
    <row r="55" spans="1:14" s="22" customFormat="1" ht="28.5">
      <c r="A55" s="362"/>
      <c r="B55" s="369"/>
      <c r="C55" s="1221" t="s">
        <v>179</v>
      </c>
      <c r="D55" s="1033">
        <f t="shared" si="0"/>
        <v>2575000</v>
      </c>
      <c r="E55" s="1033">
        <v>2575000</v>
      </c>
      <c r="F55" s="1033"/>
      <c r="G55" s="1033"/>
      <c r="H55" s="1034">
        <v>40000</v>
      </c>
      <c r="I55" s="1222">
        <f t="shared" si="1"/>
        <v>2615000</v>
      </c>
      <c r="J55" s="1032">
        <f t="shared" si="3"/>
        <v>2615000</v>
      </c>
      <c r="K55" s="1032"/>
      <c r="L55" s="1036"/>
      <c r="M55" s="47"/>
      <c r="N55" s="47"/>
    </row>
    <row r="56" spans="1:14" s="22" customFormat="1" ht="17.25" customHeight="1">
      <c r="A56" s="362"/>
      <c r="B56" s="369"/>
      <c r="C56" s="1006" t="s">
        <v>832</v>
      </c>
      <c r="D56" s="401">
        <f t="shared" si="0"/>
        <v>1300000</v>
      </c>
      <c r="E56" s="401">
        <v>1300000</v>
      </c>
      <c r="F56" s="401"/>
      <c r="G56" s="401"/>
      <c r="H56" s="402">
        <v>-240000</v>
      </c>
      <c r="I56" s="1037">
        <f t="shared" si="1"/>
        <v>1060000</v>
      </c>
      <c r="J56" s="370">
        <f t="shared" si="3"/>
        <v>1060000</v>
      </c>
      <c r="K56" s="370"/>
      <c r="L56" s="403"/>
      <c r="M56" s="47"/>
      <c r="N56" s="47"/>
    </row>
    <row r="57" spans="1:14" s="240" customFormat="1" ht="17.25" customHeight="1" thickBot="1">
      <c r="A57" s="355">
        <v>926</v>
      </c>
      <c r="B57" s="355"/>
      <c r="C57" s="356" t="s">
        <v>804</v>
      </c>
      <c r="D57" s="357">
        <f t="shared" si="0"/>
        <v>14652114</v>
      </c>
      <c r="E57" s="357">
        <v>8526067</v>
      </c>
      <c r="F57" s="357">
        <v>6126047</v>
      </c>
      <c r="G57" s="357"/>
      <c r="H57" s="358">
        <f>H58</f>
        <v>0</v>
      </c>
      <c r="I57" s="359">
        <f t="shared" si="1"/>
        <v>14652114</v>
      </c>
      <c r="J57" s="360">
        <f t="shared" si="3"/>
        <v>8526067</v>
      </c>
      <c r="K57" s="360">
        <f>F57</f>
        <v>6126047</v>
      </c>
      <c r="L57" s="361"/>
      <c r="M57" s="124"/>
      <c r="N57" s="124"/>
    </row>
    <row r="58" spans="1:14" s="240" customFormat="1" ht="19.5" customHeight="1">
      <c r="A58" s="362"/>
      <c r="B58" s="363">
        <v>92605</v>
      </c>
      <c r="C58" s="159" t="s">
        <v>840</v>
      </c>
      <c r="D58" s="468">
        <f t="shared" si="0"/>
        <v>290000</v>
      </c>
      <c r="E58" s="468">
        <v>290000</v>
      </c>
      <c r="F58" s="468"/>
      <c r="G58" s="468"/>
      <c r="H58" s="469">
        <f>H59+H60</f>
        <v>0</v>
      </c>
      <c r="I58" s="470">
        <f t="shared" si="1"/>
        <v>290000</v>
      </c>
      <c r="J58" s="471">
        <f t="shared" si="3"/>
        <v>290000</v>
      </c>
      <c r="K58" s="471"/>
      <c r="L58" s="472"/>
      <c r="M58" s="124"/>
      <c r="N58" s="124"/>
    </row>
    <row r="59" spans="1:14" s="22" customFormat="1" ht="24" customHeight="1">
      <c r="A59" s="362"/>
      <c r="B59" s="369"/>
      <c r="C59" s="1045" t="s">
        <v>558</v>
      </c>
      <c r="D59" s="1055">
        <f t="shared" si="0"/>
        <v>70000</v>
      </c>
      <c r="E59" s="1055">
        <v>70000</v>
      </c>
      <c r="F59" s="1055"/>
      <c r="G59" s="1055"/>
      <c r="H59" s="1056">
        <v>-6500</v>
      </c>
      <c r="I59" s="1057">
        <f t="shared" si="1"/>
        <v>63500</v>
      </c>
      <c r="J59" s="1058">
        <f t="shared" si="3"/>
        <v>63500</v>
      </c>
      <c r="K59" s="1058"/>
      <c r="L59" s="1059"/>
      <c r="M59" s="47"/>
      <c r="N59" s="47"/>
    </row>
    <row r="60" spans="1:14" s="22" customFormat="1" ht="17.25" customHeight="1">
      <c r="A60" s="362"/>
      <c r="B60" s="369"/>
      <c r="C60" s="1044" t="s">
        <v>557</v>
      </c>
      <c r="D60" s="1047">
        <f t="shared" si="0"/>
        <v>220000</v>
      </c>
      <c r="E60" s="1047">
        <v>220000</v>
      </c>
      <c r="F60" s="1047"/>
      <c r="G60" s="1047"/>
      <c r="H60" s="1048">
        <v>6500</v>
      </c>
      <c r="I60" s="1049">
        <f>D60+H60</f>
        <v>226500</v>
      </c>
      <c r="J60" s="1046">
        <f t="shared" si="3"/>
        <v>226500</v>
      </c>
      <c r="K60" s="1046"/>
      <c r="L60" s="1050"/>
      <c r="M60" s="47"/>
      <c r="N60" s="47"/>
    </row>
    <row r="61" spans="1:14" s="947" customFormat="1" ht="30" customHeight="1" thickBot="1">
      <c r="A61" s="1060"/>
      <c r="B61" s="1061"/>
      <c r="C61" s="1062" t="s">
        <v>152</v>
      </c>
      <c r="D61" s="1063">
        <f t="shared" si="0"/>
        <v>1134563</v>
      </c>
      <c r="E61" s="1063">
        <v>580310</v>
      </c>
      <c r="F61" s="1063">
        <v>6297</v>
      </c>
      <c r="G61" s="1063">
        <v>547956</v>
      </c>
      <c r="H61" s="1064"/>
      <c r="I61" s="1065">
        <f t="shared" si="1"/>
        <v>1134563</v>
      </c>
      <c r="J61" s="1062">
        <f>E61</f>
        <v>580310</v>
      </c>
      <c r="K61" s="1062">
        <f>F61</f>
        <v>6297</v>
      </c>
      <c r="L61" s="1066">
        <f>G61</f>
        <v>547956</v>
      </c>
      <c r="M61" s="946"/>
      <c r="N61" s="946"/>
    </row>
    <row r="62" spans="1:12" s="372" customFormat="1" ht="18" customHeight="1" thickTop="1">
      <c r="A62" s="1571"/>
      <c r="B62" s="371"/>
      <c r="C62" s="1572" t="s">
        <v>748</v>
      </c>
      <c r="D62" s="1573">
        <f t="shared" si="0"/>
        <v>484000</v>
      </c>
      <c r="E62" s="1573"/>
      <c r="F62" s="1573"/>
      <c r="G62" s="1574">
        <v>484000</v>
      </c>
      <c r="H62" s="1575"/>
      <c r="I62" s="1576">
        <f t="shared" si="1"/>
        <v>484000</v>
      </c>
      <c r="J62" s="1573"/>
      <c r="K62" s="1573"/>
      <c r="L62" s="1573">
        <f>G62</f>
        <v>484000</v>
      </c>
    </row>
    <row r="63" s="372" customFormat="1" ht="30" customHeight="1">
      <c r="C63" s="373"/>
    </row>
    <row r="64" spans="2:12" s="635" customFormat="1" ht="19.5" customHeight="1">
      <c r="B64"/>
      <c r="C64" s="804" t="s">
        <v>172</v>
      </c>
      <c r="D64" s="634"/>
      <c r="E64" s="634"/>
      <c r="F64" s="634"/>
      <c r="G64" s="634"/>
      <c r="H64" s="634"/>
      <c r="I64" s="634"/>
      <c r="J64" s="804" t="s">
        <v>174</v>
      </c>
      <c r="K64" s="1671"/>
      <c r="L64" s="1672"/>
    </row>
    <row r="65" spans="3:12" ht="17.25" customHeight="1">
      <c r="C65" s="811" t="s">
        <v>173</v>
      </c>
      <c r="J65" s="811" t="s">
        <v>175</v>
      </c>
      <c r="K65" s="1671"/>
      <c r="L65" s="1671"/>
    </row>
    <row r="66" ht="12.75">
      <c r="B66" t="s">
        <v>71</v>
      </c>
    </row>
  </sheetData>
  <mergeCells count="3">
    <mergeCell ref="D6:D7"/>
    <mergeCell ref="E6:G6"/>
    <mergeCell ref="J6:L6"/>
  </mergeCells>
  <printOptions horizontalCentered="1"/>
  <pageMargins left="0.3937007874015748" right="0.3937007874015748" top="0.4330708661417323" bottom="0.3937007874015748" header="0.31496062992125984" footer="0.1968503937007874"/>
  <pageSetup firstPageNumber="17" useFirstPageNumber="1" horizontalDpi="300" verticalDpi="300" orientation="landscape" paperSize="9" scale="72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4"/>
  <sheetViews>
    <sheetView zoomScale="75" zoomScaleNormal="75" workbookViewId="0" topLeftCell="A4">
      <selection activeCell="AA20" sqref="AA20:AE21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39.625" style="374" customWidth="1"/>
    <col min="4" max="4" width="37.75390625" style="374" customWidth="1"/>
    <col min="5" max="5" width="16.875" style="374" customWidth="1"/>
    <col min="6" max="6" width="13.25390625" style="640" customWidth="1"/>
    <col min="7" max="7" width="16.875" style="640" customWidth="1"/>
    <col min="8" max="8" width="16.75390625" style="640" customWidth="1"/>
    <col min="9" max="9" width="16.625" style="0" customWidth="1"/>
    <col min="10" max="10" width="16.375" style="0" customWidth="1"/>
    <col min="11" max="11" width="15.875" style="0" customWidth="1"/>
    <col min="12" max="12" width="17.125" style="0" customWidth="1"/>
    <col min="13" max="13" width="11.75390625" style="0" hidden="1" customWidth="1"/>
    <col min="14" max="14" width="15.125" style="0" customWidth="1"/>
    <col min="15" max="15" width="15.375" style="0" customWidth="1"/>
    <col min="16" max="16" width="17.625" style="0" customWidth="1"/>
    <col min="17" max="17" width="11.75390625" style="0" hidden="1" customWidth="1"/>
    <col min="18" max="18" width="12.25390625" style="0" hidden="1" customWidth="1"/>
    <col min="19" max="19" width="3.00390625" style="0" hidden="1" customWidth="1"/>
    <col min="20" max="20" width="15.125" style="0" customWidth="1"/>
    <col min="21" max="21" width="15.375" style="0" customWidth="1"/>
    <col min="22" max="22" width="17.125" style="0" customWidth="1"/>
    <col min="23" max="23" width="16.75390625" style="640" customWidth="1"/>
    <col min="24" max="24" width="16.625" style="0" customWidth="1"/>
    <col min="25" max="25" width="16.375" style="0" customWidth="1"/>
    <col min="26" max="26" width="15.875" style="0" customWidth="1"/>
    <col min="27" max="27" width="16.625" style="0" customWidth="1"/>
    <col min="28" max="28" width="11.75390625" style="0" hidden="1" customWidth="1"/>
    <col min="29" max="29" width="15.125" style="0" customWidth="1"/>
    <col min="30" max="30" width="15.375" style="0" customWidth="1"/>
    <col min="31" max="31" width="17.625" style="0" customWidth="1"/>
    <col min="32" max="32" width="11.75390625" style="0" hidden="1" customWidth="1"/>
    <col min="33" max="33" width="12.25390625" style="0" hidden="1" customWidth="1"/>
    <col min="34" max="34" width="3.00390625" style="0" hidden="1" customWidth="1"/>
    <col min="35" max="35" width="15.125" style="0" customWidth="1"/>
    <col min="36" max="36" width="15.375" style="0" customWidth="1"/>
    <col min="37" max="37" width="17.625" style="0" customWidth="1"/>
  </cols>
  <sheetData>
    <row r="1" spans="3:35" s="804" customFormat="1" ht="21" customHeight="1">
      <c r="C1" s="805"/>
      <c r="D1" s="805"/>
      <c r="E1" s="805"/>
      <c r="F1" s="806"/>
      <c r="G1" s="806"/>
      <c r="H1" s="806"/>
      <c r="N1" s="855"/>
      <c r="T1" s="855"/>
      <c r="W1" s="806"/>
      <c r="AC1" s="855"/>
      <c r="AI1" s="855" t="s">
        <v>63</v>
      </c>
    </row>
    <row r="2" spans="7:35" s="804" customFormat="1" ht="21" customHeight="1">
      <c r="G2" s="807"/>
      <c r="H2" s="807"/>
      <c r="N2" s="855"/>
      <c r="T2" s="855"/>
      <c r="W2" s="807"/>
      <c r="AC2" s="855"/>
      <c r="AI2" s="855" t="s">
        <v>15</v>
      </c>
    </row>
    <row r="3" spans="3:35" s="804" customFormat="1" ht="21" customHeight="1">
      <c r="C3" s="1639" t="s">
        <v>64</v>
      </c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1639"/>
      <c r="P3" s="1639"/>
      <c r="Q3" s="1639"/>
      <c r="R3" s="1639"/>
      <c r="S3" s="1639"/>
      <c r="T3" s="1639"/>
      <c r="U3" s="1639"/>
      <c r="V3" s="1639"/>
      <c r="W3" s="1639"/>
      <c r="X3" s="1640"/>
      <c r="Y3" s="1640"/>
      <c r="Z3" s="1640"/>
      <c r="AA3" s="1640"/>
      <c r="AC3" s="855"/>
      <c r="AI3" s="855" t="s">
        <v>337</v>
      </c>
    </row>
    <row r="4" spans="3:35" s="804" customFormat="1" ht="21" customHeight="1">
      <c r="C4" s="1641"/>
      <c r="D4" s="1641"/>
      <c r="E4" s="1641"/>
      <c r="F4" s="1641"/>
      <c r="G4" s="1641"/>
      <c r="H4" s="806"/>
      <c r="N4" s="855"/>
      <c r="T4" s="855"/>
      <c r="W4" s="806"/>
      <c r="AC4" s="855"/>
      <c r="AI4" s="855" t="s">
        <v>787</v>
      </c>
    </row>
    <row r="5" spans="3:23" s="804" customFormat="1" ht="21" customHeight="1">
      <c r="C5" s="808"/>
      <c r="D5" s="808"/>
      <c r="E5" s="808"/>
      <c r="F5" s="808"/>
      <c r="G5" s="808"/>
      <c r="H5" s="806"/>
      <c r="W5" s="806"/>
    </row>
    <row r="6" spans="2:37" s="804" customFormat="1" ht="21" customHeight="1" thickBot="1">
      <c r="B6" s="809"/>
      <c r="C6" s="805"/>
      <c r="D6" s="805"/>
      <c r="E6" s="805"/>
      <c r="F6" s="806"/>
      <c r="G6" s="806"/>
      <c r="H6" s="806"/>
      <c r="M6" s="810"/>
      <c r="P6" s="811"/>
      <c r="V6" s="811"/>
      <c r="W6" s="806"/>
      <c r="AB6" s="810"/>
      <c r="AE6" s="811"/>
      <c r="AK6" s="811" t="s">
        <v>338</v>
      </c>
    </row>
    <row r="7" spans="1:37" s="1" customFormat="1" ht="35.25" customHeight="1" thickBot="1" thickTop="1">
      <c r="A7" s="812"/>
      <c r="B7" s="812"/>
      <c r="C7" s="813"/>
      <c r="D7" s="813"/>
      <c r="E7" s="814" t="s">
        <v>9</v>
      </c>
      <c r="F7" s="814"/>
      <c r="G7" s="814"/>
      <c r="H7" s="814"/>
      <c r="I7" s="814"/>
      <c r="J7" s="1636" t="s">
        <v>177</v>
      </c>
      <c r="K7" s="1637"/>
      <c r="L7" s="1638"/>
      <c r="M7" s="814"/>
      <c r="N7" s="1636" t="s">
        <v>164</v>
      </c>
      <c r="O7" s="1637"/>
      <c r="P7" s="1638"/>
      <c r="Q7" s="1636" t="s">
        <v>65</v>
      </c>
      <c r="R7" s="1637"/>
      <c r="S7" s="1638"/>
      <c r="T7" s="1636" t="s">
        <v>165</v>
      </c>
      <c r="U7" s="1637"/>
      <c r="V7" s="1638"/>
      <c r="W7" s="814"/>
      <c r="X7" s="814"/>
      <c r="Y7" s="1636" t="s">
        <v>177</v>
      </c>
      <c r="Z7" s="1637"/>
      <c r="AA7" s="1638"/>
      <c r="AB7" s="814"/>
      <c r="AC7" s="1636" t="s">
        <v>166</v>
      </c>
      <c r="AD7" s="1637"/>
      <c r="AE7" s="1638"/>
      <c r="AF7" s="1636" t="s">
        <v>65</v>
      </c>
      <c r="AG7" s="1637"/>
      <c r="AH7" s="1638"/>
      <c r="AI7" s="1636" t="s">
        <v>167</v>
      </c>
      <c r="AJ7" s="1637"/>
      <c r="AK7" s="1638"/>
    </row>
    <row r="8" spans="1:37" s="1" customFormat="1" ht="121.5" customHeight="1" thickBot="1" thickTop="1">
      <c r="A8" s="815" t="s">
        <v>342</v>
      </c>
      <c r="B8" s="816" t="s">
        <v>740</v>
      </c>
      <c r="C8" s="816" t="s">
        <v>10</v>
      </c>
      <c r="D8" s="816" t="s">
        <v>11</v>
      </c>
      <c r="E8" s="816" t="s">
        <v>12</v>
      </c>
      <c r="F8" s="816" t="s">
        <v>13</v>
      </c>
      <c r="G8" s="816" t="s">
        <v>168</v>
      </c>
      <c r="H8" s="816" t="s">
        <v>169</v>
      </c>
      <c r="I8" s="816" t="s">
        <v>176</v>
      </c>
      <c r="J8" s="817" t="s">
        <v>742</v>
      </c>
      <c r="K8" s="817" t="s">
        <v>743</v>
      </c>
      <c r="L8" s="817" t="s">
        <v>14</v>
      </c>
      <c r="M8" s="816" t="s">
        <v>21</v>
      </c>
      <c r="N8" s="817" t="s">
        <v>742</v>
      </c>
      <c r="O8" s="817" t="s">
        <v>743</v>
      </c>
      <c r="P8" s="817" t="s">
        <v>14</v>
      </c>
      <c r="Q8" s="817" t="s">
        <v>742</v>
      </c>
      <c r="R8" s="817" t="s">
        <v>743</v>
      </c>
      <c r="S8" s="817" t="s">
        <v>14</v>
      </c>
      <c r="T8" s="817" t="s">
        <v>742</v>
      </c>
      <c r="U8" s="817" t="s">
        <v>743</v>
      </c>
      <c r="V8" s="817" t="s">
        <v>14</v>
      </c>
      <c r="W8" s="816" t="s">
        <v>405</v>
      </c>
      <c r="X8" s="816" t="s">
        <v>178</v>
      </c>
      <c r="Y8" s="817" t="s">
        <v>742</v>
      </c>
      <c r="Z8" s="817" t="s">
        <v>743</v>
      </c>
      <c r="AA8" s="817" t="s">
        <v>14</v>
      </c>
      <c r="AB8" s="816" t="s">
        <v>21</v>
      </c>
      <c r="AC8" s="817" t="s">
        <v>742</v>
      </c>
      <c r="AD8" s="817" t="s">
        <v>743</v>
      </c>
      <c r="AE8" s="817" t="s">
        <v>14</v>
      </c>
      <c r="AF8" s="817" t="s">
        <v>742</v>
      </c>
      <c r="AG8" s="817" t="s">
        <v>743</v>
      </c>
      <c r="AH8" s="817" t="s">
        <v>14</v>
      </c>
      <c r="AI8" s="817" t="s">
        <v>742</v>
      </c>
      <c r="AJ8" s="817" t="s">
        <v>743</v>
      </c>
      <c r="AK8" s="817" t="s">
        <v>14</v>
      </c>
    </row>
    <row r="9" spans="1:37" s="821" customFormat="1" ht="20.25" customHeight="1" thickBot="1" thickTop="1">
      <c r="A9" s="818">
        <v>1</v>
      </c>
      <c r="B9" s="818">
        <v>2</v>
      </c>
      <c r="C9" s="819">
        <v>3</v>
      </c>
      <c r="D9" s="820">
        <v>4</v>
      </c>
      <c r="E9" s="820">
        <v>5</v>
      </c>
      <c r="F9" s="820">
        <v>6</v>
      </c>
      <c r="G9" s="820">
        <v>7</v>
      </c>
      <c r="H9" s="820">
        <v>8</v>
      </c>
      <c r="I9" s="818">
        <v>9</v>
      </c>
      <c r="J9" s="818">
        <v>10</v>
      </c>
      <c r="K9" s="818">
        <v>11</v>
      </c>
      <c r="L9" s="818">
        <v>12</v>
      </c>
      <c r="M9" s="818">
        <v>14</v>
      </c>
      <c r="N9" s="818">
        <v>13</v>
      </c>
      <c r="O9" s="818">
        <v>14</v>
      </c>
      <c r="P9" s="818">
        <v>15</v>
      </c>
      <c r="Q9" s="818">
        <v>15</v>
      </c>
      <c r="R9" s="818">
        <v>16</v>
      </c>
      <c r="S9" s="818">
        <v>17</v>
      </c>
      <c r="T9" s="818">
        <v>16</v>
      </c>
      <c r="U9" s="818">
        <v>17</v>
      </c>
      <c r="V9" s="818">
        <v>18</v>
      </c>
      <c r="W9" s="820">
        <v>19</v>
      </c>
      <c r="X9" s="818">
        <v>20</v>
      </c>
      <c r="Y9" s="818">
        <v>21</v>
      </c>
      <c r="Z9" s="818">
        <v>22</v>
      </c>
      <c r="AA9" s="818">
        <v>23</v>
      </c>
      <c r="AB9" s="818">
        <v>14</v>
      </c>
      <c r="AC9" s="818">
        <v>24</v>
      </c>
      <c r="AD9" s="818">
        <v>25</v>
      </c>
      <c r="AE9" s="818">
        <v>26</v>
      </c>
      <c r="AF9" s="818">
        <v>15</v>
      </c>
      <c r="AG9" s="818">
        <v>16</v>
      </c>
      <c r="AH9" s="818">
        <v>17</v>
      </c>
      <c r="AI9" s="818">
        <v>27</v>
      </c>
      <c r="AJ9" s="818">
        <v>28</v>
      </c>
      <c r="AK9" s="818">
        <v>29</v>
      </c>
    </row>
    <row r="10" spans="1:37" s="827" customFormat="1" ht="24" customHeight="1" thickBot="1" thickTop="1">
      <c r="A10" s="822"/>
      <c r="B10" s="822"/>
      <c r="C10" s="823" t="s">
        <v>22</v>
      </c>
      <c r="D10" s="824"/>
      <c r="E10" s="824"/>
      <c r="F10" s="825"/>
      <c r="G10" s="826">
        <f>140990948+G14+G15</f>
        <v>153508094</v>
      </c>
      <c r="H10" s="826">
        <f>40117755+H14+H15</f>
        <v>40320275</v>
      </c>
      <c r="I10" s="826">
        <f>J10+K10+L10</f>
        <v>84958349</v>
      </c>
      <c r="J10" s="826">
        <v>24125621</v>
      </c>
      <c r="K10" s="826">
        <v>55923343</v>
      </c>
      <c r="L10" s="826">
        <v>4909385</v>
      </c>
      <c r="M10" s="826"/>
      <c r="N10" s="826">
        <v>2947995</v>
      </c>
      <c r="O10" s="826">
        <v>10014389</v>
      </c>
      <c r="P10" s="826">
        <v>546305</v>
      </c>
      <c r="Q10" s="826"/>
      <c r="R10" s="826"/>
      <c r="S10" s="826"/>
      <c r="T10" s="826">
        <v>5066</v>
      </c>
      <c r="U10" s="826">
        <v>62891</v>
      </c>
      <c r="V10" s="1459"/>
      <c r="W10" s="1471">
        <f>W11</f>
        <v>12095603</v>
      </c>
      <c r="X10" s="1465">
        <f aca="true" t="shared" si="0" ref="X10:X16">Y10+Z10+AA10</f>
        <v>86565149</v>
      </c>
      <c r="Y10" s="826">
        <f>24125621+Y14+Y15</f>
        <v>24527371</v>
      </c>
      <c r="Z10" s="826">
        <f>55923343+Z14+Z15</f>
        <v>57128393</v>
      </c>
      <c r="AA10" s="826">
        <v>4909385</v>
      </c>
      <c r="AB10" s="826"/>
      <c r="AC10" s="826">
        <f>2947995+AC14+AC15</f>
        <v>5570196</v>
      </c>
      <c r="AD10" s="826">
        <f>10014389+AD14+AD15</f>
        <v>17880991</v>
      </c>
      <c r="AE10" s="826">
        <v>546305</v>
      </c>
      <c r="AF10" s="826"/>
      <c r="AG10" s="826"/>
      <c r="AH10" s="826"/>
      <c r="AI10" s="826">
        <f>T10</f>
        <v>5066</v>
      </c>
      <c r="AJ10" s="826">
        <f>U10</f>
        <v>62891</v>
      </c>
      <c r="AK10" s="826"/>
    </row>
    <row r="11" spans="1:37" s="833" customFormat="1" ht="22.5" customHeight="1" thickBot="1" thickTop="1">
      <c r="A11" s="828"/>
      <c r="B11" s="828"/>
      <c r="C11" s="829" t="s">
        <v>360</v>
      </c>
      <c r="D11" s="830"/>
      <c r="E11" s="830"/>
      <c r="F11" s="831"/>
      <c r="G11" s="832">
        <f>137620843+G14+G15</f>
        <v>150137989</v>
      </c>
      <c r="H11" s="832">
        <f>39350118+H14+H15</f>
        <v>39552638</v>
      </c>
      <c r="I11" s="832">
        <f>J11+K11+L11</f>
        <v>83253511</v>
      </c>
      <c r="J11" s="832">
        <v>24125621</v>
      </c>
      <c r="K11" s="832">
        <v>54763201</v>
      </c>
      <c r="L11" s="832">
        <v>4364689</v>
      </c>
      <c r="M11" s="832"/>
      <c r="N11" s="832">
        <v>2947995</v>
      </c>
      <c r="O11" s="832">
        <v>9403552</v>
      </c>
      <c r="P11" s="832">
        <v>259512</v>
      </c>
      <c r="Q11" s="832"/>
      <c r="R11" s="832"/>
      <c r="S11" s="832"/>
      <c r="T11" s="832">
        <v>5066</v>
      </c>
      <c r="U11" s="832">
        <v>62891</v>
      </c>
      <c r="V11" s="1460"/>
      <c r="W11" s="1472">
        <f>W12</f>
        <v>12095603</v>
      </c>
      <c r="X11" s="1466">
        <f t="shared" si="0"/>
        <v>84860311</v>
      </c>
      <c r="Y11" s="832">
        <f>24125621+Y14+Y15</f>
        <v>24527371</v>
      </c>
      <c r="Z11" s="832">
        <f>54763201+Z14+Z15</f>
        <v>55968251</v>
      </c>
      <c r="AA11" s="832">
        <v>4364689</v>
      </c>
      <c r="AB11" s="832"/>
      <c r="AC11" s="832">
        <f>2947995+AC14+AC15</f>
        <v>5570196</v>
      </c>
      <c r="AD11" s="832">
        <f>9403552+AD14+AD15</f>
        <v>17270154</v>
      </c>
      <c r="AE11" s="832">
        <v>259512</v>
      </c>
      <c r="AF11" s="832"/>
      <c r="AG11" s="832"/>
      <c r="AH11" s="832"/>
      <c r="AI11" s="832">
        <f>T11</f>
        <v>5066</v>
      </c>
      <c r="AJ11" s="832">
        <f>U11</f>
        <v>62891</v>
      </c>
      <c r="AK11" s="832"/>
    </row>
    <row r="12" spans="1:37" s="791" customFormat="1" ht="24" customHeight="1">
      <c r="A12" s="1617">
        <v>600</v>
      </c>
      <c r="B12" s="1618"/>
      <c r="C12" s="1619" t="s">
        <v>364</v>
      </c>
      <c r="D12" s="1619"/>
      <c r="E12" s="1619"/>
      <c r="F12" s="1620"/>
      <c r="G12" s="1621">
        <f>81870043+G14+G15</f>
        <v>94387189</v>
      </c>
      <c r="H12" s="1621">
        <f>14857318+H14+H15</f>
        <v>15059838</v>
      </c>
      <c r="I12" s="1621">
        <f>J12+K12+L12</f>
        <v>56267621</v>
      </c>
      <c r="J12" s="1621">
        <v>16451882</v>
      </c>
      <c r="K12" s="1621">
        <v>39815739</v>
      </c>
      <c r="L12" s="1621"/>
      <c r="M12" s="1621"/>
      <c r="N12" s="1621">
        <v>2248786</v>
      </c>
      <c r="O12" s="1621">
        <v>6746363</v>
      </c>
      <c r="P12" s="1621"/>
      <c r="Q12" s="1621"/>
      <c r="R12" s="1621"/>
      <c r="S12" s="1621"/>
      <c r="T12" s="1621"/>
      <c r="U12" s="1621"/>
      <c r="V12" s="1622"/>
      <c r="W12" s="1623">
        <f>W13</f>
        <v>12095603</v>
      </c>
      <c r="X12" s="1624">
        <f t="shared" si="0"/>
        <v>57874421</v>
      </c>
      <c r="Y12" s="1621">
        <f>16451882+Y14+Y15</f>
        <v>16853632</v>
      </c>
      <c r="Z12" s="1621">
        <f>39815739+Z14+Z15</f>
        <v>41020789</v>
      </c>
      <c r="AA12" s="1621"/>
      <c r="AB12" s="1621"/>
      <c r="AC12" s="1621">
        <f>2248786+AC14+AC15</f>
        <v>4870987</v>
      </c>
      <c r="AD12" s="1621">
        <f>6746363+AD14+AD15</f>
        <v>14612965</v>
      </c>
      <c r="AE12" s="1621"/>
      <c r="AF12" s="1621"/>
      <c r="AG12" s="1621"/>
      <c r="AH12" s="1621"/>
      <c r="AI12" s="1621"/>
      <c r="AJ12" s="1621"/>
      <c r="AK12" s="1621"/>
    </row>
    <row r="13" spans="1:37" s="3" customFormat="1" ht="36">
      <c r="A13" s="834"/>
      <c r="B13" s="835">
        <v>60015</v>
      </c>
      <c r="C13" s="836" t="s">
        <v>712</v>
      </c>
      <c r="D13" s="836"/>
      <c r="E13" s="836"/>
      <c r="F13" s="837"/>
      <c r="G13" s="838">
        <f>75944434+G14+G15</f>
        <v>88461580</v>
      </c>
      <c r="H13" s="838">
        <f>14857318+H14+H15</f>
        <v>15059838</v>
      </c>
      <c r="I13" s="838">
        <f>J13+K13+L13</f>
        <v>55071561</v>
      </c>
      <c r="J13" s="838">
        <v>16152867</v>
      </c>
      <c r="K13" s="838">
        <v>38918694</v>
      </c>
      <c r="L13" s="838"/>
      <c r="M13" s="838"/>
      <c r="N13" s="838">
        <v>1066399</v>
      </c>
      <c r="O13" s="838">
        <v>3199201</v>
      </c>
      <c r="P13" s="838"/>
      <c r="Q13" s="838"/>
      <c r="R13" s="838"/>
      <c r="S13" s="838"/>
      <c r="T13" s="838"/>
      <c r="U13" s="838"/>
      <c r="V13" s="1461"/>
      <c r="W13" s="1473">
        <f>W14+W15</f>
        <v>12095603</v>
      </c>
      <c r="X13" s="1467">
        <f t="shared" si="0"/>
        <v>56678361</v>
      </c>
      <c r="Y13" s="838">
        <f>16152867+Y14+Y15</f>
        <v>16554617</v>
      </c>
      <c r="Z13" s="838">
        <f>38918694+Z14+Z15</f>
        <v>40123744</v>
      </c>
      <c r="AA13" s="838"/>
      <c r="AB13" s="838"/>
      <c r="AC13" s="838">
        <f>1066399+AC14+AC15</f>
        <v>3688600</v>
      </c>
      <c r="AD13" s="838">
        <f>3199201+AD14+AD15</f>
        <v>11065803</v>
      </c>
      <c r="AE13" s="838"/>
      <c r="AF13" s="838"/>
      <c r="AG13" s="838"/>
      <c r="AH13" s="838"/>
      <c r="AI13" s="838"/>
      <c r="AJ13" s="838"/>
      <c r="AK13" s="838"/>
    </row>
    <row r="14" spans="1:37" s="3" customFormat="1" ht="58.5" customHeight="1">
      <c r="A14" s="834"/>
      <c r="B14" s="839"/>
      <c r="C14" s="1447" t="s">
        <v>496</v>
      </c>
      <c r="D14" s="1448" t="s">
        <v>497</v>
      </c>
      <c r="E14" s="1449" t="s">
        <v>37</v>
      </c>
      <c r="F14" s="1448" t="s">
        <v>66</v>
      </c>
      <c r="G14" s="840">
        <v>5496013</v>
      </c>
      <c r="H14" s="840">
        <v>103700</v>
      </c>
      <c r="I14" s="840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1462"/>
      <c r="W14" s="1474">
        <v>5295207</v>
      </c>
      <c r="X14" s="1468">
        <f>Y14+Z14+AA14</f>
        <v>642200</v>
      </c>
      <c r="Y14" s="841">
        <f>160550</f>
        <v>160550</v>
      </c>
      <c r="Z14" s="841">
        <f>481650</f>
        <v>481650</v>
      </c>
      <c r="AA14" s="841"/>
      <c r="AB14" s="841"/>
      <c r="AC14" s="841">
        <v>1163252</v>
      </c>
      <c r="AD14" s="841">
        <v>3489755</v>
      </c>
      <c r="AE14" s="841"/>
      <c r="AF14" s="841"/>
      <c r="AG14" s="841"/>
      <c r="AH14" s="841"/>
      <c r="AI14" s="841"/>
      <c r="AJ14" s="841"/>
      <c r="AK14" s="841"/>
    </row>
    <row r="15" spans="1:37" s="3" customFormat="1" ht="70.5" customHeight="1">
      <c r="A15" s="834"/>
      <c r="B15" s="839"/>
      <c r="C15" s="1447" t="s">
        <v>498</v>
      </c>
      <c r="D15" s="1448" t="s">
        <v>328</v>
      </c>
      <c r="E15" s="1449" t="s">
        <v>37</v>
      </c>
      <c r="F15" s="1448" t="s">
        <v>66</v>
      </c>
      <c r="G15" s="1445">
        <v>7021133</v>
      </c>
      <c r="H15" s="1445">
        <v>98820</v>
      </c>
      <c r="I15" s="1445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6"/>
      <c r="V15" s="1463"/>
      <c r="W15" s="1475">
        <v>6800396</v>
      </c>
      <c r="X15" s="1469">
        <f t="shared" si="0"/>
        <v>964600</v>
      </c>
      <c r="Y15" s="1446">
        <f>241200</f>
        <v>241200</v>
      </c>
      <c r="Z15" s="1446">
        <f>723400</f>
        <v>723400</v>
      </c>
      <c r="AA15" s="1446"/>
      <c r="AB15" s="1446"/>
      <c r="AC15" s="1446">
        <v>1458949</v>
      </c>
      <c r="AD15" s="1446">
        <v>4376847</v>
      </c>
      <c r="AE15" s="1446"/>
      <c r="AF15" s="1446"/>
      <c r="AG15" s="1446"/>
      <c r="AH15" s="1446"/>
      <c r="AI15" s="1446"/>
      <c r="AJ15" s="1446"/>
      <c r="AK15" s="1446"/>
    </row>
    <row r="16" spans="1:37" s="833" customFormat="1" ht="64.5" customHeight="1" thickBot="1">
      <c r="A16" s="842"/>
      <c r="B16" s="842"/>
      <c r="C16" s="843" t="s">
        <v>396</v>
      </c>
      <c r="D16" s="844"/>
      <c r="E16" s="844"/>
      <c r="F16" s="845"/>
      <c r="G16" s="1093">
        <v>3370105</v>
      </c>
      <c r="H16" s="1093">
        <v>767637</v>
      </c>
      <c r="I16" s="1093">
        <v>1704838</v>
      </c>
      <c r="J16" s="1093"/>
      <c r="K16" s="1093">
        <v>1160142</v>
      </c>
      <c r="L16" s="1093">
        <v>544696</v>
      </c>
      <c r="M16" s="1040" t="e">
        <f>#REF!</f>
        <v>#REF!</v>
      </c>
      <c r="N16" s="846"/>
      <c r="O16" s="846">
        <v>610837</v>
      </c>
      <c r="P16" s="846">
        <v>286793</v>
      </c>
      <c r="Q16" s="847"/>
      <c r="R16" s="847"/>
      <c r="S16" s="847"/>
      <c r="T16" s="846"/>
      <c r="U16" s="846"/>
      <c r="V16" s="1464"/>
      <c r="W16" s="1476"/>
      <c r="X16" s="1470">
        <f t="shared" si="0"/>
        <v>1704838</v>
      </c>
      <c r="Y16" s="846"/>
      <c r="Z16" s="846">
        <v>1160142</v>
      </c>
      <c r="AA16" s="846">
        <v>544696</v>
      </c>
      <c r="AB16" s="846" t="e">
        <f>#REF!</f>
        <v>#REF!</v>
      </c>
      <c r="AC16" s="846"/>
      <c r="AD16" s="846">
        <v>610837</v>
      </c>
      <c r="AE16" s="846">
        <v>286793</v>
      </c>
      <c r="AF16" s="847"/>
      <c r="AG16" s="847"/>
      <c r="AH16" s="847"/>
      <c r="AI16" s="846"/>
      <c r="AJ16" s="846"/>
      <c r="AK16" s="846"/>
    </row>
    <row r="17" ht="34.5" customHeight="1"/>
    <row r="18" ht="36" customHeight="1"/>
    <row r="19" ht="36.75" customHeight="1"/>
    <row r="20" spans="3:36" ht="36.75" customHeight="1">
      <c r="C20" s="1673" t="s">
        <v>172</v>
      </c>
      <c r="D20" s="1686"/>
      <c r="E20" s="1676"/>
      <c r="F20" s="1677"/>
      <c r="AA20" s="1673" t="s">
        <v>174</v>
      </c>
      <c r="AB20" s="1673"/>
      <c r="AC20" s="1673"/>
      <c r="AD20" s="1673"/>
      <c r="AE20" s="1673"/>
      <c r="AF20" s="1675"/>
      <c r="AG20" s="1675"/>
      <c r="AH20" s="1675"/>
      <c r="AI20" s="1675"/>
      <c r="AJ20" s="1675"/>
    </row>
    <row r="21" spans="3:36" ht="39" customHeight="1">
      <c r="C21" s="1674" t="s">
        <v>173</v>
      </c>
      <c r="D21" s="1686"/>
      <c r="E21" s="1676"/>
      <c r="F21" s="1677"/>
      <c r="AA21" s="1674" t="s">
        <v>175</v>
      </c>
      <c r="AB21" s="1673"/>
      <c r="AC21" s="1673"/>
      <c r="AD21" s="1673"/>
      <c r="AE21" s="1673"/>
      <c r="AF21" s="1675"/>
      <c r="AG21" s="1675"/>
      <c r="AH21" s="1675"/>
      <c r="AI21" s="1675"/>
      <c r="AJ21" s="1675"/>
    </row>
    <row r="24" spans="26:29" ht="12.75">
      <c r="Z24" s="52"/>
      <c r="AC24" s="52"/>
    </row>
  </sheetData>
  <mergeCells count="10">
    <mergeCell ref="AI7:AK7"/>
    <mergeCell ref="AF7:AH7"/>
    <mergeCell ref="Y7:AA7"/>
    <mergeCell ref="C3:AA3"/>
    <mergeCell ref="C4:G4"/>
    <mergeCell ref="AC7:AE7"/>
    <mergeCell ref="J7:L7"/>
    <mergeCell ref="N7:P7"/>
    <mergeCell ref="Q7:S7"/>
    <mergeCell ref="T7:V7"/>
  </mergeCells>
  <printOptions horizontalCentered="1"/>
  <pageMargins left="0.1968503937007874" right="0.1968503937007874" top="0.5905511811023623" bottom="0.5905511811023623" header="0.5118110236220472" footer="0.5118110236220472"/>
  <pageSetup firstPageNumber="19" useFirstPageNumber="1" horizontalDpi="600" verticalDpi="600" orientation="landscape" paperSize="9" scale="2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workbookViewId="0" topLeftCell="A4">
      <selection activeCell="C24" sqref="C24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43.75390625" style="374" customWidth="1"/>
    <col min="4" max="4" width="38.75390625" style="374" customWidth="1"/>
    <col min="5" max="5" width="16.00390625" style="374" customWidth="1"/>
    <col min="6" max="6" width="10.75390625" style="640" customWidth="1"/>
    <col min="7" max="7" width="13.125" style="640" customWidth="1"/>
    <col min="8" max="8" width="13.375" style="640" customWidth="1"/>
    <col min="9" max="9" width="12.00390625" style="0" customWidth="1"/>
    <col min="10" max="10" width="12.125" style="0" customWidth="1"/>
    <col min="11" max="11" width="13.375" style="0" customWidth="1"/>
    <col min="12" max="12" width="11.75390625" style="0" hidden="1" customWidth="1"/>
    <col min="13" max="13" width="9.875" style="0" hidden="1" customWidth="1"/>
    <col min="14" max="14" width="11.375" style="0" customWidth="1"/>
    <col min="15" max="15" width="11.875" style="0" customWidth="1"/>
    <col min="16" max="16" width="13.625" style="0" customWidth="1"/>
    <col min="17" max="17" width="11.375" style="0" customWidth="1"/>
    <col min="18" max="18" width="11.875" style="0" customWidth="1"/>
    <col min="19" max="19" width="13.25390625" style="0" customWidth="1"/>
    <col min="20" max="20" width="12.00390625" style="0" customWidth="1"/>
    <col min="21" max="21" width="12.125" style="0" customWidth="1"/>
    <col min="22" max="22" width="13.375" style="0" customWidth="1"/>
    <col min="23" max="23" width="11.75390625" style="0" hidden="1" customWidth="1"/>
    <col min="24" max="24" width="9.875" style="0" hidden="1" customWidth="1"/>
    <col min="25" max="25" width="11.375" style="0" customWidth="1"/>
    <col min="26" max="26" width="11.875" style="0" customWidth="1"/>
    <col min="27" max="27" width="13.625" style="0" customWidth="1"/>
    <col min="28" max="28" width="11.375" style="0" customWidth="1"/>
    <col min="29" max="29" width="11.875" style="0" customWidth="1"/>
    <col min="30" max="30" width="13.25390625" style="0" customWidth="1"/>
  </cols>
  <sheetData>
    <row r="1" spans="3:27" s="22" customFormat="1" ht="21" customHeight="1">
      <c r="C1" s="324"/>
      <c r="D1" s="324"/>
      <c r="E1" s="324"/>
      <c r="F1" s="726"/>
      <c r="G1" s="726"/>
      <c r="H1" s="726"/>
      <c r="P1" s="639"/>
      <c r="T1" s="639" t="s">
        <v>850</v>
      </c>
      <c r="AA1" s="639"/>
    </row>
    <row r="2" spans="7:27" s="22" customFormat="1" ht="21" customHeight="1">
      <c r="G2" s="727"/>
      <c r="H2" s="727"/>
      <c r="P2" s="639"/>
      <c r="T2" s="639" t="s">
        <v>15</v>
      </c>
      <c r="AA2" s="639"/>
    </row>
    <row r="3" spans="3:27" s="22" customFormat="1" ht="21" customHeight="1">
      <c r="C3" s="728" t="s">
        <v>34</v>
      </c>
      <c r="D3" s="728"/>
      <c r="E3" s="728"/>
      <c r="F3" s="728"/>
      <c r="G3" s="728"/>
      <c r="H3" s="728"/>
      <c r="I3" s="729"/>
      <c r="J3" s="729"/>
      <c r="K3" s="729"/>
      <c r="L3" s="729"/>
      <c r="M3" s="729"/>
      <c r="P3" s="639"/>
      <c r="T3" s="639" t="s">
        <v>337</v>
      </c>
      <c r="U3" s="729"/>
      <c r="V3" s="729"/>
      <c r="W3" s="729"/>
      <c r="X3" s="729"/>
      <c r="AA3" s="639"/>
    </row>
    <row r="4" spans="3:27" s="22" customFormat="1" ht="21" customHeight="1">
      <c r="C4" s="728" t="s">
        <v>35</v>
      </c>
      <c r="D4" s="728"/>
      <c r="E4" s="728"/>
      <c r="F4" s="728"/>
      <c r="G4" s="728"/>
      <c r="H4" s="730"/>
      <c r="P4" s="639"/>
      <c r="T4" s="639" t="s">
        <v>787</v>
      </c>
      <c r="AA4" s="639"/>
    </row>
    <row r="5" spans="3:27" s="22" customFormat="1" ht="21" customHeight="1">
      <c r="C5" s="729"/>
      <c r="D5" s="729"/>
      <c r="E5" s="729"/>
      <c r="F5" s="729"/>
      <c r="G5" s="729"/>
      <c r="H5" s="730"/>
      <c r="N5" s="47"/>
      <c r="P5" s="1"/>
      <c r="Y5" s="47"/>
      <c r="AA5" s="1"/>
    </row>
    <row r="6" spans="2:30" s="22" customFormat="1" ht="21" customHeight="1" thickBot="1">
      <c r="B6" s="240"/>
      <c r="C6" s="324"/>
      <c r="D6" s="324"/>
      <c r="E6" s="324"/>
      <c r="F6" s="726"/>
      <c r="G6" s="726"/>
      <c r="H6" s="726"/>
      <c r="L6" s="130"/>
      <c r="M6" s="130"/>
      <c r="P6" s="45"/>
      <c r="S6" s="45"/>
      <c r="W6" s="130"/>
      <c r="X6" s="130"/>
      <c r="AA6" s="45"/>
      <c r="AD6" s="45" t="s">
        <v>338</v>
      </c>
    </row>
    <row r="7" spans="1:30" s="22" customFormat="1" ht="30" customHeight="1" thickBot="1" thickTop="1">
      <c r="A7" s="327"/>
      <c r="B7" s="327"/>
      <c r="C7" s="328"/>
      <c r="D7" s="328"/>
      <c r="E7" s="731" t="s">
        <v>9</v>
      </c>
      <c r="F7" s="731"/>
      <c r="G7" s="731"/>
      <c r="H7" s="732"/>
      <c r="I7" s="1642" t="s">
        <v>28</v>
      </c>
      <c r="J7" s="1643"/>
      <c r="K7" s="1644"/>
      <c r="L7" s="731"/>
      <c r="M7" s="732"/>
      <c r="N7" s="1642" t="s">
        <v>29</v>
      </c>
      <c r="O7" s="1643"/>
      <c r="P7" s="1644"/>
      <c r="Q7" s="1633" t="s">
        <v>30</v>
      </c>
      <c r="R7" s="1643"/>
      <c r="S7" s="1645"/>
      <c r="T7" s="1643" t="s">
        <v>36</v>
      </c>
      <c r="U7" s="1643"/>
      <c r="V7" s="1644"/>
      <c r="W7" s="731"/>
      <c r="X7" s="732"/>
      <c r="Y7" s="1633" t="s">
        <v>170</v>
      </c>
      <c r="Z7" s="1643"/>
      <c r="AA7" s="1644"/>
      <c r="AB7" s="1633" t="s">
        <v>171</v>
      </c>
      <c r="AC7" s="1643"/>
      <c r="AD7" s="1644"/>
    </row>
    <row r="8" spans="1:30" s="22" customFormat="1" ht="66.75" customHeight="1" thickBot="1" thickTop="1">
      <c r="A8" s="331" t="s">
        <v>342</v>
      </c>
      <c r="B8" s="332" t="s">
        <v>740</v>
      </c>
      <c r="C8" s="332" t="s">
        <v>10</v>
      </c>
      <c r="D8" s="332" t="s">
        <v>11</v>
      </c>
      <c r="E8" s="332" t="s">
        <v>12</v>
      </c>
      <c r="F8" s="332" t="s">
        <v>13</v>
      </c>
      <c r="G8" s="332" t="s">
        <v>168</v>
      </c>
      <c r="H8" s="1077" t="s">
        <v>169</v>
      </c>
      <c r="I8" s="1084" t="s">
        <v>742</v>
      </c>
      <c r="J8" s="118" t="s">
        <v>743</v>
      </c>
      <c r="K8" s="118" t="s">
        <v>14</v>
      </c>
      <c r="L8" s="332" t="s">
        <v>21</v>
      </c>
      <c r="M8" s="332" t="s">
        <v>405</v>
      </c>
      <c r="N8" s="118" t="s">
        <v>742</v>
      </c>
      <c r="O8" s="118" t="s">
        <v>743</v>
      </c>
      <c r="P8" s="118" t="s">
        <v>14</v>
      </c>
      <c r="Q8" s="118" t="s">
        <v>742</v>
      </c>
      <c r="R8" s="118" t="s">
        <v>743</v>
      </c>
      <c r="S8" s="1085" t="s">
        <v>14</v>
      </c>
      <c r="T8" s="1073" t="s">
        <v>742</v>
      </c>
      <c r="U8" s="118" t="s">
        <v>743</v>
      </c>
      <c r="V8" s="118" t="s">
        <v>14</v>
      </c>
      <c r="W8" s="332" t="s">
        <v>21</v>
      </c>
      <c r="X8" s="332" t="s">
        <v>405</v>
      </c>
      <c r="Y8" s="118" t="s">
        <v>742</v>
      </c>
      <c r="Z8" s="118" t="s">
        <v>743</v>
      </c>
      <c r="AA8" s="118" t="s">
        <v>14</v>
      </c>
      <c r="AB8" s="118" t="s">
        <v>742</v>
      </c>
      <c r="AC8" s="118" t="s">
        <v>743</v>
      </c>
      <c r="AD8" s="118" t="s">
        <v>14</v>
      </c>
    </row>
    <row r="9" spans="1:30" s="735" customFormat="1" ht="16.5" customHeight="1" thickBot="1" thickTop="1">
      <c r="A9" s="16">
        <v>1</v>
      </c>
      <c r="B9" s="16">
        <v>2</v>
      </c>
      <c r="C9" s="733">
        <v>3</v>
      </c>
      <c r="D9" s="734">
        <v>4</v>
      </c>
      <c r="E9" s="734">
        <v>5</v>
      </c>
      <c r="F9" s="734">
        <v>6</v>
      </c>
      <c r="G9" s="734">
        <v>7</v>
      </c>
      <c r="H9" s="1078">
        <v>8</v>
      </c>
      <c r="I9" s="1086">
        <v>9</v>
      </c>
      <c r="J9" s="16">
        <v>10</v>
      </c>
      <c r="K9" s="16">
        <v>11</v>
      </c>
      <c r="L9" s="16">
        <v>14</v>
      </c>
      <c r="M9" s="16">
        <v>12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087">
        <v>17</v>
      </c>
      <c r="T9" s="16">
        <v>18</v>
      </c>
      <c r="U9" s="16">
        <v>19</v>
      </c>
      <c r="V9" s="1087">
        <v>20</v>
      </c>
      <c r="W9" s="16">
        <v>21</v>
      </c>
      <c r="X9" s="16">
        <v>22</v>
      </c>
      <c r="Y9" s="1087">
        <v>21</v>
      </c>
      <c r="Z9" s="16">
        <v>22</v>
      </c>
      <c r="AA9" s="16">
        <v>23</v>
      </c>
      <c r="AB9" s="1087">
        <v>24</v>
      </c>
      <c r="AC9" s="16">
        <v>25</v>
      </c>
      <c r="AD9" s="16">
        <v>26</v>
      </c>
    </row>
    <row r="10" spans="1:30" s="243" customFormat="1" ht="26.25" customHeight="1" thickBot="1" thickTop="1">
      <c r="A10" s="736"/>
      <c r="B10" s="736"/>
      <c r="C10" s="737" t="s">
        <v>22</v>
      </c>
      <c r="D10" s="738"/>
      <c r="E10" s="738"/>
      <c r="F10" s="739"/>
      <c r="G10" s="740">
        <v>120724974</v>
      </c>
      <c r="H10" s="1079">
        <v>11568612</v>
      </c>
      <c r="I10" s="740">
        <v>6735412</v>
      </c>
      <c r="J10" s="740">
        <v>6303300</v>
      </c>
      <c r="K10" s="740">
        <v>1500000</v>
      </c>
      <c r="L10" s="740"/>
      <c r="M10" s="740"/>
      <c r="N10" s="740">
        <v>16762947</v>
      </c>
      <c r="O10" s="740">
        <v>25275731</v>
      </c>
      <c r="P10" s="740">
        <v>24393325</v>
      </c>
      <c r="Q10" s="740">
        <v>7382500</v>
      </c>
      <c r="R10" s="740">
        <v>19472500</v>
      </c>
      <c r="S10" s="1088">
        <v>2500000</v>
      </c>
      <c r="T10" s="740">
        <f>6735412-1435000+150000-56950</f>
        <v>5393462</v>
      </c>
      <c r="U10" s="740">
        <f>6303300-4303300</f>
        <v>2000000</v>
      </c>
      <c r="V10" s="740">
        <v>1500000</v>
      </c>
      <c r="W10" s="740"/>
      <c r="X10" s="740"/>
      <c r="Y10" s="740">
        <f>16762947-N13-N14-327040-37500+8542</f>
        <v>14201949</v>
      </c>
      <c r="Z10" s="740">
        <f>25275731-O13-O14-84225-112500</f>
        <v>18462826</v>
      </c>
      <c r="AA10" s="740">
        <f>24393325+48408</f>
        <v>24441733</v>
      </c>
      <c r="AB10" s="740">
        <f>7382500+AB15</f>
        <v>7781939</v>
      </c>
      <c r="AC10" s="740">
        <f>19472500+AC15</f>
        <v>21725220</v>
      </c>
      <c r="AD10" s="1088">
        <v>2500000</v>
      </c>
    </row>
    <row r="11" spans="1:30" ht="23.25" customHeight="1">
      <c r="A11" s="741">
        <v>600</v>
      </c>
      <c r="B11" s="741"/>
      <c r="C11" s="742" t="s">
        <v>364</v>
      </c>
      <c r="D11" s="742"/>
      <c r="E11" s="742"/>
      <c r="F11" s="743"/>
      <c r="G11" s="744">
        <v>51019526</v>
      </c>
      <c r="H11" s="1080">
        <v>9623840</v>
      </c>
      <c r="I11" s="744">
        <v>5353000</v>
      </c>
      <c r="J11" s="744">
        <v>4303300</v>
      </c>
      <c r="K11" s="744"/>
      <c r="L11" s="744"/>
      <c r="M11" s="744"/>
      <c r="N11" s="744">
        <v>4302250</v>
      </c>
      <c r="O11" s="744">
        <v>14906930</v>
      </c>
      <c r="P11" s="745"/>
      <c r="Q11" s="745">
        <v>2055000</v>
      </c>
      <c r="R11" s="745">
        <v>11645000</v>
      </c>
      <c r="S11" s="1089"/>
      <c r="T11" s="744">
        <f>5353000-1435000+150000</f>
        <v>4068000</v>
      </c>
      <c r="U11" s="744">
        <f>4303300-4303300</f>
        <v>0</v>
      </c>
      <c r="V11" s="744"/>
      <c r="W11" s="744"/>
      <c r="X11" s="744"/>
      <c r="Y11" s="744">
        <f>4302250-N13-N14-327040-37500</f>
        <v>1732710</v>
      </c>
      <c r="Z11" s="744">
        <f>14906930-O13-O14-84225-112500</f>
        <v>8094025</v>
      </c>
      <c r="AA11" s="745"/>
      <c r="AB11" s="745">
        <f>2055000+AB15</f>
        <v>2454439</v>
      </c>
      <c r="AC11" s="745">
        <f>11645000+AC15</f>
        <v>13897720</v>
      </c>
      <c r="AD11" s="1089"/>
    </row>
    <row r="12" spans="1:30" s="240" customFormat="1" ht="30">
      <c r="A12" s="449"/>
      <c r="B12" s="754">
        <v>60015</v>
      </c>
      <c r="C12" s="747" t="s">
        <v>712</v>
      </c>
      <c r="D12" s="755"/>
      <c r="E12" s="749"/>
      <c r="F12" s="750"/>
      <c r="G12" s="751">
        <v>43228000</v>
      </c>
      <c r="H12" s="1081">
        <v>8347314</v>
      </c>
      <c r="I12" s="756">
        <v>1575000</v>
      </c>
      <c r="J12" s="756">
        <v>4303300</v>
      </c>
      <c r="K12" s="756"/>
      <c r="L12" s="756"/>
      <c r="M12" s="756"/>
      <c r="N12" s="756">
        <v>3618000</v>
      </c>
      <c r="O12" s="756">
        <v>12854180</v>
      </c>
      <c r="P12" s="756"/>
      <c r="Q12" s="756">
        <v>2055000</v>
      </c>
      <c r="R12" s="756">
        <v>11645000</v>
      </c>
      <c r="S12" s="1090"/>
      <c r="T12" s="756">
        <f>1575000-1435000</f>
        <v>140000</v>
      </c>
      <c r="U12" s="756">
        <f>4303300-4303300</f>
        <v>0</v>
      </c>
      <c r="V12" s="756"/>
      <c r="W12" s="756"/>
      <c r="X12" s="756"/>
      <c r="Y12" s="756">
        <f>3618000-N13-N14-327040</f>
        <v>1085960</v>
      </c>
      <c r="Z12" s="756">
        <f>12854180-O13-O14-84225</f>
        <v>6153775</v>
      </c>
      <c r="AA12" s="756"/>
      <c r="AB12" s="756">
        <f>2055000+AB15</f>
        <v>2454439</v>
      </c>
      <c r="AC12" s="756">
        <f>11645000+AC15</f>
        <v>13897720</v>
      </c>
      <c r="AD12" s="1090"/>
    </row>
    <row r="13" spans="1:30" s="240" customFormat="1" ht="42.75" customHeight="1">
      <c r="A13" s="449"/>
      <c r="B13" s="1437"/>
      <c r="C13" s="752" t="s">
        <v>496</v>
      </c>
      <c r="D13" s="1442" t="s">
        <v>497</v>
      </c>
      <c r="E13" s="1443" t="s">
        <v>37</v>
      </c>
      <c r="F13" s="1444" t="s">
        <v>66</v>
      </c>
      <c r="G13" s="1450">
        <v>0</v>
      </c>
      <c r="H13" s="1450">
        <v>0</v>
      </c>
      <c r="I13" s="1432">
        <v>127000</v>
      </c>
      <c r="J13" s="1432">
        <v>379300</v>
      </c>
      <c r="K13" s="1432"/>
      <c r="L13" s="1432"/>
      <c r="M13" s="1432"/>
      <c r="N13" s="1432">
        <v>1222000</v>
      </c>
      <c r="O13" s="1432">
        <v>3666000</v>
      </c>
      <c r="P13" s="1432"/>
      <c r="Q13" s="1432"/>
      <c r="R13" s="1432"/>
      <c r="S13" s="1433"/>
      <c r="T13" s="1477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1"/>
    </row>
    <row r="14" spans="1:30" s="240" customFormat="1" ht="42.75" customHeight="1">
      <c r="A14" s="449"/>
      <c r="B14" s="1437"/>
      <c r="C14" s="752" t="s">
        <v>498</v>
      </c>
      <c r="D14" s="1434" t="s">
        <v>499</v>
      </c>
      <c r="E14" s="1435" t="s">
        <v>37</v>
      </c>
      <c r="F14" s="1436" t="s">
        <v>66</v>
      </c>
      <c r="G14" s="753">
        <v>0</v>
      </c>
      <c r="H14" s="1455">
        <v>0</v>
      </c>
      <c r="I14" s="1457">
        <v>748000</v>
      </c>
      <c r="J14" s="1457">
        <v>2244000</v>
      </c>
      <c r="K14" s="1457"/>
      <c r="L14" s="1457"/>
      <c r="M14" s="1457"/>
      <c r="N14" s="1457">
        <v>983000</v>
      </c>
      <c r="O14" s="1457">
        <v>2950180</v>
      </c>
      <c r="P14" s="1457"/>
      <c r="Q14" s="1457"/>
      <c r="R14" s="1457"/>
      <c r="S14" s="1458"/>
      <c r="T14" s="1478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6"/>
    </row>
    <row r="15" spans="1:30" s="240" customFormat="1" ht="71.25">
      <c r="A15" s="449"/>
      <c r="B15" s="757"/>
      <c r="C15" s="1441" t="s">
        <v>500</v>
      </c>
      <c r="D15" s="1438" t="s">
        <v>330</v>
      </c>
      <c r="E15" s="1439" t="s">
        <v>37</v>
      </c>
      <c r="F15" s="1440" t="s">
        <v>329</v>
      </c>
      <c r="G15" s="1429">
        <f>4973106+894</f>
        <v>4974000</v>
      </c>
      <c r="H15" s="1430">
        <v>82106</v>
      </c>
      <c r="I15" s="1452">
        <v>560000</v>
      </c>
      <c r="J15" s="1452">
        <v>1680000</v>
      </c>
      <c r="K15" s="1452"/>
      <c r="L15" s="1452"/>
      <c r="M15" s="1452"/>
      <c r="N15" s="1452">
        <v>663000</v>
      </c>
      <c r="O15" s="1452">
        <v>1988000</v>
      </c>
      <c r="P15" s="1452"/>
      <c r="Q15" s="1452"/>
      <c r="R15" s="1452"/>
      <c r="S15" s="1453"/>
      <c r="T15" s="1479"/>
      <c r="U15" s="1452"/>
      <c r="V15" s="1452"/>
      <c r="W15" s="1452"/>
      <c r="X15" s="1452"/>
      <c r="Y15" s="1454">
        <v>335960</v>
      </c>
      <c r="Z15" s="1454">
        <v>1903775</v>
      </c>
      <c r="AA15" s="1452"/>
      <c r="AB15" s="1452">
        <v>399439</v>
      </c>
      <c r="AC15" s="1452">
        <v>2252720</v>
      </c>
      <c r="AD15" s="1451"/>
    </row>
    <row r="16" spans="1:30" s="240" customFormat="1" ht="23.25" customHeight="1">
      <c r="A16" s="449"/>
      <c r="B16" s="754">
        <v>60016</v>
      </c>
      <c r="C16" s="1052" t="s">
        <v>755</v>
      </c>
      <c r="D16" s="755"/>
      <c r="E16" s="749"/>
      <c r="F16" s="750"/>
      <c r="G16" s="751">
        <v>7791526</v>
      </c>
      <c r="H16" s="1081">
        <v>1276526</v>
      </c>
      <c r="I16" s="756">
        <v>3778000</v>
      </c>
      <c r="J16" s="756"/>
      <c r="K16" s="756"/>
      <c r="L16" s="756"/>
      <c r="M16" s="756"/>
      <c r="N16" s="756">
        <v>684250</v>
      </c>
      <c r="O16" s="756">
        <v>2052750</v>
      </c>
      <c r="P16" s="756"/>
      <c r="Q16" s="756"/>
      <c r="R16" s="756"/>
      <c r="S16" s="1090"/>
      <c r="T16" s="1076">
        <f>3778000+150000</f>
        <v>3928000</v>
      </c>
      <c r="U16" s="756"/>
      <c r="V16" s="756"/>
      <c r="W16" s="756"/>
      <c r="X16" s="756"/>
      <c r="Y16" s="751">
        <f>684250-37500</f>
        <v>646750</v>
      </c>
      <c r="Z16" s="751">
        <f>2052750-112500</f>
        <v>1940250</v>
      </c>
      <c r="AA16" s="756"/>
      <c r="AB16" s="756"/>
      <c r="AC16" s="756"/>
      <c r="AD16" s="756"/>
    </row>
    <row r="17" spans="1:30" s="240" customFormat="1" ht="42.75" customHeight="1">
      <c r="A17" s="78"/>
      <c r="B17" s="757"/>
      <c r="C17" s="1051" t="s">
        <v>72</v>
      </c>
      <c r="D17" s="755" t="s">
        <v>73</v>
      </c>
      <c r="E17" s="1053" t="s">
        <v>37</v>
      </c>
      <c r="F17" s="1054" t="s">
        <v>38</v>
      </c>
      <c r="G17" s="1038">
        <v>7791526</v>
      </c>
      <c r="H17" s="1082">
        <v>1276526</v>
      </c>
      <c r="I17" s="1071">
        <v>3778000</v>
      </c>
      <c r="J17" s="1071"/>
      <c r="K17" s="1071"/>
      <c r="L17" s="1071"/>
      <c r="M17" s="1071"/>
      <c r="N17" s="1071">
        <v>684250</v>
      </c>
      <c r="O17" s="1071">
        <v>2052750</v>
      </c>
      <c r="P17" s="1071"/>
      <c r="Q17" s="1071"/>
      <c r="R17" s="1071"/>
      <c r="S17" s="1091"/>
      <c r="T17" s="1480">
        <v>3928000</v>
      </c>
      <c r="U17" s="1071"/>
      <c r="V17" s="1071"/>
      <c r="W17" s="1071"/>
      <c r="X17" s="1071"/>
      <c r="Y17" s="1454">
        <f>684250-37500</f>
        <v>646750</v>
      </c>
      <c r="Z17" s="1454">
        <f>2052750-112500</f>
        <v>1940250</v>
      </c>
      <c r="AA17" s="1071"/>
      <c r="AB17" s="1071"/>
      <c r="AC17" s="1071"/>
      <c r="AD17" s="759"/>
    </row>
    <row r="18" spans="1:30" ht="21.75" customHeight="1">
      <c r="A18" s="697">
        <v>801</v>
      </c>
      <c r="B18" s="697"/>
      <c r="C18" s="742" t="s">
        <v>367</v>
      </c>
      <c r="D18" s="742"/>
      <c r="E18" s="742"/>
      <c r="F18" s="743"/>
      <c r="G18" s="744">
        <v>21095538</v>
      </c>
      <c r="H18" s="1080">
        <v>223138</v>
      </c>
      <c r="I18" s="744">
        <v>554712</v>
      </c>
      <c r="J18" s="744"/>
      <c r="K18" s="744"/>
      <c r="L18" s="744"/>
      <c r="M18" s="744"/>
      <c r="N18" s="744">
        <v>3092503</v>
      </c>
      <c r="O18" s="744"/>
      <c r="P18" s="745">
        <v>17225185</v>
      </c>
      <c r="Q18" s="745"/>
      <c r="R18" s="745"/>
      <c r="S18" s="1089"/>
      <c r="T18" s="1074">
        <f>554712-56950</f>
        <v>497762</v>
      </c>
      <c r="U18" s="744"/>
      <c r="V18" s="744"/>
      <c r="W18" s="744"/>
      <c r="X18" s="744"/>
      <c r="Y18" s="744">
        <f>3092503+8542</f>
        <v>3101045</v>
      </c>
      <c r="Z18" s="744"/>
      <c r="AA18" s="745">
        <f>17225185+48408</f>
        <v>17273593</v>
      </c>
      <c r="AB18" s="745"/>
      <c r="AC18" s="745"/>
      <c r="AD18" s="745"/>
    </row>
    <row r="19" spans="1:30" s="240" customFormat="1" ht="21.75" customHeight="1">
      <c r="A19" s="449"/>
      <c r="B19" s="746">
        <v>80101</v>
      </c>
      <c r="C19" s="747" t="s">
        <v>706</v>
      </c>
      <c r="D19" s="748"/>
      <c r="E19" s="749"/>
      <c r="F19" s="750"/>
      <c r="G19" s="751">
        <v>5176595</v>
      </c>
      <c r="H19" s="1081">
        <v>55095</v>
      </c>
      <c r="I19" s="751">
        <v>384322</v>
      </c>
      <c r="J19" s="751"/>
      <c r="K19" s="751"/>
      <c r="L19" s="751"/>
      <c r="M19" s="751"/>
      <c r="N19" s="751">
        <v>710577</v>
      </c>
      <c r="O19" s="751"/>
      <c r="P19" s="751">
        <v>4026601</v>
      </c>
      <c r="Q19" s="751"/>
      <c r="R19" s="751"/>
      <c r="S19" s="1092"/>
      <c r="T19" s="1075">
        <f>384322-56950</f>
        <v>327372</v>
      </c>
      <c r="U19" s="751"/>
      <c r="V19" s="751"/>
      <c r="W19" s="751"/>
      <c r="X19" s="751"/>
      <c r="Y19" s="751">
        <f>710577+8542</f>
        <v>719119</v>
      </c>
      <c r="Z19" s="751"/>
      <c r="AA19" s="751">
        <f>4026601+48408</f>
        <v>4075009</v>
      </c>
      <c r="AB19" s="751"/>
      <c r="AC19" s="751"/>
      <c r="AD19" s="751"/>
    </row>
    <row r="20" spans="1:30" s="240" customFormat="1" ht="45.75" customHeight="1">
      <c r="A20" s="78"/>
      <c r="B20" s="757"/>
      <c r="C20" s="1006" t="s">
        <v>489</v>
      </c>
      <c r="D20" s="758" t="s">
        <v>300</v>
      </c>
      <c r="E20" s="1007" t="s">
        <v>37</v>
      </c>
      <c r="F20" s="1008" t="s">
        <v>66</v>
      </c>
      <c r="G20" s="1072">
        <v>2769235</v>
      </c>
      <c r="H20" s="1083">
        <v>20935</v>
      </c>
      <c r="I20" s="1481">
        <v>101422</v>
      </c>
      <c r="J20" s="1481"/>
      <c r="K20" s="1481"/>
      <c r="L20" s="1481"/>
      <c r="M20" s="1481"/>
      <c r="N20" s="1481">
        <v>397032</v>
      </c>
      <c r="O20" s="1481"/>
      <c r="P20" s="1481">
        <v>2249846</v>
      </c>
      <c r="Q20" s="1481"/>
      <c r="R20" s="1481"/>
      <c r="S20" s="1482"/>
      <c r="T20" s="1483">
        <v>44472</v>
      </c>
      <c r="U20" s="1481"/>
      <c r="V20" s="1481"/>
      <c r="W20" s="1481"/>
      <c r="X20" s="1481"/>
      <c r="Y20" s="1481">
        <v>405574</v>
      </c>
      <c r="Z20" s="1481"/>
      <c r="AA20" s="1481">
        <v>2298254</v>
      </c>
      <c r="AB20" s="1009"/>
      <c r="AC20" s="1009"/>
      <c r="AD20" s="1009"/>
    </row>
    <row r="21" ht="36.75" customHeight="1"/>
    <row r="22" ht="28.5" customHeight="1">
      <c r="T22" s="52"/>
    </row>
    <row r="23" spans="20:27" ht="23.25" customHeight="1">
      <c r="T23" s="52"/>
      <c r="Y23" s="52"/>
      <c r="AA23" s="52"/>
    </row>
    <row r="24" spans="3:23" ht="33">
      <c r="C24" s="1678" t="s">
        <v>172</v>
      </c>
      <c r="J24" s="273"/>
      <c r="K24" s="273"/>
      <c r="L24" s="273"/>
      <c r="M24" s="273"/>
      <c r="N24" s="273"/>
      <c r="O24" s="406"/>
      <c r="P24" s="273"/>
      <c r="Q24" s="273"/>
      <c r="U24" s="1678" t="s">
        <v>174</v>
      </c>
      <c r="V24" s="1678"/>
      <c r="W24" s="1680"/>
    </row>
    <row r="25" spans="3:23" ht="30" customHeight="1">
      <c r="C25" s="1679" t="s">
        <v>173</v>
      </c>
      <c r="J25" s="273"/>
      <c r="K25" s="273"/>
      <c r="L25" s="273"/>
      <c r="M25" s="273"/>
      <c r="N25" s="273"/>
      <c r="O25" s="273"/>
      <c r="P25" s="273"/>
      <c r="Q25" s="273"/>
      <c r="U25" s="1679" t="s">
        <v>175</v>
      </c>
      <c r="V25" s="1678"/>
      <c r="W25" s="1678"/>
    </row>
    <row r="26" spans="10:26" ht="12.75">
      <c r="J26" s="273"/>
      <c r="K26" s="273"/>
      <c r="L26" s="273"/>
      <c r="M26" s="273"/>
      <c r="N26" s="273"/>
      <c r="O26" s="273"/>
      <c r="P26" s="273"/>
      <c r="Q26" s="273"/>
      <c r="T26" s="52"/>
      <c r="Y26" s="52"/>
      <c r="Z26" s="52"/>
    </row>
    <row r="27" spans="10:17" ht="12.75">
      <c r="J27" s="273"/>
      <c r="K27" s="406"/>
      <c r="L27" s="273"/>
      <c r="M27" s="273"/>
      <c r="N27" s="406"/>
      <c r="O27" s="273"/>
      <c r="P27" s="406"/>
      <c r="Q27" s="273"/>
    </row>
    <row r="28" spans="10:17" ht="12.75">
      <c r="J28" s="273"/>
      <c r="K28" s="273"/>
      <c r="L28" s="273"/>
      <c r="M28" s="273"/>
      <c r="N28" s="273"/>
      <c r="O28" s="273"/>
      <c r="P28" s="273"/>
      <c r="Q28" s="273"/>
    </row>
    <row r="29" ht="12.75">
      <c r="Z29" s="52"/>
    </row>
    <row r="31" spans="22:27" ht="12.75">
      <c r="V31" s="52"/>
      <c r="Y31" s="52"/>
      <c r="AA31" s="52"/>
    </row>
    <row r="34" ht="12.75">
      <c r="Q34" s="52"/>
    </row>
  </sheetData>
  <mergeCells count="6">
    <mergeCell ref="I7:K7"/>
    <mergeCell ref="N7:P7"/>
    <mergeCell ref="Q7:S7"/>
    <mergeCell ref="AB7:AD7"/>
    <mergeCell ref="T7:V7"/>
    <mergeCell ref="Y7:AA7"/>
  </mergeCells>
  <printOptions/>
  <pageMargins left="0.47" right="0.38" top="0.63" bottom="1" header="0.5" footer="0.5"/>
  <pageSetup firstPageNumber="20" useFirstPageNumber="1" horizontalDpi="600" verticalDpi="600" orientation="landscape" paperSize="9" scale="3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J45"/>
  <sheetViews>
    <sheetView zoomScale="90" zoomScaleNormal="90" zoomScaleSheetLayoutView="75" workbookViewId="0" topLeftCell="A22">
      <selection activeCell="C51" sqref="C51"/>
    </sheetView>
  </sheetViews>
  <sheetFormatPr defaultColWidth="9.00390625" defaultRowHeight="12.75"/>
  <cols>
    <col min="1" max="1" width="8.625" style="22" customWidth="1"/>
    <col min="2" max="2" width="9.625" style="22" customWidth="1"/>
    <col min="3" max="3" width="70.00390625" style="22" customWidth="1"/>
    <col min="4" max="4" width="21.25390625" style="22" bestFit="1" customWidth="1"/>
    <col min="5" max="5" width="15.75390625" style="22" hidden="1" customWidth="1"/>
    <col min="6" max="7" width="18.75390625" style="22" customWidth="1"/>
    <col min="8" max="8" width="11.375" style="22" customWidth="1"/>
    <col min="9" max="9" width="9.125" style="22" customWidth="1"/>
    <col min="10" max="16384" width="7.875" style="22" customWidth="1"/>
  </cols>
  <sheetData>
    <row r="1" spans="1:7" ht="12.75" customHeight="1">
      <c r="A1" s="375"/>
      <c r="B1" s="375"/>
      <c r="C1" s="375"/>
      <c r="D1" s="375"/>
      <c r="E1" s="376"/>
      <c r="F1" s="50" t="s">
        <v>33</v>
      </c>
      <c r="G1" s="376"/>
    </row>
    <row r="2" spans="1:7" ht="12.75" customHeight="1">
      <c r="A2" s="375"/>
      <c r="B2" s="375"/>
      <c r="C2" s="375"/>
      <c r="D2" s="375"/>
      <c r="E2" s="375"/>
      <c r="F2" s="22" t="s">
        <v>15</v>
      </c>
      <c r="G2" s="375"/>
    </row>
    <row r="3" spans="1:7" ht="15" customHeight="1">
      <c r="A3" s="375"/>
      <c r="B3" s="375"/>
      <c r="C3" s="377" t="s">
        <v>749</v>
      </c>
      <c r="D3" s="375"/>
      <c r="E3" s="376"/>
      <c r="F3" s="22" t="s">
        <v>337</v>
      </c>
      <c r="G3" s="375"/>
    </row>
    <row r="4" spans="1:7" ht="12.75" customHeight="1">
      <c r="A4" s="375"/>
      <c r="B4" s="375"/>
      <c r="C4" s="375"/>
      <c r="D4" s="375"/>
      <c r="E4" s="376"/>
      <c r="F4" s="22" t="s">
        <v>787</v>
      </c>
      <c r="G4" s="375"/>
    </row>
    <row r="5" spans="1:7" ht="10.5" customHeight="1">
      <c r="A5" s="375"/>
      <c r="B5" s="375"/>
      <c r="C5" s="375"/>
      <c r="D5" s="375"/>
      <c r="E5" s="375"/>
      <c r="F5" s="375"/>
      <c r="G5" s="375"/>
    </row>
    <row r="6" spans="1:7" ht="11.25" customHeight="1" thickBot="1">
      <c r="A6" s="375"/>
      <c r="B6" s="375"/>
      <c r="C6" s="375"/>
      <c r="D6" s="378"/>
      <c r="E6" s="378"/>
      <c r="F6" s="378"/>
      <c r="G6" s="379" t="s">
        <v>338</v>
      </c>
    </row>
    <row r="7" spans="1:7" ht="10.5" customHeight="1" thickTop="1">
      <c r="A7" s="327"/>
      <c r="B7" s="327"/>
      <c r="C7" s="327"/>
      <c r="D7" s="1631" t="s">
        <v>754</v>
      </c>
      <c r="E7" s="380"/>
      <c r="F7" s="380"/>
      <c r="G7" s="380"/>
    </row>
    <row r="8" spans="1:7" ht="57.75" customHeight="1" thickBot="1">
      <c r="A8" s="381" t="s">
        <v>342</v>
      </c>
      <c r="B8" s="381" t="s">
        <v>343</v>
      </c>
      <c r="C8" s="382" t="s">
        <v>750</v>
      </c>
      <c r="D8" s="1646"/>
      <c r="E8" s="383" t="s">
        <v>751</v>
      </c>
      <c r="F8" s="383" t="s">
        <v>405</v>
      </c>
      <c r="G8" s="383" t="s">
        <v>393</v>
      </c>
    </row>
    <row r="9" spans="1:7" ht="11.25" customHeight="1" thickBot="1" thickTop="1">
      <c r="A9" s="242">
        <v>1</v>
      </c>
      <c r="B9" s="242">
        <v>2</v>
      </c>
      <c r="C9" s="242">
        <v>3</v>
      </c>
      <c r="D9" s="242">
        <v>4</v>
      </c>
      <c r="E9" s="242">
        <v>5</v>
      </c>
      <c r="F9" s="242">
        <v>5</v>
      </c>
      <c r="G9" s="242">
        <v>6</v>
      </c>
    </row>
    <row r="10" spans="1:9" ht="18" customHeight="1" thickBot="1" thickTop="1">
      <c r="A10" s="244"/>
      <c r="B10" s="244"/>
      <c r="C10" s="384" t="s">
        <v>752</v>
      </c>
      <c r="D10" s="246">
        <v>17488870</v>
      </c>
      <c r="E10" s="246"/>
      <c r="F10" s="246">
        <f>F12+F36+F40</f>
        <v>324389</v>
      </c>
      <c r="G10" s="246">
        <f>D10+F10</f>
        <v>17813259</v>
      </c>
      <c r="H10" s="47"/>
      <c r="I10" s="47"/>
    </row>
    <row r="11" spans="1:7" ht="14.25" customHeight="1" thickTop="1">
      <c r="A11" s="67"/>
      <c r="B11" s="67"/>
      <c r="C11" s="385" t="s">
        <v>358</v>
      </c>
      <c r="D11" s="386"/>
      <c r="E11" s="386"/>
      <c r="F11" s="386"/>
      <c r="G11" s="386"/>
    </row>
    <row r="12" spans="1:7" s="45" customFormat="1" ht="15" customHeight="1" thickBot="1">
      <c r="A12" s="105"/>
      <c r="B12" s="105"/>
      <c r="C12" s="387" t="s">
        <v>753</v>
      </c>
      <c r="D12" s="106">
        <v>17031977</v>
      </c>
      <c r="E12" s="106"/>
      <c r="F12" s="106">
        <f>F13+F16+F23+F26+F29+F33</f>
        <v>236839</v>
      </c>
      <c r="G12" s="106">
        <f aca="true" t="shared" si="0" ref="G12:G40">D12+F12</f>
        <v>17268816</v>
      </c>
    </row>
    <row r="13" spans="1:7" s="45" customFormat="1" ht="17.25" customHeight="1" thickTop="1">
      <c r="A13" s="72">
        <v>600</v>
      </c>
      <c r="B13" s="72"/>
      <c r="C13" s="910" t="s">
        <v>364</v>
      </c>
      <c r="D13" s="389">
        <v>4170304</v>
      </c>
      <c r="E13" s="389"/>
      <c r="F13" s="389">
        <f>F14</f>
        <v>-196000</v>
      </c>
      <c r="G13" s="389">
        <f t="shared" si="0"/>
        <v>3974304</v>
      </c>
    </row>
    <row r="14" spans="1:7" s="392" customFormat="1" ht="18.75" customHeight="1">
      <c r="A14" s="76"/>
      <c r="B14" s="186">
        <v>60015</v>
      </c>
      <c r="C14" s="86" t="s">
        <v>712</v>
      </c>
      <c r="D14" s="391">
        <v>1744304</v>
      </c>
      <c r="E14" s="391"/>
      <c r="F14" s="391">
        <f>F15</f>
        <v>-196000</v>
      </c>
      <c r="G14" s="391">
        <f t="shared" si="0"/>
        <v>1548304</v>
      </c>
    </row>
    <row r="15" spans="1:7" s="45" customFormat="1" ht="19.5" customHeight="1">
      <c r="A15" s="68"/>
      <c r="B15" s="68"/>
      <c r="C15" s="911" t="s">
        <v>291</v>
      </c>
      <c r="D15" s="707">
        <v>453215</v>
      </c>
      <c r="E15" s="707"/>
      <c r="F15" s="707">
        <v>-196000</v>
      </c>
      <c r="G15" s="707">
        <f t="shared" si="0"/>
        <v>257215</v>
      </c>
    </row>
    <row r="16" spans="1:7" s="45" customFormat="1" ht="18" customHeight="1">
      <c r="A16" s="72">
        <v>801</v>
      </c>
      <c r="B16" s="72"/>
      <c r="C16" s="388" t="s">
        <v>367</v>
      </c>
      <c r="D16" s="389">
        <v>4731030</v>
      </c>
      <c r="E16" s="389"/>
      <c r="F16" s="389">
        <f>F17+F19+F21</f>
        <v>204618</v>
      </c>
      <c r="G16" s="389">
        <f t="shared" si="0"/>
        <v>4935648</v>
      </c>
    </row>
    <row r="17" spans="1:7" s="392" customFormat="1" ht="18.75" customHeight="1">
      <c r="A17" s="76"/>
      <c r="B17" s="186">
        <v>80101</v>
      </c>
      <c r="C17" s="390" t="s">
        <v>706</v>
      </c>
      <c r="D17" s="391">
        <v>1408480</v>
      </c>
      <c r="E17" s="391"/>
      <c r="F17" s="391">
        <f>F18</f>
        <v>48099</v>
      </c>
      <c r="G17" s="391">
        <f t="shared" si="0"/>
        <v>1456579</v>
      </c>
    </row>
    <row r="18" spans="1:10" s="45" customFormat="1" ht="18.75" customHeight="1">
      <c r="A18" s="80"/>
      <c r="B18" s="80"/>
      <c r="C18" s="393" t="s">
        <v>861</v>
      </c>
      <c r="D18" s="394">
        <v>1408480</v>
      </c>
      <c r="E18" s="394"/>
      <c r="F18" s="394">
        <f>64850-16751</f>
        <v>48099</v>
      </c>
      <c r="G18" s="394">
        <f t="shared" si="0"/>
        <v>1456579</v>
      </c>
      <c r="J18" s="1264"/>
    </row>
    <row r="19" spans="1:7" s="392" customFormat="1" ht="18.75" customHeight="1">
      <c r="A19" s="76"/>
      <c r="B19" s="186">
        <v>80104</v>
      </c>
      <c r="C19" s="390" t="s">
        <v>415</v>
      </c>
      <c r="D19" s="391">
        <v>553008</v>
      </c>
      <c r="E19" s="391"/>
      <c r="F19" s="391">
        <f>F20</f>
        <v>30869</v>
      </c>
      <c r="G19" s="391">
        <f t="shared" si="0"/>
        <v>583877</v>
      </c>
    </row>
    <row r="20" spans="1:10" s="45" customFormat="1" ht="18.75" customHeight="1">
      <c r="A20" s="80"/>
      <c r="B20" s="80"/>
      <c r="C20" s="393" t="s">
        <v>421</v>
      </c>
      <c r="D20" s="394">
        <v>553008</v>
      </c>
      <c r="E20" s="394"/>
      <c r="F20" s="394">
        <f>26300+4569</f>
        <v>30869</v>
      </c>
      <c r="G20" s="394">
        <f t="shared" si="0"/>
        <v>583877</v>
      </c>
      <c r="J20" s="1264"/>
    </row>
    <row r="21" spans="1:7" s="392" customFormat="1" ht="18.75" customHeight="1">
      <c r="A21" s="76"/>
      <c r="B21" s="186">
        <v>80110</v>
      </c>
      <c r="C21" s="390" t="s">
        <v>707</v>
      </c>
      <c r="D21" s="391">
        <v>1024682</v>
      </c>
      <c r="E21" s="391"/>
      <c r="F21" s="391">
        <f>F22</f>
        <v>125650</v>
      </c>
      <c r="G21" s="391">
        <f t="shared" si="0"/>
        <v>1150332</v>
      </c>
    </row>
    <row r="22" spans="1:7" s="45" customFormat="1" ht="18.75" customHeight="1">
      <c r="A22" s="80"/>
      <c r="B22" s="80"/>
      <c r="C22" s="603" t="s">
        <v>861</v>
      </c>
      <c r="D22" s="604">
        <v>1024682</v>
      </c>
      <c r="E22" s="604"/>
      <c r="F22" s="604">
        <f>95000+30650</f>
        <v>125650</v>
      </c>
      <c r="G22" s="604">
        <f t="shared" si="0"/>
        <v>1150332</v>
      </c>
    </row>
    <row r="23" spans="1:7" s="45" customFormat="1" ht="18.75" customHeight="1">
      <c r="A23" s="72">
        <v>852</v>
      </c>
      <c r="B23" s="72"/>
      <c r="C23" s="388" t="s">
        <v>368</v>
      </c>
      <c r="D23" s="389">
        <v>179499</v>
      </c>
      <c r="E23" s="389"/>
      <c r="F23" s="389">
        <f>F24</f>
        <v>22155</v>
      </c>
      <c r="G23" s="389">
        <f t="shared" si="0"/>
        <v>201654</v>
      </c>
    </row>
    <row r="24" spans="1:7" s="392" customFormat="1" ht="25.5">
      <c r="A24" s="76"/>
      <c r="B24" s="186">
        <v>85220</v>
      </c>
      <c r="C24" s="390" t="s">
        <v>285</v>
      </c>
      <c r="D24" s="391">
        <v>45000</v>
      </c>
      <c r="E24" s="391"/>
      <c r="F24" s="391">
        <f>F25</f>
        <v>22155</v>
      </c>
      <c r="G24" s="391">
        <f t="shared" si="0"/>
        <v>67155</v>
      </c>
    </row>
    <row r="25" spans="1:7" s="45" customFormat="1" ht="18.75" customHeight="1">
      <c r="A25" s="80"/>
      <c r="B25" s="80"/>
      <c r="C25" s="393" t="s">
        <v>287</v>
      </c>
      <c r="D25" s="394">
        <v>45000</v>
      </c>
      <c r="E25" s="394"/>
      <c r="F25" s="394">
        <v>22155</v>
      </c>
      <c r="G25" s="394">
        <f t="shared" si="0"/>
        <v>67155</v>
      </c>
    </row>
    <row r="26" spans="1:7" s="45" customFormat="1" ht="18.75" customHeight="1">
      <c r="A26" s="72">
        <v>853</v>
      </c>
      <c r="B26" s="72"/>
      <c r="C26" s="388" t="s">
        <v>412</v>
      </c>
      <c r="D26" s="389">
        <v>115000</v>
      </c>
      <c r="E26" s="389"/>
      <c r="F26" s="389">
        <f>F27</f>
        <v>5000</v>
      </c>
      <c r="G26" s="389">
        <f>D26+F26</f>
        <v>120000</v>
      </c>
    </row>
    <row r="27" spans="1:7" s="392" customFormat="1" ht="18.75" customHeight="1">
      <c r="A27" s="76"/>
      <c r="B27" s="186">
        <v>85333</v>
      </c>
      <c r="C27" s="390" t="s">
        <v>331</v>
      </c>
      <c r="D27" s="391">
        <v>95000</v>
      </c>
      <c r="E27" s="391"/>
      <c r="F27" s="391">
        <f>F28</f>
        <v>5000</v>
      </c>
      <c r="G27" s="391">
        <f>D27+F27</f>
        <v>100000</v>
      </c>
    </row>
    <row r="28" spans="1:7" s="45" customFormat="1" ht="18.75" customHeight="1">
      <c r="A28" s="80"/>
      <c r="B28" s="80"/>
      <c r="C28" s="603" t="s">
        <v>284</v>
      </c>
      <c r="D28" s="394">
        <v>95000</v>
      </c>
      <c r="E28" s="394"/>
      <c r="F28" s="394">
        <v>5000</v>
      </c>
      <c r="G28" s="394">
        <f>D28+F28</f>
        <v>100000</v>
      </c>
    </row>
    <row r="29" spans="1:7" s="45" customFormat="1" ht="18.75" customHeight="1">
      <c r="A29" s="72">
        <v>854</v>
      </c>
      <c r="B29" s="72"/>
      <c r="C29" s="388" t="s">
        <v>369</v>
      </c>
      <c r="D29" s="389">
        <v>380174</v>
      </c>
      <c r="E29" s="389"/>
      <c r="F29" s="389">
        <f>F30</f>
        <v>-4000</v>
      </c>
      <c r="G29" s="389">
        <f t="shared" si="0"/>
        <v>376174</v>
      </c>
    </row>
    <row r="30" spans="1:7" s="392" customFormat="1" ht="18.75" customHeight="1">
      <c r="A30" s="76"/>
      <c r="B30" s="186">
        <v>85403</v>
      </c>
      <c r="C30" s="390" t="s">
        <v>842</v>
      </c>
      <c r="D30" s="391">
        <v>226073</v>
      </c>
      <c r="E30" s="391"/>
      <c r="F30" s="391">
        <f>F31</f>
        <v>-4000</v>
      </c>
      <c r="G30" s="391">
        <f t="shared" si="0"/>
        <v>222073</v>
      </c>
    </row>
    <row r="31" spans="1:7" s="45" customFormat="1" ht="18.75" customHeight="1">
      <c r="A31" s="923"/>
      <c r="B31" s="923"/>
      <c r="C31" s="1517" t="s">
        <v>829</v>
      </c>
      <c r="D31" s="1518">
        <v>226073</v>
      </c>
      <c r="E31" s="1518"/>
      <c r="F31" s="1518">
        <v>-4000</v>
      </c>
      <c r="G31" s="1518">
        <f t="shared" si="0"/>
        <v>222073</v>
      </c>
    </row>
    <row r="32" spans="1:7" s="45" customFormat="1" ht="15.75" customHeight="1">
      <c r="A32" s="1515"/>
      <c r="B32" s="1515"/>
      <c r="C32" s="1516"/>
      <c r="D32" s="1503"/>
      <c r="E32" s="1503"/>
      <c r="F32" s="1503"/>
      <c r="G32" s="1503"/>
    </row>
    <row r="33" spans="1:7" s="45" customFormat="1" ht="18.75" customHeight="1">
      <c r="A33" s="431">
        <v>900</v>
      </c>
      <c r="B33" s="431"/>
      <c r="C33" s="1514" t="s">
        <v>798</v>
      </c>
      <c r="D33" s="87">
        <v>200000</v>
      </c>
      <c r="E33" s="87"/>
      <c r="F33" s="87">
        <f>F34</f>
        <v>205066</v>
      </c>
      <c r="G33" s="87">
        <f>D33+F33</f>
        <v>405066</v>
      </c>
    </row>
    <row r="34" spans="1:7" s="392" customFormat="1" ht="18.75" customHeight="1">
      <c r="A34" s="76"/>
      <c r="B34" s="186">
        <v>90002</v>
      </c>
      <c r="C34" s="390" t="s">
        <v>801</v>
      </c>
      <c r="D34" s="391"/>
      <c r="E34" s="391"/>
      <c r="F34" s="391">
        <f>F35</f>
        <v>205066</v>
      </c>
      <c r="G34" s="391">
        <f>D34+F34</f>
        <v>205066</v>
      </c>
    </row>
    <row r="35" spans="1:7" s="45" customFormat="1" ht="25.5">
      <c r="A35" s="80"/>
      <c r="B35" s="1513"/>
      <c r="C35" s="603" t="s">
        <v>504</v>
      </c>
      <c r="D35" s="604"/>
      <c r="E35" s="604"/>
      <c r="F35" s="604">
        <v>205066</v>
      </c>
      <c r="G35" s="604">
        <f>D35+F35</f>
        <v>205066</v>
      </c>
    </row>
    <row r="36" spans="1:7" s="45" customFormat="1" ht="19.5" customHeight="1" thickBot="1">
      <c r="A36" s="105"/>
      <c r="B36" s="105"/>
      <c r="C36" s="387" t="s">
        <v>26</v>
      </c>
      <c r="D36" s="106">
        <v>7000</v>
      </c>
      <c r="E36" s="106"/>
      <c r="F36" s="106">
        <f>F37</f>
        <v>87550</v>
      </c>
      <c r="G36" s="106">
        <f t="shared" si="0"/>
        <v>94550</v>
      </c>
    </row>
    <row r="37" spans="1:7" s="45" customFormat="1" ht="18.75" customHeight="1" thickTop="1">
      <c r="A37" s="72">
        <v>852</v>
      </c>
      <c r="B37" s="72"/>
      <c r="C37" s="92" t="s">
        <v>368</v>
      </c>
      <c r="D37" s="389"/>
      <c r="E37" s="389"/>
      <c r="F37" s="389">
        <f>F38</f>
        <v>87550</v>
      </c>
      <c r="G37" s="389">
        <f t="shared" si="0"/>
        <v>87550</v>
      </c>
    </row>
    <row r="38" spans="1:7" s="392" customFormat="1" ht="18.75" customHeight="1">
      <c r="A38" s="76"/>
      <c r="B38" s="186">
        <v>85295</v>
      </c>
      <c r="C38" s="77" t="s">
        <v>366</v>
      </c>
      <c r="D38" s="391"/>
      <c r="E38" s="391"/>
      <c r="F38" s="391">
        <f>F39</f>
        <v>87550</v>
      </c>
      <c r="G38" s="391">
        <f t="shared" si="0"/>
        <v>87550</v>
      </c>
    </row>
    <row r="39" spans="1:7" s="45" customFormat="1" ht="19.5" customHeight="1">
      <c r="A39" s="68"/>
      <c r="B39" s="68"/>
      <c r="C39" s="1313" t="s">
        <v>495</v>
      </c>
      <c r="D39" s="707"/>
      <c r="E39" s="707"/>
      <c r="F39" s="707">
        <f>20000+61000+6550</f>
        <v>87550</v>
      </c>
      <c r="G39" s="707">
        <f t="shared" si="0"/>
        <v>87550</v>
      </c>
    </row>
    <row r="40" spans="1:7" s="395" customFormat="1" ht="19.5" customHeight="1">
      <c r="A40" s="1322"/>
      <c r="B40" s="1322"/>
      <c r="C40" s="396" t="s">
        <v>442</v>
      </c>
      <c r="D40" s="397">
        <v>449893</v>
      </c>
      <c r="E40" s="397"/>
      <c r="F40" s="397"/>
      <c r="G40" s="397">
        <f t="shared" si="0"/>
        <v>449893</v>
      </c>
    </row>
    <row r="41" ht="16.5" customHeight="1"/>
    <row r="42" ht="12" customHeight="1"/>
    <row r="44" spans="2:7" ht="15">
      <c r="B44" s="1" t="s">
        <v>172</v>
      </c>
      <c r="C44" s="1"/>
      <c r="F44" s="1" t="s">
        <v>174</v>
      </c>
      <c r="G44" s="1"/>
    </row>
    <row r="45" spans="2:7" ht="12.75" customHeight="1">
      <c r="B45" s="48" t="s">
        <v>173</v>
      </c>
      <c r="C45" s="1"/>
      <c r="F45" s="48" t="s">
        <v>175</v>
      </c>
      <c r="G45" s="1"/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21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A1">
      <selection activeCell="B21" sqref="B21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4.00390625" style="0" customWidth="1"/>
    <col min="4" max="4" width="22.75390625" style="0" customWidth="1"/>
    <col min="5" max="5" width="15.75390625" style="0" customWidth="1"/>
    <col min="6" max="6" width="16.00390625" style="0" customWidth="1"/>
    <col min="7" max="7" width="43.625" style="0" customWidth="1"/>
  </cols>
  <sheetData>
    <row r="1" ht="12.75">
      <c r="G1" s="273" t="s">
        <v>851</v>
      </c>
    </row>
    <row r="2" spans="1:7" ht="15.75">
      <c r="A2" s="4" t="s">
        <v>124</v>
      </c>
      <c r="G2" s="22" t="s">
        <v>15</v>
      </c>
    </row>
    <row r="3" spans="1:36" s="1" customFormat="1" ht="17.25" customHeight="1">
      <c r="A3" s="4" t="s">
        <v>125</v>
      </c>
      <c r="G3" s="22" t="s">
        <v>337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17.25" customHeight="1">
      <c r="A4" s="4"/>
      <c r="G4" s="22" t="s">
        <v>443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3.5" thickBot="1">
      <c r="G5" s="1267" t="s">
        <v>126</v>
      </c>
    </row>
    <row r="6" spans="1:36" s="22" customFormat="1" ht="69.75" customHeight="1" thickBot="1" thickTop="1">
      <c r="A6" s="117" t="s">
        <v>342</v>
      </c>
      <c r="B6" s="116" t="s">
        <v>343</v>
      </c>
      <c r="C6" s="116" t="s">
        <v>127</v>
      </c>
      <c r="D6" s="1268" t="s">
        <v>128</v>
      </c>
      <c r="E6" s="1268" t="s">
        <v>405</v>
      </c>
      <c r="F6" s="1268" t="s">
        <v>129</v>
      </c>
      <c r="G6" s="1268" t="s">
        <v>141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 thickBot="1" thickTop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272" customFormat="1" ht="19.5" customHeight="1" thickTop="1">
      <c r="A8" s="1269"/>
      <c r="B8" s="1269"/>
      <c r="C8" s="1270" t="s">
        <v>381</v>
      </c>
      <c r="D8" s="1271">
        <v>32624094</v>
      </c>
      <c r="E8" s="1271">
        <f>E9+E14</f>
        <v>191462</v>
      </c>
      <c r="F8" s="1271">
        <f>D8+E8</f>
        <v>32815556</v>
      </c>
      <c r="G8" s="126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70" customFormat="1" ht="19.5" customHeight="1" thickBot="1">
      <c r="A9" s="1273"/>
      <c r="B9" s="1273"/>
      <c r="C9" s="1274" t="s">
        <v>142</v>
      </c>
      <c r="D9" s="1275">
        <v>20986474</v>
      </c>
      <c r="E9" s="1275">
        <f>E10</f>
        <v>1462</v>
      </c>
      <c r="F9" s="1275">
        <f aca="true" t="shared" si="0" ref="F9:F18">D9+E9</f>
        <v>20987936</v>
      </c>
      <c r="G9" s="1276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22" customFormat="1" ht="29.25" customHeight="1" thickBot="1">
      <c r="A10" s="69"/>
      <c r="B10" s="69"/>
      <c r="C10" s="1277" t="s">
        <v>501</v>
      </c>
      <c r="D10" s="1278">
        <v>20535013</v>
      </c>
      <c r="E10" s="1278">
        <f>E11</f>
        <v>1462</v>
      </c>
      <c r="F10" s="1278">
        <f t="shared" si="0"/>
        <v>20536475</v>
      </c>
      <c r="G10" s="127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2" customFormat="1" ht="19.5" customHeight="1" thickTop="1">
      <c r="A11" s="89">
        <v>801</v>
      </c>
      <c r="B11" s="89"/>
      <c r="C11" s="795" t="s">
        <v>367</v>
      </c>
      <c r="D11" s="597">
        <v>19290013</v>
      </c>
      <c r="E11" s="597">
        <f>E12</f>
        <v>1462</v>
      </c>
      <c r="F11" s="597">
        <f t="shared" si="0"/>
        <v>19291475</v>
      </c>
      <c r="G11" s="9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40" customFormat="1" ht="19.5" customHeight="1">
      <c r="A12" s="449"/>
      <c r="B12" s="77">
        <v>80101</v>
      </c>
      <c r="C12" s="323" t="s">
        <v>706</v>
      </c>
      <c r="D12" s="90">
        <v>1058000</v>
      </c>
      <c r="E12" s="90">
        <f>E13</f>
        <v>1462</v>
      </c>
      <c r="F12" s="90">
        <f t="shared" si="0"/>
        <v>1059462</v>
      </c>
      <c r="G12" s="32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2" customFormat="1" ht="25.5">
      <c r="A13" s="449"/>
      <c r="B13" s="761"/>
      <c r="C13" s="1095" t="s">
        <v>122</v>
      </c>
      <c r="D13" s="213">
        <v>1058000</v>
      </c>
      <c r="E13" s="213">
        <v>1462</v>
      </c>
      <c r="F13" s="213">
        <f t="shared" si="0"/>
        <v>1059462</v>
      </c>
      <c r="G13" s="723" t="s">
        <v>543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70" customFormat="1" ht="19.5" customHeight="1" thickBot="1">
      <c r="A14" s="1273"/>
      <c r="B14" s="1273"/>
      <c r="C14" s="1274" t="s">
        <v>444</v>
      </c>
      <c r="D14" s="1275">
        <v>6495690</v>
      </c>
      <c r="E14" s="1275">
        <f>E15</f>
        <v>190000</v>
      </c>
      <c r="F14" s="1275">
        <f>D14+E14</f>
        <v>6685690</v>
      </c>
      <c r="G14" s="127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22" customFormat="1" ht="39" customHeight="1" thickBot="1">
      <c r="A15" s="69"/>
      <c r="B15" s="69"/>
      <c r="C15" s="1364" t="s">
        <v>502</v>
      </c>
      <c r="D15" s="1281">
        <v>2238690</v>
      </c>
      <c r="E15" s="1281">
        <f>E16</f>
        <v>190000</v>
      </c>
      <c r="F15" s="1281">
        <f t="shared" si="0"/>
        <v>2428690</v>
      </c>
      <c r="G15" s="128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2" customFormat="1" ht="19.5" customHeight="1" thickTop="1">
      <c r="A16" s="89">
        <v>852</v>
      </c>
      <c r="B16" s="89"/>
      <c r="C16" s="795" t="s">
        <v>368</v>
      </c>
      <c r="D16" s="597">
        <v>2238690</v>
      </c>
      <c r="E16" s="597">
        <f>E17</f>
        <v>190000</v>
      </c>
      <c r="F16" s="597">
        <f t="shared" si="0"/>
        <v>2428690</v>
      </c>
      <c r="G16" s="9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40" customFormat="1" ht="19.5" customHeight="1">
      <c r="A17" s="449"/>
      <c r="B17" s="77">
        <v>85203</v>
      </c>
      <c r="C17" s="323" t="s">
        <v>789</v>
      </c>
      <c r="D17" s="90">
        <v>2238690</v>
      </c>
      <c r="E17" s="90">
        <f>E18</f>
        <v>190000</v>
      </c>
      <c r="F17" s="90">
        <f t="shared" si="0"/>
        <v>2428690</v>
      </c>
      <c r="G17" s="32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2" customFormat="1" ht="26.25" customHeight="1">
      <c r="A18" s="78"/>
      <c r="B18" s="77"/>
      <c r="C18" s="1365" t="s">
        <v>503</v>
      </c>
      <c r="D18" s="1366"/>
      <c r="E18" s="1366">
        <v>190000</v>
      </c>
      <c r="F18" s="1366">
        <f t="shared" si="0"/>
        <v>190000</v>
      </c>
      <c r="G18" s="1367" t="s">
        <v>544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ht="24" customHeight="1"/>
    <row r="20" ht="18" customHeight="1"/>
    <row r="21" spans="2:8" ht="15">
      <c r="B21" s="1" t="s">
        <v>172</v>
      </c>
      <c r="C21" s="1"/>
      <c r="G21" s="1" t="s">
        <v>174</v>
      </c>
      <c r="H21" s="1"/>
    </row>
    <row r="22" spans="2:8" ht="13.5" customHeight="1">
      <c r="B22" s="48" t="s">
        <v>173</v>
      </c>
      <c r="C22" s="1"/>
      <c r="G22" s="48" t="s">
        <v>175</v>
      </c>
      <c r="H22" s="1"/>
    </row>
  </sheetData>
  <printOptions horizontalCentered="1"/>
  <pageMargins left="0.5118110236220472" right="0.5118110236220472" top="0.6692913385826772" bottom="0.7086614173228347" header="0.5118110236220472" footer="0.5118110236220472"/>
  <pageSetup firstPageNumber="23" useFirstPageNumber="1" horizontalDpi="600" verticalDpi="600" orientation="landscape" paperSize="9" scale="8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4">
      <selection activeCell="A20" sqref="A20"/>
    </sheetView>
  </sheetViews>
  <sheetFormatPr defaultColWidth="9.00390625" defaultRowHeight="12.75"/>
  <cols>
    <col min="1" max="1" width="6.625" style="1133" customWidth="1"/>
    <col min="2" max="2" width="8.125" style="1133" customWidth="1"/>
    <col min="3" max="3" width="68.375" style="1133" customWidth="1"/>
    <col min="4" max="4" width="18.875" style="1135" customWidth="1"/>
    <col min="5" max="6" width="16.00390625" style="1135" customWidth="1"/>
    <col min="7" max="7" width="17.75390625" style="1135" customWidth="1"/>
    <col min="8" max="9" width="14.125" style="0" customWidth="1"/>
  </cols>
  <sheetData>
    <row r="1" spans="1:7" ht="18" customHeight="1">
      <c r="A1" s="1130"/>
      <c r="B1" s="1130"/>
      <c r="C1" s="1131"/>
      <c r="D1" s="1132"/>
      <c r="E1" s="1132"/>
      <c r="F1" s="50" t="s">
        <v>852</v>
      </c>
      <c r="G1" s="22"/>
    </row>
    <row r="2" spans="2:7" ht="14.25" customHeight="1">
      <c r="B2" s="1134" t="s">
        <v>628</v>
      </c>
      <c r="C2" s="1132"/>
      <c r="D2" s="1132"/>
      <c r="E2" s="1132"/>
      <c r="F2" s="22" t="s">
        <v>15</v>
      </c>
      <c r="G2" s="22"/>
    </row>
    <row r="3" spans="2:7" ht="14.25" customHeight="1">
      <c r="B3" s="1134" t="s">
        <v>545</v>
      </c>
      <c r="C3" s="1132"/>
      <c r="F3" s="22" t="s">
        <v>337</v>
      </c>
      <c r="G3" s="22"/>
    </row>
    <row r="4" spans="1:7" ht="14.25" customHeight="1">
      <c r="A4" s="1136"/>
      <c r="B4" s="1137"/>
      <c r="C4" s="1137"/>
      <c r="D4" s="1132"/>
      <c r="E4" s="1132"/>
      <c r="F4" s="22" t="s">
        <v>787</v>
      </c>
      <c r="G4" s="22"/>
    </row>
    <row r="5" spans="1:7" ht="9.75" customHeight="1">
      <c r="A5" s="1138"/>
      <c r="B5" s="1136"/>
      <c r="C5" s="1136"/>
      <c r="D5" s="1136"/>
      <c r="E5" s="1136"/>
      <c r="F5" s="1136"/>
      <c r="G5" s="1136"/>
    </row>
    <row r="6" spans="1:7" ht="12" customHeight="1" thickBot="1">
      <c r="A6" s="1139"/>
      <c r="B6" s="1139"/>
      <c r="C6" s="1131"/>
      <c r="D6" s="1139"/>
      <c r="E6" s="1139"/>
      <c r="F6" s="1139"/>
      <c r="G6" s="1098" t="s">
        <v>338</v>
      </c>
    </row>
    <row r="7" spans="1:7" ht="82.5" customHeight="1" thickBot="1" thickTop="1">
      <c r="A7" s="1140" t="s">
        <v>342</v>
      </c>
      <c r="B7" s="1140" t="s">
        <v>343</v>
      </c>
      <c r="C7" s="1140" t="s">
        <v>339</v>
      </c>
      <c r="D7" s="118" t="s">
        <v>716</v>
      </c>
      <c r="E7" s="1141" t="s">
        <v>379</v>
      </c>
      <c r="F7" s="1141" t="s">
        <v>380</v>
      </c>
      <c r="G7" s="1141" t="s">
        <v>393</v>
      </c>
    </row>
    <row r="8" spans="1:7" ht="15" customHeight="1" thickBot="1" thickTop="1">
      <c r="A8" s="1142">
        <v>1</v>
      </c>
      <c r="B8" s="1142">
        <v>2</v>
      </c>
      <c r="C8" s="211">
        <v>4</v>
      </c>
      <c r="D8" s="1142">
        <v>5</v>
      </c>
      <c r="E8" s="1142">
        <v>6</v>
      </c>
      <c r="F8" s="1142">
        <v>7</v>
      </c>
      <c r="G8" s="1142">
        <v>8</v>
      </c>
    </row>
    <row r="9" spans="1:7" ht="18" customHeight="1" thickTop="1">
      <c r="A9" s="968">
        <v>750</v>
      </c>
      <c r="B9" s="1004"/>
      <c r="C9" s="1143" t="s">
        <v>371</v>
      </c>
      <c r="D9" s="968">
        <v>417000</v>
      </c>
      <c r="E9" s="968">
        <f>E10</f>
        <v>8000</v>
      </c>
      <c r="F9" s="968">
        <f>F10</f>
        <v>8000</v>
      </c>
      <c r="G9" s="968">
        <f aca="true" t="shared" si="0" ref="G9:G15">D9+F9-E9</f>
        <v>417000</v>
      </c>
    </row>
    <row r="10" spans="1:7" ht="18" customHeight="1">
      <c r="A10" s="1144"/>
      <c r="B10" s="1145">
        <v>75022</v>
      </c>
      <c r="C10" s="1146" t="s">
        <v>622</v>
      </c>
      <c r="D10" s="137">
        <v>417000</v>
      </c>
      <c r="E10" s="137">
        <f>SUM(E11:E15)</f>
        <v>8000</v>
      </c>
      <c r="F10" s="137">
        <f>SUM(F11:F15)</f>
        <v>8000</v>
      </c>
      <c r="G10" s="137">
        <f t="shared" si="0"/>
        <v>417000</v>
      </c>
    </row>
    <row r="11" spans="1:7" s="174" customFormat="1" ht="18" customHeight="1">
      <c r="A11" s="1147"/>
      <c r="B11" s="1147"/>
      <c r="C11" s="1368" t="s">
        <v>631</v>
      </c>
      <c r="D11" s="267">
        <v>15800</v>
      </c>
      <c r="E11" s="267"/>
      <c r="F11" s="267">
        <v>400</v>
      </c>
      <c r="G11" s="267">
        <f t="shared" si="0"/>
        <v>16200</v>
      </c>
    </row>
    <row r="12" spans="1:7" s="174" customFormat="1" ht="18" customHeight="1">
      <c r="A12" s="267"/>
      <c r="B12" s="267"/>
      <c r="C12" s="1369" t="s">
        <v>632</v>
      </c>
      <c r="D12" s="1148">
        <v>18500</v>
      </c>
      <c r="E12" s="1148">
        <v>8000</v>
      </c>
      <c r="F12" s="1148"/>
      <c r="G12" s="1148">
        <f t="shared" si="0"/>
        <v>10500</v>
      </c>
    </row>
    <row r="13" spans="1:7" s="174" customFormat="1" ht="18" customHeight="1">
      <c r="A13" s="965"/>
      <c r="B13" s="965"/>
      <c r="C13" s="1369" t="s">
        <v>633</v>
      </c>
      <c r="D13" s="1149">
        <v>20100</v>
      </c>
      <c r="E13" s="1148"/>
      <c r="F13" s="1148">
        <v>3500</v>
      </c>
      <c r="G13" s="1148">
        <f t="shared" si="0"/>
        <v>23600</v>
      </c>
    </row>
    <row r="14" spans="1:7" s="174" customFormat="1" ht="18" customHeight="1">
      <c r="A14" s="965"/>
      <c r="B14" s="965"/>
      <c r="C14" s="1369" t="s">
        <v>634</v>
      </c>
      <c r="D14" s="1149">
        <v>19200</v>
      </c>
      <c r="E14" s="1148"/>
      <c r="F14" s="1148">
        <v>3100</v>
      </c>
      <c r="G14" s="1148">
        <f t="shared" si="0"/>
        <v>22300</v>
      </c>
    </row>
    <row r="15" spans="1:7" s="174" customFormat="1" ht="18" customHeight="1">
      <c r="A15" s="1171"/>
      <c r="B15" s="1171"/>
      <c r="C15" s="1370" t="s">
        <v>635</v>
      </c>
      <c r="D15" s="1172">
        <v>20700</v>
      </c>
      <c r="E15" s="1172"/>
      <c r="F15" s="1173">
        <v>1000</v>
      </c>
      <c r="G15" s="1173">
        <f t="shared" si="0"/>
        <v>21700</v>
      </c>
    </row>
    <row r="16" ht="20.25" customHeight="1"/>
    <row r="17" ht="16.5" customHeight="1"/>
    <row r="18" spans="2:6" ht="15">
      <c r="B18" s="1" t="s">
        <v>172</v>
      </c>
      <c r="D18" s="1"/>
      <c r="F18" s="1" t="s">
        <v>174</v>
      </c>
    </row>
    <row r="19" spans="2:6" ht="12.75" customHeight="1">
      <c r="B19" s="48" t="s">
        <v>173</v>
      </c>
      <c r="D19" s="1"/>
      <c r="F19" s="48" t="s">
        <v>175</v>
      </c>
    </row>
  </sheetData>
  <printOptions horizontalCentered="1"/>
  <pageMargins left="0.4724409448818898" right="0.4724409448818898" top="0.55" bottom="0.77" header="0.42" footer="0.5118110236220472"/>
  <pageSetup firstPageNumber="24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J65"/>
  <sheetViews>
    <sheetView zoomScale="90" zoomScaleNormal="90" zoomScaleSheetLayoutView="75" workbookViewId="0" topLeftCell="C1">
      <selection activeCell="F64" sqref="F64:G65"/>
    </sheetView>
  </sheetViews>
  <sheetFormatPr defaultColWidth="9.00390625" defaultRowHeight="12.75"/>
  <cols>
    <col min="1" max="1" width="5.375" style="22" customWidth="1"/>
    <col min="2" max="2" width="8.625" style="22" customWidth="1"/>
    <col min="3" max="3" width="8.25390625" style="22" customWidth="1"/>
    <col min="4" max="4" width="66.625" style="22" customWidth="1"/>
    <col min="5" max="5" width="22.75390625" style="22" customWidth="1"/>
    <col min="6" max="6" width="19.00390625" style="22" customWidth="1"/>
    <col min="7" max="7" width="20.375" style="22" customWidth="1"/>
    <col min="8" max="8" width="12.00390625" style="22" customWidth="1"/>
    <col min="9" max="9" width="11.125" style="22" customWidth="1"/>
    <col min="10" max="10" width="15.25390625" style="22" customWidth="1"/>
    <col min="11" max="16384" width="9.125" style="22" customWidth="1"/>
  </cols>
  <sheetData>
    <row r="1" spans="2:6" ht="15" customHeight="1">
      <c r="B1" s="240"/>
      <c r="C1" s="240"/>
      <c r="F1" s="50" t="s">
        <v>853</v>
      </c>
    </row>
    <row r="2" ht="15" customHeight="1">
      <c r="F2" s="22" t="s">
        <v>15</v>
      </c>
    </row>
    <row r="3" spans="4:6" ht="15" customHeight="1">
      <c r="D3" s="3" t="s">
        <v>714</v>
      </c>
      <c r="F3" s="22" t="s">
        <v>337</v>
      </c>
    </row>
    <row r="4" ht="15" customHeight="1">
      <c r="F4" s="22" t="s">
        <v>787</v>
      </c>
    </row>
    <row r="5" ht="14.25" customHeight="1" thickBot="1">
      <c r="G5" s="54" t="s">
        <v>338</v>
      </c>
    </row>
    <row r="6" spans="1:7" ht="67.5" customHeight="1" thickBot="1" thickTop="1">
      <c r="A6" s="241" t="s">
        <v>389</v>
      </c>
      <c r="B6" s="241" t="s">
        <v>343</v>
      </c>
      <c r="C6" s="118" t="s">
        <v>375</v>
      </c>
      <c r="D6" s="118" t="s">
        <v>715</v>
      </c>
      <c r="E6" s="118" t="s">
        <v>716</v>
      </c>
      <c r="F6" s="118" t="s">
        <v>405</v>
      </c>
      <c r="G6" s="117" t="s">
        <v>393</v>
      </c>
    </row>
    <row r="7" spans="1:7" s="243" customFormat="1" ht="15.75" customHeight="1" thickBot="1" thickTop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11">
        <v>7</v>
      </c>
    </row>
    <row r="8" spans="1:10" ht="21" customHeight="1" thickBot="1" thickTop="1">
      <c r="A8" s="244"/>
      <c r="B8" s="244"/>
      <c r="C8" s="244"/>
      <c r="D8" s="245" t="s">
        <v>717</v>
      </c>
      <c r="E8" s="266">
        <v>903645680</v>
      </c>
      <c r="F8" s="246">
        <f>F10+F37</f>
        <v>4292895</v>
      </c>
      <c r="G8" s="246">
        <f>E8+F8</f>
        <v>907938575</v>
      </c>
      <c r="H8" s="47"/>
      <c r="I8" s="47"/>
      <c r="J8" s="47"/>
    </row>
    <row r="9" spans="1:7" ht="13.5" customHeight="1" thickTop="1">
      <c r="A9" s="67"/>
      <c r="B9" s="67"/>
      <c r="C9" s="67"/>
      <c r="D9" s="67" t="s">
        <v>358</v>
      </c>
      <c r="E9" s="267"/>
      <c r="F9" s="247"/>
      <c r="G9" s="247"/>
    </row>
    <row r="10" spans="1:10" ht="18.75" customHeight="1" thickBot="1">
      <c r="A10" s="67"/>
      <c r="B10" s="67"/>
      <c r="C10" s="67"/>
      <c r="D10" s="248" t="s">
        <v>725</v>
      </c>
      <c r="E10" s="268">
        <v>620480732</v>
      </c>
      <c r="F10" s="249">
        <f>F11+F12+F13+F27+F32</f>
        <v>2311395</v>
      </c>
      <c r="G10" s="249">
        <f aca="true" t="shared" si="0" ref="G10:G54">E10+F10</f>
        <v>622792127</v>
      </c>
      <c r="H10" s="47"/>
      <c r="J10" s="47"/>
    </row>
    <row r="11" spans="1:7" s="240" customFormat="1" ht="16.5" customHeight="1" thickBot="1">
      <c r="A11" s="85"/>
      <c r="B11" s="85"/>
      <c r="C11" s="85"/>
      <c r="D11" s="250" t="s">
        <v>718</v>
      </c>
      <c r="E11" s="115">
        <v>403289173</v>
      </c>
      <c r="F11" s="71"/>
      <c r="G11" s="251">
        <f t="shared" si="0"/>
        <v>403289173</v>
      </c>
    </row>
    <row r="12" spans="1:7" s="240" customFormat="1" ht="17.25" customHeight="1" thickBot="1" thickTop="1">
      <c r="A12" s="85"/>
      <c r="B12" s="85"/>
      <c r="C12" s="85"/>
      <c r="D12" s="252" t="s">
        <v>719</v>
      </c>
      <c r="E12" s="151">
        <v>109011682</v>
      </c>
      <c r="F12" s="253"/>
      <c r="G12" s="71">
        <f t="shared" si="0"/>
        <v>109011682</v>
      </c>
    </row>
    <row r="13" spans="1:7" s="240" customFormat="1" ht="18.75" customHeight="1" thickBot="1" thickTop="1">
      <c r="A13" s="85"/>
      <c r="B13" s="85"/>
      <c r="C13" s="85"/>
      <c r="D13" s="252" t="s">
        <v>720</v>
      </c>
      <c r="E13" s="115">
        <v>30731563</v>
      </c>
      <c r="F13" s="71">
        <f>F18+F14+F22</f>
        <v>1373837</v>
      </c>
      <c r="G13" s="254">
        <f t="shared" si="0"/>
        <v>32105400</v>
      </c>
    </row>
    <row r="14" spans="1:7" ht="19.5" customHeight="1" thickTop="1">
      <c r="A14" s="184">
        <v>801</v>
      </c>
      <c r="B14" s="72"/>
      <c r="C14" s="255"/>
      <c r="D14" s="232" t="s">
        <v>367</v>
      </c>
      <c r="E14" s="238">
        <v>576147</v>
      </c>
      <c r="F14" s="256">
        <f>F15</f>
        <v>185674</v>
      </c>
      <c r="G14" s="87">
        <f>E14+F14</f>
        <v>761821</v>
      </c>
    </row>
    <row r="15" spans="1:7" ht="20.25" customHeight="1">
      <c r="A15" s="257"/>
      <c r="B15" s="226">
        <v>80101</v>
      </c>
      <c r="C15" s="258"/>
      <c r="D15" s="477" t="s">
        <v>706</v>
      </c>
      <c r="E15" s="427">
        <v>551400</v>
      </c>
      <c r="F15" s="259">
        <f>F16</f>
        <v>185674</v>
      </c>
      <c r="G15" s="225">
        <f>E15+F15</f>
        <v>737074</v>
      </c>
    </row>
    <row r="16" spans="1:7" ht="25.5">
      <c r="A16" s="185"/>
      <c r="B16" s="76"/>
      <c r="C16" s="215"/>
      <c r="D16" s="478" t="s">
        <v>790</v>
      </c>
      <c r="E16" s="413"/>
      <c r="F16" s="260">
        <f>F17</f>
        <v>185674</v>
      </c>
      <c r="G16" s="261">
        <f>E16+F16</f>
        <v>185674</v>
      </c>
    </row>
    <row r="17" spans="1:7" ht="25.5">
      <c r="A17" s="85"/>
      <c r="B17" s="85"/>
      <c r="C17" s="262">
        <v>2030</v>
      </c>
      <c r="D17" s="479" t="s">
        <v>848</v>
      </c>
      <c r="E17" s="428"/>
      <c r="F17" s="263">
        <v>185674</v>
      </c>
      <c r="G17" s="263">
        <f>E17+F17</f>
        <v>185674</v>
      </c>
    </row>
    <row r="18" spans="1:7" ht="19.5" customHeight="1">
      <c r="A18" s="184">
        <v>852</v>
      </c>
      <c r="B18" s="72"/>
      <c r="C18" s="255"/>
      <c r="D18" s="232" t="s">
        <v>368</v>
      </c>
      <c r="E18" s="238">
        <v>11835843</v>
      </c>
      <c r="F18" s="256">
        <f>F19</f>
        <v>215000</v>
      </c>
      <c r="G18" s="87">
        <f t="shared" si="0"/>
        <v>12050843</v>
      </c>
    </row>
    <row r="19" spans="1:7" ht="20.25" customHeight="1">
      <c r="A19" s="257"/>
      <c r="B19" s="226">
        <v>85295</v>
      </c>
      <c r="C19" s="258"/>
      <c r="D19" s="477" t="s">
        <v>366</v>
      </c>
      <c r="E19" s="427">
        <v>3000000</v>
      </c>
      <c r="F19" s="259">
        <f>F20</f>
        <v>215000</v>
      </c>
      <c r="G19" s="225">
        <f t="shared" si="0"/>
        <v>3215000</v>
      </c>
    </row>
    <row r="20" spans="1:7" ht="25.5">
      <c r="A20" s="185"/>
      <c r="B20" s="76"/>
      <c r="C20" s="215"/>
      <c r="D20" s="478" t="s">
        <v>788</v>
      </c>
      <c r="E20" s="413">
        <v>3000000</v>
      </c>
      <c r="F20" s="260">
        <f>F21</f>
        <v>215000</v>
      </c>
      <c r="G20" s="261">
        <f t="shared" si="0"/>
        <v>3215000</v>
      </c>
    </row>
    <row r="21" spans="1:7" ht="25.5">
      <c r="A21" s="85"/>
      <c r="B21" s="85"/>
      <c r="C21" s="262">
        <v>2030</v>
      </c>
      <c r="D21" s="479" t="s">
        <v>848</v>
      </c>
      <c r="E21" s="428">
        <v>3000000</v>
      </c>
      <c r="F21" s="263">
        <v>215000</v>
      </c>
      <c r="G21" s="263">
        <f t="shared" si="0"/>
        <v>3215000</v>
      </c>
    </row>
    <row r="22" spans="1:7" ht="19.5" customHeight="1">
      <c r="A22" s="184">
        <v>854</v>
      </c>
      <c r="B22" s="72"/>
      <c r="C22" s="255"/>
      <c r="D22" s="232" t="s">
        <v>369</v>
      </c>
      <c r="E22" s="238">
        <v>1123517</v>
      </c>
      <c r="F22" s="256">
        <f>F23</f>
        <v>973163</v>
      </c>
      <c r="G22" s="87">
        <f>E22+F22</f>
        <v>2096680</v>
      </c>
    </row>
    <row r="23" spans="1:7" ht="20.25" customHeight="1">
      <c r="A23" s="257"/>
      <c r="B23" s="226">
        <v>85415</v>
      </c>
      <c r="C23" s="258"/>
      <c r="D23" s="477" t="s">
        <v>705</v>
      </c>
      <c r="E23" s="427">
        <v>1123517</v>
      </c>
      <c r="F23" s="259">
        <f>F24</f>
        <v>973163</v>
      </c>
      <c r="G23" s="225">
        <f>E23+F23</f>
        <v>2096680</v>
      </c>
    </row>
    <row r="24" spans="1:7" ht="27" customHeight="1">
      <c r="A24" s="185"/>
      <c r="B24" s="76"/>
      <c r="C24" s="215"/>
      <c r="D24" s="1212" t="s">
        <v>697</v>
      </c>
      <c r="E24" s="413">
        <v>1063517</v>
      </c>
      <c r="F24" s="260">
        <f>F25</f>
        <v>973163</v>
      </c>
      <c r="G24" s="261">
        <f>E24+F24</f>
        <v>2036680</v>
      </c>
    </row>
    <row r="25" spans="1:7" ht="25.5">
      <c r="A25" s="85"/>
      <c r="B25" s="85"/>
      <c r="C25" s="1504">
        <v>2030</v>
      </c>
      <c r="D25" s="1505" t="s">
        <v>848</v>
      </c>
      <c r="E25" s="1506">
        <v>1063517</v>
      </c>
      <c r="F25" s="1000">
        <v>973163</v>
      </c>
      <c r="G25" s="1000">
        <f>E25+F25</f>
        <v>2036680</v>
      </c>
    </row>
    <row r="26" spans="1:7" ht="42.75" customHeight="1">
      <c r="A26" s="1507"/>
      <c r="B26" s="1507"/>
      <c r="C26" s="1508"/>
      <c r="D26" s="1509"/>
      <c r="E26" s="1510"/>
      <c r="F26" s="1511"/>
      <c r="G26" s="1511"/>
    </row>
    <row r="27" spans="1:7" s="240" customFormat="1" ht="29.25" customHeight="1" thickBot="1">
      <c r="A27" s="264"/>
      <c r="B27" s="264"/>
      <c r="C27" s="264"/>
      <c r="D27" s="265" t="s">
        <v>721</v>
      </c>
      <c r="E27" s="115">
        <v>828936</v>
      </c>
      <c r="F27" s="71">
        <f>F28</f>
        <v>30000</v>
      </c>
      <c r="G27" s="71">
        <f t="shared" si="0"/>
        <v>858936</v>
      </c>
    </row>
    <row r="28" spans="1:7" ht="19.5" customHeight="1" thickTop="1">
      <c r="A28" s="1181">
        <v>710</v>
      </c>
      <c r="B28" s="1181"/>
      <c r="C28" s="1182"/>
      <c r="D28" s="1183" t="s">
        <v>756</v>
      </c>
      <c r="E28" s="238"/>
      <c r="F28" s="256">
        <f>F29</f>
        <v>30000</v>
      </c>
      <c r="G28" s="87">
        <f>E28+F28</f>
        <v>30000</v>
      </c>
    </row>
    <row r="29" spans="1:7" ht="20.25" customHeight="1">
      <c r="A29" s="1184"/>
      <c r="B29" s="1185">
        <v>71035</v>
      </c>
      <c r="C29" s="1186"/>
      <c r="D29" s="1187" t="s">
        <v>332</v>
      </c>
      <c r="E29" s="427"/>
      <c r="F29" s="259">
        <f>F30</f>
        <v>30000</v>
      </c>
      <c r="G29" s="225">
        <f>E29+F29</f>
        <v>30000</v>
      </c>
    </row>
    <row r="30" spans="1:7" ht="25.5">
      <c r="A30" s="85"/>
      <c r="B30" s="85"/>
      <c r="C30" s="1188"/>
      <c r="D30" s="1191" t="s">
        <v>638</v>
      </c>
      <c r="E30" s="413"/>
      <c r="F30" s="260">
        <f>F31</f>
        <v>30000</v>
      </c>
      <c r="G30" s="261">
        <f>E30+F30</f>
        <v>30000</v>
      </c>
    </row>
    <row r="31" spans="1:7" ht="25.5" customHeight="1">
      <c r="A31" s="85"/>
      <c r="B31" s="85"/>
      <c r="C31" s="1189">
        <v>2020</v>
      </c>
      <c r="D31" s="1127" t="s">
        <v>639</v>
      </c>
      <c r="E31" s="428"/>
      <c r="F31" s="263">
        <v>30000</v>
      </c>
      <c r="G31" s="263">
        <f>E31+F31</f>
        <v>30000</v>
      </c>
    </row>
    <row r="32" spans="1:7" s="240" customFormat="1" ht="29.25" customHeight="1" thickBot="1">
      <c r="A32" s="264"/>
      <c r="B32" s="264"/>
      <c r="C32" s="264"/>
      <c r="D32" s="265" t="s">
        <v>722</v>
      </c>
      <c r="E32" s="115">
        <v>76619378</v>
      </c>
      <c r="F32" s="71">
        <f>F33</f>
        <v>907558</v>
      </c>
      <c r="G32" s="71">
        <f t="shared" si="0"/>
        <v>77526936</v>
      </c>
    </row>
    <row r="33" spans="1:7" ht="26.25" thickTop="1">
      <c r="A33" s="184">
        <v>751</v>
      </c>
      <c r="B33" s="72"/>
      <c r="C33" s="255"/>
      <c r="D33" s="795" t="s">
        <v>624</v>
      </c>
      <c r="E33" s="256">
        <v>29100</v>
      </c>
      <c r="F33" s="256">
        <f>F34</f>
        <v>907558</v>
      </c>
      <c r="G33" s="87">
        <f t="shared" si="0"/>
        <v>936658</v>
      </c>
    </row>
    <row r="34" spans="1:7" ht="37.5" customHeight="1">
      <c r="A34" s="257"/>
      <c r="B34" s="226">
        <v>75109</v>
      </c>
      <c r="C34" s="258"/>
      <c r="D34" s="323" t="s">
        <v>825</v>
      </c>
      <c r="E34" s="259"/>
      <c r="F34" s="259">
        <f>F35</f>
        <v>907558</v>
      </c>
      <c r="G34" s="225">
        <f t="shared" si="0"/>
        <v>907558</v>
      </c>
    </row>
    <row r="35" spans="1:7" ht="25.5" customHeight="1">
      <c r="A35" s="185"/>
      <c r="B35" s="76"/>
      <c r="C35" s="215"/>
      <c r="D35" s="101" t="s">
        <v>627</v>
      </c>
      <c r="E35" s="260"/>
      <c r="F35" s="260">
        <f>F36</f>
        <v>907558</v>
      </c>
      <c r="G35" s="261">
        <f t="shared" si="0"/>
        <v>907558</v>
      </c>
    </row>
    <row r="36" spans="1:7" ht="26.25" customHeight="1">
      <c r="A36" s="85"/>
      <c r="B36" s="85"/>
      <c r="C36" s="262">
        <v>2010</v>
      </c>
      <c r="D36" s="1127" t="s">
        <v>826</v>
      </c>
      <c r="E36" s="84"/>
      <c r="F36" s="263">
        <v>907558</v>
      </c>
      <c r="G36" s="263">
        <f t="shared" si="0"/>
        <v>907558</v>
      </c>
    </row>
    <row r="37" spans="1:7" s="240" customFormat="1" ht="20.25" customHeight="1" thickBot="1">
      <c r="A37" s="67"/>
      <c r="B37" s="67"/>
      <c r="C37" s="67"/>
      <c r="D37" s="142" t="s">
        <v>822</v>
      </c>
      <c r="E37" s="628">
        <v>283164948</v>
      </c>
      <c r="F37" s="629">
        <f>F38+F39+F40+F41+F50</f>
        <v>1981500</v>
      </c>
      <c r="G37" s="629">
        <f t="shared" si="0"/>
        <v>285146448</v>
      </c>
    </row>
    <row r="38" spans="1:7" s="240" customFormat="1" ht="19.5" customHeight="1" thickBot="1">
      <c r="A38" s="85"/>
      <c r="B38" s="85"/>
      <c r="C38" s="85"/>
      <c r="D38" s="621" t="s">
        <v>718</v>
      </c>
      <c r="E38" s="151">
        <v>72360210</v>
      </c>
      <c r="F38" s="622"/>
      <c r="G38" s="106">
        <f t="shared" si="0"/>
        <v>72360210</v>
      </c>
    </row>
    <row r="39" spans="1:7" s="240" customFormat="1" ht="20.25" customHeight="1" thickBot="1" thickTop="1">
      <c r="A39" s="85"/>
      <c r="B39" s="85"/>
      <c r="C39" s="85"/>
      <c r="D39" s="623" t="s">
        <v>723</v>
      </c>
      <c r="E39" s="624">
        <v>134984634</v>
      </c>
      <c r="F39" s="625"/>
      <c r="G39" s="625">
        <f t="shared" si="0"/>
        <v>134984634</v>
      </c>
    </row>
    <row r="40" spans="1:7" s="240" customFormat="1" ht="18.75" customHeight="1" thickBot="1" thickTop="1">
      <c r="A40" s="85"/>
      <c r="B40" s="85"/>
      <c r="C40" s="85"/>
      <c r="D40" s="252" t="s">
        <v>720</v>
      </c>
      <c r="E40" s="151">
        <v>48711495</v>
      </c>
      <c r="F40" s="106"/>
      <c r="G40" s="106">
        <f t="shared" si="0"/>
        <v>48711495</v>
      </c>
    </row>
    <row r="41" spans="1:7" ht="28.5" customHeight="1" thickBot="1" thickTop="1">
      <c r="A41" s="86"/>
      <c r="B41" s="86"/>
      <c r="C41" s="86"/>
      <c r="D41" s="630" t="s">
        <v>721</v>
      </c>
      <c r="E41" s="959">
        <v>4787838</v>
      </c>
      <c r="F41" s="631">
        <f>F46+F42</f>
        <v>1744500</v>
      </c>
      <c r="G41" s="631">
        <f t="shared" si="0"/>
        <v>6532338</v>
      </c>
    </row>
    <row r="42" spans="1:7" ht="19.5" customHeight="1" thickTop="1">
      <c r="A42" s="184">
        <v>600</v>
      </c>
      <c r="B42" s="72"/>
      <c r="C42" s="255"/>
      <c r="D42" s="961" t="s">
        <v>757</v>
      </c>
      <c r="E42" s="960"/>
      <c r="F42" s="960">
        <f>F43</f>
        <v>1544500</v>
      </c>
      <c r="G42" s="777">
        <f aca="true" t="shared" si="1" ref="G42:G49">E42+F42</f>
        <v>1544500</v>
      </c>
    </row>
    <row r="43" spans="1:7" ht="18" customHeight="1">
      <c r="A43" s="257"/>
      <c r="B43" s="226">
        <v>60015</v>
      </c>
      <c r="C43" s="258"/>
      <c r="D43" s="77" t="s">
        <v>712</v>
      </c>
      <c r="E43" s="259"/>
      <c r="F43" s="259">
        <f>F44</f>
        <v>1544500</v>
      </c>
      <c r="G43" s="225">
        <f t="shared" si="1"/>
        <v>1544500</v>
      </c>
    </row>
    <row r="44" spans="1:7" ht="29.25" customHeight="1">
      <c r="A44" s="185"/>
      <c r="B44" s="76"/>
      <c r="C44" s="215"/>
      <c r="D44" s="1095" t="s">
        <v>758</v>
      </c>
      <c r="E44" s="260"/>
      <c r="F44" s="260">
        <f>F45</f>
        <v>1544500</v>
      </c>
      <c r="G44" s="261">
        <f t="shared" si="1"/>
        <v>1544500</v>
      </c>
    </row>
    <row r="45" spans="1:7" ht="38.25">
      <c r="A45" s="85"/>
      <c r="B45" s="85"/>
      <c r="C45" s="262">
        <v>6423</v>
      </c>
      <c r="D45" s="1069" t="s">
        <v>786</v>
      </c>
      <c r="E45" s="1315"/>
      <c r="F45" s="782">
        <v>1544500</v>
      </c>
      <c r="G45" s="782">
        <f t="shared" si="1"/>
        <v>1544500</v>
      </c>
    </row>
    <row r="46" spans="1:7" ht="19.5" customHeight="1">
      <c r="A46" s="184">
        <v>852</v>
      </c>
      <c r="B46" s="72"/>
      <c r="C46" s="255"/>
      <c r="D46" s="92" t="s">
        <v>368</v>
      </c>
      <c r="E46" s="256">
        <v>3051000</v>
      </c>
      <c r="F46" s="256">
        <f>F47</f>
        <v>200000</v>
      </c>
      <c r="G46" s="87">
        <f t="shared" si="1"/>
        <v>3251000</v>
      </c>
    </row>
    <row r="47" spans="1:7" ht="20.25" customHeight="1">
      <c r="A47" s="257"/>
      <c r="B47" s="226">
        <v>85295</v>
      </c>
      <c r="C47" s="258"/>
      <c r="D47" s="323" t="s">
        <v>366</v>
      </c>
      <c r="E47" s="259"/>
      <c r="F47" s="259">
        <f>F48</f>
        <v>200000</v>
      </c>
      <c r="G47" s="225">
        <f t="shared" si="1"/>
        <v>200000</v>
      </c>
    </row>
    <row r="48" spans="1:7" s="451" customFormat="1" ht="29.25" customHeight="1">
      <c r="A48" s="1302"/>
      <c r="B48" s="884"/>
      <c r="C48" s="1303"/>
      <c r="D48" s="1310" t="s">
        <v>782</v>
      </c>
      <c r="E48" s="1311"/>
      <c r="F48" s="1311">
        <f>F49</f>
        <v>200000</v>
      </c>
      <c r="G48" s="1312">
        <f t="shared" si="1"/>
        <v>200000</v>
      </c>
    </row>
    <row r="49" spans="1:7" ht="26.25" customHeight="1">
      <c r="A49" s="86"/>
      <c r="B49" s="86"/>
      <c r="C49" s="262">
        <v>2120</v>
      </c>
      <c r="D49" s="907" t="s">
        <v>783</v>
      </c>
      <c r="E49" s="84"/>
      <c r="F49" s="263">
        <v>200000</v>
      </c>
      <c r="G49" s="263">
        <f t="shared" si="1"/>
        <v>200000</v>
      </c>
    </row>
    <row r="50" spans="1:7" ht="30" customHeight="1" thickBot="1">
      <c r="A50" s="86"/>
      <c r="B50" s="86"/>
      <c r="C50" s="86"/>
      <c r="D50" s="641" t="s">
        <v>74</v>
      </c>
      <c r="E50" s="151">
        <v>22320771</v>
      </c>
      <c r="F50" s="106">
        <f>F51+F58</f>
        <v>237000</v>
      </c>
      <c r="G50" s="106">
        <f t="shared" si="0"/>
        <v>22557771</v>
      </c>
    </row>
    <row r="51" spans="1:7" ht="19.5" customHeight="1" thickTop="1">
      <c r="A51" s="856">
        <v>852</v>
      </c>
      <c r="B51" s="431"/>
      <c r="C51" s="857"/>
      <c r="D51" s="626" t="s">
        <v>368</v>
      </c>
      <c r="E51" s="256">
        <v>3194590</v>
      </c>
      <c r="F51" s="256">
        <f>F52+F55</f>
        <v>220000</v>
      </c>
      <c r="G51" s="87">
        <f t="shared" si="0"/>
        <v>3414590</v>
      </c>
    </row>
    <row r="52" spans="1:7" ht="18" customHeight="1">
      <c r="A52" s="257"/>
      <c r="B52" s="226">
        <v>85203</v>
      </c>
      <c r="C52" s="258"/>
      <c r="D52" s="231" t="s">
        <v>789</v>
      </c>
      <c r="E52" s="259">
        <v>2960590</v>
      </c>
      <c r="F52" s="259">
        <f>F53</f>
        <v>190000</v>
      </c>
      <c r="G52" s="225">
        <f t="shared" si="0"/>
        <v>3150590</v>
      </c>
    </row>
    <row r="53" spans="1:7" ht="26.25" customHeight="1">
      <c r="A53" s="185"/>
      <c r="B53" s="76"/>
      <c r="C53" s="215"/>
      <c r="D53" s="1110" t="s">
        <v>824</v>
      </c>
      <c r="E53" s="260"/>
      <c r="F53" s="260">
        <f>F54</f>
        <v>190000</v>
      </c>
      <c r="G53" s="261">
        <f t="shared" si="0"/>
        <v>190000</v>
      </c>
    </row>
    <row r="54" spans="1:7" ht="37.5" customHeight="1">
      <c r="A54" s="85"/>
      <c r="B54" s="86"/>
      <c r="C54" s="262">
        <v>2110</v>
      </c>
      <c r="D54" s="1111" t="s">
        <v>7</v>
      </c>
      <c r="E54" s="84"/>
      <c r="F54" s="263">
        <v>190000</v>
      </c>
      <c r="G54" s="263">
        <f t="shared" si="0"/>
        <v>190000</v>
      </c>
    </row>
    <row r="55" spans="1:7" ht="18" customHeight="1">
      <c r="A55" s="185"/>
      <c r="B55" s="226">
        <v>85295</v>
      </c>
      <c r="C55" s="258"/>
      <c r="D55" s="231" t="s">
        <v>366</v>
      </c>
      <c r="E55" s="259"/>
      <c r="F55" s="259">
        <f>F56</f>
        <v>30000</v>
      </c>
      <c r="G55" s="225">
        <f aca="true" t="shared" si="2" ref="G55:G61">E55+F55</f>
        <v>30000</v>
      </c>
    </row>
    <row r="56" spans="1:7" ht="26.25" customHeight="1">
      <c r="A56" s="185"/>
      <c r="B56" s="76"/>
      <c r="C56" s="215"/>
      <c r="D56" s="1110" t="s">
        <v>474</v>
      </c>
      <c r="E56" s="260"/>
      <c r="F56" s="260">
        <f>F57</f>
        <v>30000</v>
      </c>
      <c r="G56" s="261">
        <f t="shared" si="2"/>
        <v>30000</v>
      </c>
    </row>
    <row r="57" spans="1:7" ht="37.5" customHeight="1">
      <c r="A57" s="86"/>
      <c r="B57" s="86"/>
      <c r="C57" s="262">
        <v>2110</v>
      </c>
      <c r="D57" s="1194" t="s">
        <v>7</v>
      </c>
      <c r="E57" s="1315"/>
      <c r="F57" s="263">
        <v>30000</v>
      </c>
      <c r="G57" s="263">
        <f t="shared" si="2"/>
        <v>30000</v>
      </c>
    </row>
    <row r="58" spans="1:7" ht="19.5" customHeight="1">
      <c r="A58" s="856">
        <v>853</v>
      </c>
      <c r="B58" s="431"/>
      <c r="C58" s="857"/>
      <c r="D58" s="92" t="s">
        <v>412</v>
      </c>
      <c r="E58" s="256">
        <v>616654</v>
      </c>
      <c r="F58" s="256">
        <f>F59</f>
        <v>17000</v>
      </c>
      <c r="G58" s="87">
        <f t="shared" si="2"/>
        <v>633654</v>
      </c>
    </row>
    <row r="59" spans="1:7" ht="18" customHeight="1">
      <c r="A59" s="257"/>
      <c r="B59" s="226">
        <v>85321</v>
      </c>
      <c r="C59" s="258"/>
      <c r="D59" s="77" t="s">
        <v>205</v>
      </c>
      <c r="E59" s="259">
        <v>552000</v>
      </c>
      <c r="F59" s="259">
        <f>F60</f>
        <v>17000</v>
      </c>
      <c r="G59" s="225">
        <f t="shared" si="2"/>
        <v>569000</v>
      </c>
    </row>
    <row r="60" spans="1:7" ht="26.25" customHeight="1">
      <c r="A60" s="185"/>
      <c r="B60" s="76"/>
      <c r="C60" s="215"/>
      <c r="D60" s="536" t="s">
        <v>823</v>
      </c>
      <c r="E60" s="260">
        <v>528000</v>
      </c>
      <c r="F60" s="260">
        <f>F61</f>
        <v>17000</v>
      </c>
      <c r="G60" s="261">
        <f t="shared" si="2"/>
        <v>545000</v>
      </c>
    </row>
    <row r="61" spans="1:7" ht="38.25">
      <c r="A61" s="86"/>
      <c r="B61" s="86"/>
      <c r="C61" s="262">
        <v>2110</v>
      </c>
      <c r="D61" s="907" t="s">
        <v>7</v>
      </c>
      <c r="E61" s="84">
        <v>528000</v>
      </c>
      <c r="F61" s="263">
        <v>17000</v>
      </c>
      <c r="G61" s="263">
        <f t="shared" si="2"/>
        <v>545000</v>
      </c>
    </row>
    <row r="62" ht="21.75" customHeight="1"/>
    <row r="63" ht="18" customHeight="1"/>
    <row r="64" spans="3:7" ht="15">
      <c r="C64" s="1" t="s">
        <v>172</v>
      </c>
      <c r="D64" s="1133"/>
      <c r="F64" s="1" t="s">
        <v>174</v>
      </c>
      <c r="G64" s="1135"/>
    </row>
    <row r="65" spans="3:7" ht="13.5" customHeight="1">
      <c r="C65" s="48" t="s">
        <v>173</v>
      </c>
      <c r="D65" s="1133"/>
      <c r="F65" s="48" t="s">
        <v>175</v>
      </c>
      <c r="G65" s="1135"/>
    </row>
  </sheetData>
  <printOptions horizontalCentered="1"/>
  <pageMargins left="0.4724409448818898" right="0.4724409448818898" top="0.6692913385826772" bottom="0.5905511811023623" header="0.5118110236220472" footer="0.3937007874015748"/>
  <pageSetup firstPageNumber="25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2006-12-18T12:57:28Z</cp:lastPrinted>
  <dcterms:created xsi:type="dcterms:W3CDTF">1997-02-26T13:46:56Z</dcterms:created>
  <dcterms:modified xsi:type="dcterms:W3CDTF">2006-12-18T12:57:34Z</dcterms:modified>
  <cp:category/>
  <cp:version/>
  <cp:contentType/>
  <cp:contentStatus/>
</cp:coreProperties>
</file>