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dochRM" sheetId="1" r:id="rId1"/>
    <sheet name="WydRM" sheetId="2" r:id="rId2"/>
    <sheet name="inwest" sheetId="3" r:id="rId3"/>
    <sheet name="UE" sheetId="4" r:id="rId4"/>
    <sheet name="UE (2)" sheetId="5" r:id="rId5"/>
    <sheet name="remonty" sheetId="6" r:id="rId6"/>
    <sheet name="doch Pr" sheetId="7" r:id="rId7"/>
    <sheet name="Wyd Pr" sheetId="8" r:id="rId8"/>
    <sheet name="jednostki" sheetId="9" r:id="rId9"/>
    <sheet name="szkoly" sheetId="10" r:id="rId10"/>
    <sheet name="Doch-harm" sheetId="11" r:id="rId11"/>
    <sheet name="Wyd-harm" sheetId="12" r:id="rId12"/>
    <sheet name="zlecone " sheetId="13" r:id="rId13"/>
  </sheets>
  <definedNames>
    <definedName name="_xlnm.Print_Titles" localSheetId="6">'doch Pr'!$7:$7</definedName>
    <definedName name="_xlnm.Print_Titles" localSheetId="0">'dochRM'!$7:$7</definedName>
    <definedName name="_xlnm.Print_Titles" localSheetId="2">'inwest'!$8:$8</definedName>
    <definedName name="_xlnm.Print_Titles" localSheetId="8">'jednostki'!$9:$9</definedName>
    <definedName name="_xlnm.Print_Titles" localSheetId="5">'remonty'!$9:$9</definedName>
    <definedName name="_xlnm.Print_Titles" localSheetId="9">'szkoly'!$3:$11</definedName>
    <definedName name="_xlnm.Print_Titles" localSheetId="7">'Wyd Pr'!$7:$7</definedName>
    <definedName name="_xlnm.Print_Titles" localSheetId="11">'Wyd-harm'!$7:$9</definedName>
    <definedName name="_xlnm.Print_Titles" localSheetId="1">'WydRM'!$7:$7</definedName>
    <definedName name="_xlnm.Print_Titles" localSheetId="12">'zlecone '!$8:$8</definedName>
  </definedNames>
  <calcPr fullCalcOnLoad="1"/>
</workbook>
</file>

<file path=xl/sharedStrings.xml><?xml version="1.0" encoding="utf-8"?>
<sst xmlns="http://schemas.openxmlformats.org/spreadsheetml/2006/main" count="2383" uniqueCount="786">
  <si>
    <t xml:space="preserve">  § 4410</t>
  </si>
  <si>
    <t>§ 4430</t>
  </si>
  <si>
    <t xml:space="preserve">           paragrafu</t>
  </si>
  <si>
    <t>Dodatkowe</t>
  </si>
  <si>
    <t>Wynagro-</t>
  </si>
  <si>
    <t>Składki na</t>
  </si>
  <si>
    <t>Składki</t>
  </si>
  <si>
    <t>Stypendia</t>
  </si>
  <si>
    <t>Inne formy</t>
  </si>
  <si>
    <t>Wpłaty na</t>
  </si>
  <si>
    <t>Zakup</t>
  </si>
  <si>
    <t>wynagr.</t>
  </si>
  <si>
    <t>dzenia</t>
  </si>
  <si>
    <t>ubezpiecz.</t>
  </si>
  <si>
    <t xml:space="preserve">na </t>
  </si>
  <si>
    <t>dla</t>
  </si>
  <si>
    <t>pomocy</t>
  </si>
  <si>
    <t>Państwowy</t>
  </si>
  <si>
    <t xml:space="preserve">materiałów </t>
  </si>
  <si>
    <t>energii</t>
  </si>
  <si>
    <t xml:space="preserve">usług </t>
  </si>
  <si>
    <t>usług</t>
  </si>
  <si>
    <t>roczne</t>
  </si>
  <si>
    <t>bezosobowe</t>
  </si>
  <si>
    <t>społeczne</t>
  </si>
  <si>
    <t>Fundusz</t>
  </si>
  <si>
    <t>uczniów</t>
  </si>
  <si>
    <t xml:space="preserve">dla </t>
  </si>
  <si>
    <t>i</t>
  </si>
  <si>
    <t>naukowych,</t>
  </si>
  <si>
    <t>remontowych</t>
  </si>
  <si>
    <t>pozostałych</t>
  </si>
  <si>
    <t>Razem</t>
  </si>
  <si>
    <t>Pracy</t>
  </si>
  <si>
    <t>Rehabilitacji</t>
  </si>
  <si>
    <t>wyposażenia</t>
  </si>
  <si>
    <t>dydaktycznych</t>
  </si>
  <si>
    <t xml:space="preserve">Osób </t>
  </si>
  <si>
    <t>i książek</t>
  </si>
  <si>
    <t xml:space="preserve">       szkoły</t>
  </si>
  <si>
    <t>Niepełnospr.</t>
  </si>
  <si>
    <t>Dział 801 - Oświata i wychowanie</t>
  </si>
  <si>
    <t>Pogotowie Opiekuńcze (SP)</t>
  </si>
  <si>
    <t xml:space="preserve">rozdz. 80104 - Przedszkola </t>
  </si>
  <si>
    <t>rozdz. 80130 - Szkoły zawodowe</t>
  </si>
  <si>
    <t>Zespół Szkół Elektronicznych</t>
  </si>
  <si>
    <t>Zespół Szkół Energetycznych</t>
  </si>
  <si>
    <t xml:space="preserve">Zespół Szkół Transportowo-Komunikacyjnych </t>
  </si>
  <si>
    <t>Zespół Szkół Samochodowych</t>
  </si>
  <si>
    <t>Zespół Szkół nr 1</t>
  </si>
  <si>
    <t>Zespół Szkół nr 3</t>
  </si>
  <si>
    <t>Zespół Szkół nr 5</t>
  </si>
  <si>
    <t>Zespół Szkół Ogólnokształcących nr 1</t>
  </si>
  <si>
    <t>rozdz. 85415 - Pomoc materialna dla uczniów</t>
  </si>
  <si>
    <t>rozdz. 85495 - Pozostała działalność (stołówki szkolne)</t>
  </si>
  <si>
    <t>Zespół Szkół Odzieżowo - Włókienniczych</t>
  </si>
  <si>
    <t>Dział 851 - Ochrona zdrowia</t>
  </si>
  <si>
    <t>Dotacje celowe otrzymane z budżetu państwa na realizację zadań bieżących 
z zakresu administracji rządowej oraz innych zadań zleconych gminie ustawami</t>
  </si>
  <si>
    <t>Przedszkola</t>
  </si>
  <si>
    <t>Pomoc materialna dla uczniów</t>
  </si>
  <si>
    <t>Szkoły podstawowe</t>
  </si>
  <si>
    <t>Gimnazja</t>
  </si>
  <si>
    <t>Licea ogólnokształcące</t>
  </si>
  <si>
    <t>Placówki wychowania pozaszkolnego</t>
  </si>
  <si>
    <t>dotacja celowa z budżetu państwa na sfinansowanie kosztów wydawania decyzji 
o świadczeniach zdrowotnych</t>
  </si>
  <si>
    <t>Załącznik nr 2</t>
  </si>
  <si>
    <t>remont instalacji centralnego ogrzewania w JRG PSP w Bełżycach</t>
  </si>
  <si>
    <t>dotacja celowa z budżetu państwa na realizację zadań w ramach Kontraktu Wojewódzkiego na 2006 rok</t>
  </si>
  <si>
    <t>Dokształcanie i doskonalenie nauczycieli</t>
  </si>
  <si>
    <t>Zakup pomocy naukowych, dydaktycznych i książek</t>
  </si>
  <si>
    <t>Drogi publiczne w miastach na prawach powiatu</t>
  </si>
  <si>
    <t>Dotacje celowe z budżetu państwa na zadania zlecone z zakresu administracji rządowej</t>
  </si>
  <si>
    <t>Dochody budżetu miasta na 2006 rok</t>
  </si>
  <si>
    <t>Dochody                                                                                                                                            (nazwa działu, rozdziału, źródła dochodów, paragrafu)</t>
  </si>
  <si>
    <t xml:space="preserve">Plan według uchwały    
nr 849/XXXVI/2005                              
Rady Miasta Lublin
z 29.12.2005 r.
z późn. zm.                    </t>
  </si>
  <si>
    <t>Dochody budżetu miasta ogółem</t>
  </si>
  <si>
    <t>Dochody własne</t>
  </si>
  <si>
    <t>Subwencje i dotacja rekompensująca</t>
  </si>
  <si>
    <t>Dotacje celowe i inne środki na zadania własne</t>
  </si>
  <si>
    <t>Dotacje celowe i inne środki na zadania realizowane na podstawie porozumień i umów</t>
  </si>
  <si>
    <t xml:space="preserve">Dotacje celowe z budżetu państwa na zadania zlecone z zakresu administracji rządowej </t>
  </si>
  <si>
    <t>Subwencje</t>
  </si>
  <si>
    <t>Domy pomocy społecznej</t>
  </si>
  <si>
    <r>
      <t>Dochody gminy ogółem,</t>
    </r>
    <r>
      <rPr>
        <sz val="10"/>
        <rFont val="Arial CE"/>
        <family val="2"/>
      </rPr>
      <t xml:space="preserve"> z tego:</t>
    </r>
  </si>
  <si>
    <t>Dochody gminy, z tego:</t>
  </si>
  <si>
    <t>Harmonogram realizacji dochodów budżetu miasta  w 2006 roku</t>
  </si>
  <si>
    <t xml:space="preserve">Plan </t>
  </si>
  <si>
    <t xml:space="preserve">Rozdz. </t>
  </si>
  <si>
    <t xml:space="preserve"> (nazwa działu, rozdziału)</t>
  </si>
  <si>
    <t>Dochody ogółem</t>
  </si>
  <si>
    <t>1.1 Wydział Finansowy</t>
  </si>
  <si>
    <t>Internaty i bursy szkolne</t>
  </si>
  <si>
    <t>Centra kształcenia ustawicznego 
i praktycznego oraz ośrodki dokształcania zawodowego</t>
  </si>
  <si>
    <t>Załącznik nr 3</t>
  </si>
  <si>
    <t>Przedszkole nr 6</t>
  </si>
  <si>
    <t>Przedszkole nr 69</t>
  </si>
  <si>
    <t>Wydatki osobowe niezaliczone do wynagrodzeń</t>
  </si>
  <si>
    <t>Planowane wydatki majątkowe na 2006 rok</t>
  </si>
  <si>
    <t>Plan według uchwały    
nr 849/XXXVI/2005                              
Rady Miasta Lublin
z 29.12.2005 r.
z późn. zm.</t>
  </si>
  <si>
    <t>z tego ze środków:</t>
  </si>
  <si>
    <t xml:space="preserve">Rozdz.                          </t>
  </si>
  <si>
    <t>Nazwa: działu, rozdziału, 
                             zadania inwestycyjnego</t>
  </si>
  <si>
    <t>własnych 
i innych zwrotnych</t>
  </si>
  <si>
    <t>Unii Europejskiej</t>
  </si>
  <si>
    <t>z budżetu państwa i innych bezzwrotnych</t>
  </si>
  <si>
    <t>inwestycji 
po zmianach</t>
  </si>
  <si>
    <t>Ogółem wydatki majątkowe</t>
  </si>
  <si>
    <t>zakupy inwestycyjne</t>
  </si>
  <si>
    <t>Wydatki na zadania zlecone</t>
  </si>
  <si>
    <t>Plan remontów na 2006 rok</t>
  </si>
  <si>
    <t xml:space="preserve">Nazwa: działu, rozdziału, zadania </t>
  </si>
  <si>
    <t>Zmniejszenie</t>
  </si>
  <si>
    <t>Ogółem remonty</t>
  </si>
  <si>
    <t>Zadania własne</t>
  </si>
  <si>
    <t xml:space="preserve">Plan według uchwały    
nr 849/XXXVI/2005                             
Rady Miasta Lublin
z 29.12.2005 r.     
z późn. zm.            </t>
  </si>
  <si>
    <t>Drogi publiczne gminne</t>
  </si>
  <si>
    <t>Działalność usługowa</t>
  </si>
  <si>
    <t>SKARBNIK MIASTA LUBLIN</t>
  </si>
  <si>
    <t>Z up. Prezydenta Miasta Lublin</t>
  </si>
  <si>
    <t xml:space="preserve">         mgr Irena Szumlak</t>
  </si>
  <si>
    <t xml:space="preserve">      Zastępca Prezydenta </t>
  </si>
  <si>
    <t>Ryszard Pasikowski</t>
  </si>
  <si>
    <t xml:space="preserve">Zastępca Prezydenta </t>
  </si>
  <si>
    <t>Plany zagospodarowania przestrzennego</t>
  </si>
  <si>
    <t>Gospodarka ściekowa i ochrona wód</t>
  </si>
  <si>
    <t>Gospodarka odpadami</t>
  </si>
  <si>
    <t>Oczyszczanie miast i wsi</t>
  </si>
  <si>
    <t>Kultura i ochrona dziedzictwa narodowego</t>
  </si>
  <si>
    <t>Kultura fizyczna i sport</t>
  </si>
  <si>
    <t>Centra kultury i sztuki</t>
  </si>
  <si>
    <t>Instytucje kultury fizycznej</t>
  </si>
  <si>
    <t>rezerwa celowa na finansowanie projektów współfinansowanych ze środków Unii Europejskiej</t>
  </si>
  <si>
    <t>dokształcanie i doskonalenie zawodowe nauczycieli</t>
  </si>
  <si>
    <t>Ośrodki pomocy społecznej</t>
  </si>
  <si>
    <t>Oddziały przedszkolne w szkołach podstawowych</t>
  </si>
  <si>
    <t>Szkoły podstawowe specjalne</t>
  </si>
  <si>
    <t xml:space="preserve">w tym: inwestycje </t>
  </si>
  <si>
    <t>w tym: inwestycje</t>
  </si>
  <si>
    <t>Przedszkola specjalne</t>
  </si>
  <si>
    <t>Turystyka</t>
  </si>
  <si>
    <t>Zadania w zakresie upowszechniania turystyki</t>
  </si>
  <si>
    <t>realizacja projektu „Zintegrowane oznakowanie turystyczne Lublina”</t>
  </si>
  <si>
    <t>Usługi opiekuńcze i specjalistyczne usługi opiekuńcze</t>
  </si>
  <si>
    <t xml:space="preserve">dotacja celowa z budżetu państwa na usługi opiekuńcze </t>
  </si>
  <si>
    <t>Świadczenia rodzinne, zaliczka alimentacyjna oraz składki na ubezpieczenia emerytalne i rentowe z ubezpieczenia społecznego</t>
  </si>
  <si>
    <t>dotacja celowa z budżetu państwa na wydatki związane z wypłatą świadczeń rodzinnych</t>
  </si>
  <si>
    <t>świadczenia rodzinne</t>
  </si>
  <si>
    <t xml:space="preserve">usługi opiekuńcze </t>
  </si>
  <si>
    <t>Wpłaty jednostek na fundusz celowy na finansowanie lub dofinansowanie zadań inwestycyjnych</t>
  </si>
  <si>
    <t>modernizacje obiektów</t>
  </si>
  <si>
    <t xml:space="preserve">Zakup usług remontowych - remonty obiektów </t>
  </si>
  <si>
    <t>Zespół Szkół Ogólnokształcących nr 2 (SP nr 11)</t>
  </si>
  <si>
    <t>Przedszkole nr 5</t>
  </si>
  <si>
    <t>Przedszkole nr 7</t>
  </si>
  <si>
    <t>Przedszkole nr 16</t>
  </si>
  <si>
    <t>Przedszkole nr 36</t>
  </si>
  <si>
    <t>Przedszkole nr 39</t>
  </si>
  <si>
    <t>Przedszkole nr 47</t>
  </si>
  <si>
    <t>Przedszkole nr 48</t>
  </si>
  <si>
    <t>Przedszkole nr 58</t>
  </si>
  <si>
    <t>rozdz. 85403 - Specjalne ośrodki szkolno-wychowawcze</t>
  </si>
  <si>
    <t>Specjalny Ośrodek Szkolno - Wychowawczy dla Dzieci i Młodzieży Słabo Widzącej</t>
  </si>
  <si>
    <t>Specjalny Ośrodek Szkolno-Wychowawczy nr 2</t>
  </si>
  <si>
    <t>budowa boisk</t>
  </si>
  <si>
    <t>Zakup usług remontowych - remonty obiektów użytkowanych przez Urząd Miasta</t>
  </si>
  <si>
    <t>modernizacje budynków</t>
  </si>
  <si>
    <t>inwestycje - dokumentacja przyszłościowa</t>
  </si>
  <si>
    <t>roboty termomodernizacyjne i ogólnobudowlane DPS Betania</t>
  </si>
  <si>
    <t>remonty obiektów</t>
  </si>
  <si>
    <t>remonty obiektów użytkowanych przez Urząd Miasta</t>
  </si>
  <si>
    <t>Zakup usług remontowych - remonty obiektów</t>
  </si>
  <si>
    <t>Specjalne ośrodki szkolno - wychowawcze</t>
  </si>
  <si>
    <t xml:space="preserve">modernizacje budynków </t>
  </si>
  <si>
    <t>dokumentacja przyszłościowa</t>
  </si>
  <si>
    <t>Gimnazja specjalne</t>
  </si>
  <si>
    <t>Dowożenie uczniów do szkół</t>
  </si>
  <si>
    <t>Licea ogólnokształcące specjalne</t>
  </si>
  <si>
    <t>Licea profilowane</t>
  </si>
  <si>
    <t>Licea profilowane specjalne</t>
  </si>
  <si>
    <t>Szkoły artystyczne</t>
  </si>
  <si>
    <t>Szkoły zawodowe specjalne</t>
  </si>
  <si>
    <t>Zadania w zakresie kultury fizycznej i sportu</t>
  </si>
  <si>
    <t>Świetlice szkolne</t>
  </si>
  <si>
    <t>Specjalne ośrodki szkolno-wychowawcze</t>
  </si>
  <si>
    <t>Poradnie psychologiczno - pedagogiczne, 
w tym poradnie specjalistyczne</t>
  </si>
  <si>
    <t>Szkolne schroniska młodzieżowe</t>
  </si>
  <si>
    <t>Młodzieżowe ośrodki socjoterapii</t>
  </si>
  <si>
    <t>Składki na ubezpieczenie zdrowotne oraz świadczenia dla osób nieobjętych obowiązkiem ubezpieczenia zdrowotnego</t>
  </si>
  <si>
    <t>Wydatki na zadania realizowane 
na podstawie porozumień i umów</t>
  </si>
  <si>
    <t>Dotacje celowe otrzymane z budżetu państwa na realizację własnych zadań bieżących gmin</t>
  </si>
  <si>
    <t>Placówki opiekuńczo-wychowawcze</t>
  </si>
  <si>
    <t>Załącznik nr 5</t>
  </si>
  <si>
    <t>Załącznik nr 7</t>
  </si>
  <si>
    <t>Załącznik nr 8</t>
  </si>
  <si>
    <t>Załącznik nr 9</t>
  </si>
  <si>
    <t>Załącznik nr 10</t>
  </si>
  <si>
    <t>Załącznik nr 11</t>
  </si>
  <si>
    <t>stołówki szkolne, w tym:</t>
  </si>
  <si>
    <t>Ochrona zabytków i opieka nad zabytkami</t>
  </si>
  <si>
    <t>Plan dochodów 
po zmianach</t>
  </si>
  <si>
    <t>Zakup usług remontowych - remonty szkół</t>
  </si>
  <si>
    <t xml:space="preserve">termomodernizacje obiektów </t>
  </si>
  <si>
    <t>remonty szkół</t>
  </si>
  <si>
    <t>termomodernizacje obiektów</t>
  </si>
  <si>
    <t>rozdz. 80101 - Szkoły podstawowe</t>
  </si>
  <si>
    <t>Euroregiony</t>
  </si>
  <si>
    <t>Zasiłki i pomoc w naturze oraz składki
na ubezpieczenia emerytalne i rentowe</t>
  </si>
  <si>
    <t>,</t>
  </si>
  <si>
    <t>Dochody powiatu ogółem</t>
  </si>
  <si>
    <t>Dotacje celowe otrzymane z budżetu państwa na zadania bieżące z zakresu administracji rządowej oraz inne zadania zlecone ustawami realizowane przez powiat</t>
  </si>
  <si>
    <t>Dochody powiatu, z tego:</t>
  </si>
  <si>
    <t>Jednostka</t>
  </si>
  <si>
    <t>Nazwa: działu, rozdziału, programu/projektu</t>
  </si>
  <si>
    <t>Cel zadania  / programu</t>
  </si>
  <si>
    <t xml:space="preserve"> organizacyjna realizująca program lub koordynująca jego wykonanie</t>
  </si>
  <si>
    <t>Okres realizacji programu</t>
  </si>
  <si>
    <t>budżetu państwa 
i innych bezzwrotnych</t>
  </si>
  <si>
    <t>Wydatki na 2007 rok</t>
  </si>
  <si>
    <t xml:space="preserve">Ogółem </t>
  </si>
  <si>
    <t>stołówki szkolne, z tego:</t>
  </si>
  <si>
    <t>rozdz. 85406 - Poradnie psychologiczno-pedagogiczne, 
w tym poradnie specjalistyczne</t>
  </si>
  <si>
    <t>Państwowe Szkoły Budownictwa
i Geodezji</t>
  </si>
  <si>
    <t>Pomoc dla repatriantów</t>
  </si>
  <si>
    <t>pomoc dla repatriantów</t>
  </si>
  <si>
    <t>dotacja celowa z budżetu państwa na pomoc dla repatriantów</t>
  </si>
  <si>
    <t>Świadczenia społeczne</t>
  </si>
  <si>
    <t>Utrzymanie zieleni w miastach i gminach</t>
  </si>
  <si>
    <t>utrzymanie, konserwacja i renowacja zieleni</t>
  </si>
  <si>
    <t xml:space="preserve">Gospodarka komunalna i ochrona środowiska </t>
  </si>
  <si>
    <t>Zakłady gospodarki mieszkaniowej</t>
  </si>
  <si>
    <t>modernizacje i termomodernizacje obiektów</t>
  </si>
  <si>
    <t xml:space="preserve">modernizacja budynków mieszkalnych DPS im. Matki Teresy z Kalkuty </t>
  </si>
  <si>
    <t>Zadania realizowane na podstawie porozumień i umów</t>
  </si>
  <si>
    <t>modernizacja budynków mieszkalnych DPS im. Matki Teresy z Kalkuty</t>
  </si>
  <si>
    <t>dotacja celowa z budżetu państwa na wydatki związane z wypłatą świadczeń rodzinnych, zaliczki alimentacyjnej</t>
  </si>
  <si>
    <t>wspieranie aktywności społeczno - zawodowej osób niepełnosprawnych, w szczególności: prowadzenie specjalistycznych kursów i szkoleń przygotowujących osoby niepełnosprawne do podjęcia pracy, prowadzenie kawiarenki internetowej dla osób niepełnosprawnych</t>
  </si>
  <si>
    <t>1.1 Wydział Funduszy Europejskich</t>
  </si>
  <si>
    <t>1.2 Wydział Finansowy</t>
  </si>
  <si>
    <t>1.4 Wydział Gospodarki Komunalnej</t>
  </si>
  <si>
    <t>1.5 Wydział Organizacyjny</t>
  </si>
  <si>
    <t>8. Dom Pomocy Społecznej im. Matki Teresy z Kalkuty</t>
  </si>
  <si>
    <t>Załącznik nr 1</t>
  </si>
  <si>
    <t>dotacja celowa z gminy Bełżyce na sfinansowanie remontu instalacji centralnego ogrzewania w JRG PSP w Bełżycach</t>
  </si>
  <si>
    <t xml:space="preserve">inwestycje </t>
  </si>
  <si>
    <t>w tym inwestycje</t>
  </si>
  <si>
    <t>Wydatki na 2006 rok z późn. zm.,  
z tego ze środków:</t>
  </si>
  <si>
    <t>Wydatki na 2007 rok z późn. zm.,  
z tego ze środków:</t>
  </si>
  <si>
    <t>Wydatki na 2008 rok z późn. zm.,  
z tego ze środków:</t>
  </si>
  <si>
    <t>przebudowa ul. 3-go Maja i Radziwiłłowskiej wraz ze skrzyżowaniem</t>
  </si>
  <si>
    <t>budowa ul. Gnieźnieńskiej nr 106846L w Lublinie</t>
  </si>
  <si>
    <t>kanalizacja sanitarna w os. Węglin Południowy</t>
  </si>
  <si>
    <t>sieć wodociągowa w ul. Nałęczowskiej</t>
  </si>
  <si>
    <t>odwodnienie os. Sławin</t>
  </si>
  <si>
    <t>inwestycje realizowane przy udziale mieszkańców i innych podmiotów</t>
  </si>
  <si>
    <t>Załącznik nr 6</t>
  </si>
  <si>
    <t>Planowane wydatki na wieloletnie programy i projekty inwestycyjne współfinansowane ze środków</t>
  </si>
  <si>
    <t>europejskich w latach 2006-2008</t>
  </si>
  <si>
    <t>Wydatki na 2006 rok po zmianach, 
z tego ze środków:</t>
  </si>
  <si>
    <t>Urząd Miasta Lublin</t>
  </si>
  <si>
    <t>2004-2007</t>
  </si>
  <si>
    <t>§ 4010</t>
  </si>
  <si>
    <t xml:space="preserve">Wynagrodzenia </t>
  </si>
  <si>
    <t>osobowe</t>
  </si>
  <si>
    <t>pracowników</t>
  </si>
  <si>
    <t>§ 3020</t>
  </si>
  <si>
    <t>niezaliczone</t>
  </si>
  <si>
    <t xml:space="preserve">do </t>
  </si>
  <si>
    <t>wynagrodzeń</t>
  </si>
  <si>
    <t>na</t>
  </si>
  <si>
    <t>§ 4440</t>
  </si>
  <si>
    <t>Odpisy</t>
  </si>
  <si>
    <t>zakładowy</t>
  </si>
  <si>
    <t>fundusz</t>
  </si>
  <si>
    <t>świadczeń</t>
  </si>
  <si>
    <t>socjalnych</t>
  </si>
  <si>
    <t>rozdz. 80101 - Szkoły podstawowe - akcja "Bezpieczna droga"</t>
  </si>
  <si>
    <t>akcja "Bezpieczna droga"</t>
  </si>
  <si>
    <t>Odpisy na zakładowy fundusz świadczeń socjalnych</t>
  </si>
  <si>
    <t>wynagrodzenia</t>
  </si>
  <si>
    <t>rozdz. 80103 - Oddziały przedszkolne w szkołach podstawowych</t>
  </si>
  <si>
    <t xml:space="preserve">dotacje dla publicznych i niepublicznych gimnazjów </t>
  </si>
  <si>
    <t>Młodzieżowy Dom Kultury</t>
  </si>
  <si>
    <t xml:space="preserve">stypendia oraz inne formy pomocy dla uczniów </t>
  </si>
  <si>
    <t>stypendia oraz inne formy pomocy dla uczniów</t>
  </si>
  <si>
    <t>Komendy powiatowe Państwowej Straży Pożarnej</t>
  </si>
  <si>
    <t>wspieranie sportu kwalifikowanego</t>
  </si>
  <si>
    <t>AZS Klub Środowiskowy; ul. Langiewicza 22, 20-032 Lublin</t>
  </si>
  <si>
    <t>rozdz. 80101 - Szkoły podstawowe - wyprawka szkolna</t>
  </si>
  <si>
    <t>Załącznik nr 12</t>
  </si>
  <si>
    <t>Załącznik nr 4</t>
  </si>
  <si>
    <t>Planowane wydatki na programy i projekty realizowane ze środków pochodzących z budżetu Unii Europejskiej</t>
  </si>
  <si>
    <t>Wydatki na 2008 rok 
z tego ze środków:</t>
  </si>
  <si>
    <t>2005-2007</t>
  </si>
  <si>
    <t>modernizacja węzłów cieplnych i kotłowni, wymiana instalacji centralnego ogrzewania oraz okien i drzwi zewnętrznych, docieplenie dachów, stropodachów i ścian zewnętrznych</t>
  </si>
  <si>
    <t>2. Zespół Placówek Opiekuńczo-Wychowawczych "Pogodny Dom"</t>
  </si>
  <si>
    <t>3. Zespół Placówek Wsparcia Dziecka i Rodziny</t>
  </si>
  <si>
    <t>4. Dom Dziecka Nr 3</t>
  </si>
  <si>
    <t>5. Pogotowie Opiekuńcze</t>
  </si>
  <si>
    <t>6. Dom Pomocy Społecznej "Betania"</t>
  </si>
  <si>
    <t>5. Dom Dziecka Nr 3</t>
  </si>
  <si>
    <t>6. Pogotowie Opiekuńcze</t>
  </si>
  <si>
    <t>7. Dom Pomocy Społecznej "Betania"</t>
  </si>
  <si>
    <t>10. Dom Pomocy Społecznej dla Osób Niepełnosprawnych Fizycznie</t>
  </si>
  <si>
    <t>kon</t>
  </si>
  <si>
    <t>inwestycje w ramach projektu "Zintegrowane oznakowanie turystyczne Lublina"</t>
  </si>
  <si>
    <t xml:space="preserve">modernizacje i termomodernizacje obiektów </t>
  </si>
  <si>
    <r>
      <t>zakupy inwestycyjne</t>
    </r>
    <r>
      <rPr>
        <b/>
        <sz val="10"/>
        <rFont val="Arial CE"/>
        <family val="0"/>
      </rPr>
      <t xml:space="preserve"> </t>
    </r>
  </si>
  <si>
    <t>modernizacja i rozbudowa Portu Lotniczego Lublin S.A. z siedzibą w Świdniku</t>
  </si>
  <si>
    <t>do zarządzenia nr 420/2006</t>
  </si>
  <si>
    <t xml:space="preserve">                                </t>
  </si>
  <si>
    <t xml:space="preserve"> budowa ul. Gnieźnieńskiej nr 106846 L 
w Lublinie</t>
  </si>
  <si>
    <t>budowa odcinka od ul. Wojciechowskiej 
do ul. Nałęczowskiej o dł. 0,8 km wraz 
z odwodnieniem i zbiornikiem retencyjnym</t>
  </si>
  <si>
    <t xml:space="preserve">kanalizacja sanitarna i deszczowa NF 
w kierunku os. Felin i w os. Felin </t>
  </si>
  <si>
    <t>modernizacja budynków mieszkalnych DPS 
im. Matki Teresy z Kalkuty</t>
  </si>
  <si>
    <t>11. Miejski Ośrodek Pomocy Rodzinie</t>
  </si>
  <si>
    <t>12. Miejski Urząd Pracy</t>
  </si>
  <si>
    <t>dotacja celowa z budżetu państwa na sfinansowanie kosztów wydawania decyzji o świadczeniach zdrowotnych</t>
  </si>
  <si>
    <t>Dotacje celowe z budżetu państwa na zadania z zakresu administracji rządowej</t>
  </si>
  <si>
    <t>rozdz. 92605 - Zadania w zakresie kultury fizycznej i sportu</t>
  </si>
  <si>
    <t>pomoc materialna dla uczniów 
w ramach Narodowego Programu Stypendialnego</t>
  </si>
  <si>
    <t>rozdz. 80146 - Dokształcanie 
i doskonalenie nauczycieli</t>
  </si>
  <si>
    <t>Zespół Szkół Włókienniczych 
(XXIII LO)</t>
  </si>
  <si>
    <t>1.2  Wydział Funduszy Europejskich</t>
  </si>
  <si>
    <t>rezerwa celowa na finansowanie projektów współfinansowanych ze środków 
Unii Europejskiej</t>
  </si>
  <si>
    <t>rezerwa budżetowa</t>
  </si>
  <si>
    <t>inwestycje, z tego:</t>
  </si>
  <si>
    <t>wydawanie decyzji o świadczeniach zdrowotnych</t>
  </si>
  <si>
    <t>Dotacje celowe otrzymane z budżetu państwa na realizację zadań bieżących z zakresu administracji rządowej oraz innych zadań zleconych gminie ustawami</t>
  </si>
  <si>
    <t>Pozostałe zadania w zakresie kultury</t>
  </si>
  <si>
    <t>upowszechnianie kultury i sztuki, z tego:</t>
  </si>
  <si>
    <t>organizacja różnorodnych form upowszechniania kultury</t>
  </si>
  <si>
    <t>Dotacja celowa z budżetu na finansowanie lub dofinansowanie zadań zleconych do realizacji stowarzyszeniom</t>
  </si>
  <si>
    <t>Lubelskie Towarzystwo Gitarowe; ul. Okopowa 12/18, 20-022 Lublin</t>
  </si>
  <si>
    <t>Stowarzyszenie Wokalne "In Corpore"; ul. Lipińskiego 17/38, 20-849 Lublin</t>
  </si>
  <si>
    <t>dotacje dla publicznych i niepublicznych przedszkoli</t>
  </si>
  <si>
    <t>Lecznictwo ambulatoryjne</t>
  </si>
  <si>
    <t>zakup świadczeń zdrowotnych</t>
  </si>
  <si>
    <t>Zakup świadczeń zdrowotnych</t>
  </si>
  <si>
    <t>zwiększanie dostępności pomocy terapeutycznej i rehabilitacyjnej dla osób uzależnionych od alkoholu</t>
  </si>
  <si>
    <t>Wpłaty jednostek na fundusz celowy</t>
  </si>
  <si>
    <t>11.  Miejski Urząd Pracy</t>
  </si>
  <si>
    <t>rewaloryzacja terenów zielonych</t>
  </si>
  <si>
    <t xml:space="preserve">Wydatki na zadania realizowane na podstawie porozumień i umów </t>
  </si>
  <si>
    <t>Przedszkole nr 31</t>
  </si>
  <si>
    <t>Przedszkole nr 52</t>
  </si>
  <si>
    <t>Przedszkole nr 72</t>
  </si>
  <si>
    <t>Przedszkole nr 2</t>
  </si>
  <si>
    <t>Przedszkole nr 12</t>
  </si>
  <si>
    <t>Przedszkole nr 14</t>
  </si>
  <si>
    <t>Przedszkole nr 32</t>
  </si>
  <si>
    <t>Przedszkole nr 50</t>
  </si>
  <si>
    <t>Przedszkole nr 54</t>
  </si>
  <si>
    <t>Przedszkole nr 56</t>
  </si>
  <si>
    <t xml:space="preserve">dowożenie uczniów </t>
  </si>
  <si>
    <t>prowadzenie profilaktycznej działalności informacyjnej i edukacyjnej 
w zakresie rozwiązywania problemów alkoholowych i przeciwdziałania narkomanii, w szczególności dla dzieci i młodzieży, w tym prowadzenie pozalekcyjnych zajęć sportowych, a także działań na rzecz dożywiania dzieci uczestniczących w pozalekcyjnych programach opiekuńczo-wychowawczych i socjoterapeutycznych</t>
  </si>
  <si>
    <t>zadania realizowane w ramach Gminnego Programu Profilaktyki 
i Rozwiązywania Problemów Alkoholowych, w tym:</t>
  </si>
  <si>
    <t>Wydatki na 2007 rok z późn. zm.
z tego ze środków:</t>
  </si>
  <si>
    <t>Wydatki na 2008 rok z późn. zm.
z tego ze środków:</t>
  </si>
  <si>
    <t>Wydatki na 2007 rok po zmianach
z tego ze środków:</t>
  </si>
  <si>
    <t>Wydatki na 2008 rok po zmianach
z tego ze środków:</t>
  </si>
  <si>
    <t>Łączne nakłady finansowe
po zmianach</t>
  </si>
  <si>
    <t>Zrealizowane nakłady finansowe
po zmianach</t>
  </si>
  <si>
    <t>termomodernizacja budynku Gimnazjum 
Nr 8 i 10</t>
  </si>
  <si>
    <t>Wydatki na 2007 rok po zmianach, 
z tego ze środków:</t>
  </si>
  <si>
    <t>Wydatki na 2008 rok po zmianach, 
z tego ze środków:</t>
  </si>
  <si>
    <t>Wydatki na 2006 rok
ogółem
z późn. zm.</t>
  </si>
  <si>
    <t xml:space="preserve">
z tego ze środków:</t>
  </si>
  <si>
    <t>Wydatki na 2006 rok
ogółem
po zmianach</t>
  </si>
  <si>
    <t>przedłużenie ul. Jana Pawła II do al. Kraśnickiej wraz z odwodnieniem i oświetleniem w Lublinie</t>
  </si>
  <si>
    <t>inwestycje - dojazd do Szkoły Podstawowej nr 10</t>
  </si>
  <si>
    <t>ul. Kwiatów Polnych</t>
  </si>
  <si>
    <t>Szkoła Podstawowa nr 52 w os. Felin</t>
  </si>
  <si>
    <t>Szkoła Podstawowa nr 39 przy ul. Krężnickiej</t>
  </si>
  <si>
    <t>inwestycje - budowa gimnazjum przy ul. Roztocze</t>
  </si>
  <si>
    <t xml:space="preserve">kanalizacja sanitarna i deszczowa NF w kierunku os. Felin i w os. Felin </t>
  </si>
  <si>
    <t>kolektor sanitarny AN-AS w os. Lipniak do granic miasta</t>
  </si>
  <si>
    <t>odprowadzenie wód deszczowych z ulic: Paśnikowskiego, Frankowskiego, Rogińskiego, Romanowskiego</t>
  </si>
  <si>
    <t>odwodnienie ul. Gałczyńskiego</t>
  </si>
  <si>
    <t>przyłączenie ogrodu działkowego "JAR" do miejskiej sieci wodociągowej</t>
  </si>
  <si>
    <t>budowa zakładu utylizacji odpadów komunalnych dla Lublina i gmin ościennych</t>
  </si>
  <si>
    <t>inwestycje - toaleta publiczna na Starym Mieście</t>
  </si>
  <si>
    <t>infrastruktura techniczna dla inwestorów budownictwa wielorodzinnego</t>
  </si>
  <si>
    <t>budowa gimnazjum przy ul. Roztocze</t>
  </si>
  <si>
    <t>inwestycje - rewaloryzacja terenów zielonych</t>
  </si>
  <si>
    <t>dojazd do Szkoły Podstawowej nr 10</t>
  </si>
  <si>
    <t>toaleta publiczna na Starym Mieście</t>
  </si>
  <si>
    <t>przedłużenie ul. Jana Pawła II do 
al. Kraśnickiej wraz z odwodnieniem 
i oświetleniem w Lublinie</t>
  </si>
  <si>
    <t>budowa odcinka ulicy o dł. ok.  2,4 km wraz 
z włączeniem do al. Kraśnickiej</t>
  </si>
  <si>
    <t xml:space="preserve">realizacja projektu "Program wspierania udziału w imprezach targowych Lublin-Brześć-Łuck. Eurotrójkąt - Targi 2007" </t>
  </si>
  <si>
    <t>2006-2007</t>
  </si>
  <si>
    <t>Promocja jednostek samorządu terytorialnego</t>
  </si>
  <si>
    <t>promocja miasta</t>
  </si>
  <si>
    <t xml:space="preserve">Lubelskie Społeczne Gimnazjum im. Jana III Sobieskiego; Lubelskie Stowarzyszenie Oświatowo-Wychowawcze, Al. Racławickie 17, 20-059 Lublin </t>
  </si>
  <si>
    <t>dotacje dla publicznych liceów profilowanych</t>
  </si>
  <si>
    <t>Zespół Szkół Rzemiosła i Przedsiębiorczości; Izba Rzemiosła i Przedsiębiorczości, ul. Rynek 2, 20-111 Lublin</t>
  </si>
  <si>
    <t xml:space="preserve">dotacje dla publicznych i niepublicznych szkół zawodowych </t>
  </si>
  <si>
    <t xml:space="preserve">Niepubliczne Policealne Studium Medyczne Towarzystwa Wiedzy Powszechnej; Towarzystwo Wiedzy Powszechnej Oddział Regionalny w Lublinie, ul. Kosmowskiej 1a/72, 20-815 Lublin </t>
  </si>
  <si>
    <t xml:space="preserve">Policealna Szkoła Detektywów i Ochrony Fizycznej Osób i Mienia "Rutkowski &amp; Czerwiński"; Małgorzata Morzyszek, ul. Kościelna 2/4, 95-200 Pabianice </t>
  </si>
  <si>
    <t>Policealna Szkoła dla Dorosłych "Kursor"; Piotr Wasak, ul. Kolorowa 4/16, 20-802 Lublin</t>
  </si>
  <si>
    <t>Policealna Szkoła Wychowania i Pracy Socjalnej; Władysław Socha, ul. Paryska 6/9, 20-854 Lublin, Jerzy Łabęcki, ul. Paryska 4/34, 20-854 Lublin</t>
  </si>
  <si>
    <t>Policealne Studium Zarządzania, Administracji i Handlu; Danuta Rowińska, 
ul. Zana 8/104, 20-601 Lublin</t>
  </si>
  <si>
    <t>Profesja Centrum Kształcenia Kadr - Policelana Szkoła Informatyczno - Ekonomiczna; PROFESJA Centrum Kształcenia Kadr Sp. z o.o., ul. Piotrkowska 16, 90-269 Łódź</t>
  </si>
  <si>
    <t>Prywatna Policealna Szkoła Ochrony Pracy dla Dorosłych Centrum Ochrony Pracy i Biznesu "Consultrix"; Ewa Delmanowicz, ul. Kleniewskich 6/3, 20-093 Lublin</t>
  </si>
  <si>
    <t>Prywatne Policealne Studium Zawodowe im. W. Pola; Ośrodek Usług Edukacyjnych Sp. z o.o., ul. Kunickiego 95, 20-459 Lublin</t>
  </si>
  <si>
    <t>Technikum "Lider"; Centrum Usług Szkoleniowych LIDER Sp. z o.o., ul. Radziwiłłowska 5, 20-080 Lublin</t>
  </si>
  <si>
    <t>Technikum ZDZ; Zakład Doskonalenia Zawodowego, ul. Królewska 15, 20-950 Lublin</t>
  </si>
  <si>
    <t xml:space="preserve">zakładowy fundusz świadczeń socjalnych dla nauczycieli emerytów i rencistów </t>
  </si>
  <si>
    <t>Poradnia Psychologiczno-Pedagogiczna nr 2</t>
  </si>
  <si>
    <t>rozdz. 85446 - Dokształcanie 
i doskonalenie nauczycieli</t>
  </si>
  <si>
    <t>Młodzieżowy Dom Kultury nr 2</t>
  </si>
  <si>
    <t>Specjalny Ośrodek Szkolno - Wychowawczy nr 1</t>
  </si>
  <si>
    <t>wspieranie aktywności społeczno - zawodowej osób niepełnosprawnych, w szczególności: prowadzenie specjalistycznych kursów i szkoleń przygotowujących osoby niepełnosprawne do podjęcia pracy, prowadzenie kawiarenki internetowej  dla osób niepełnosprawnych</t>
  </si>
  <si>
    <t>Szkoła Podstawowa nr 46</t>
  </si>
  <si>
    <t>Zespół Szkół Ogólnokształcących nr 4 (SP nr 44)</t>
  </si>
  <si>
    <t>Szkoła Podstawowa nr 25</t>
  </si>
  <si>
    <t>Prywatne Gimnazjum im. ks. K. Gostyńskiego; Michał Bobrzyński, ul. Dulęby 22/2, 20-326 Lublin</t>
  </si>
  <si>
    <t>rozdz. 80113 - Dowożenie uczniów do szkół</t>
  </si>
  <si>
    <t>rozdz. 80121 - Licea ogólnokształcące specjalne</t>
  </si>
  <si>
    <t>rozdz. 80123 - Licea profilowane</t>
  </si>
  <si>
    <t>Zespół Szkół Odzieżowo-Włókienniczych (X Liceum Profilowane)</t>
  </si>
  <si>
    <t>Zespół Szkół nr 3 (XI Liceum Profilowane z Oddziałami Integracyjnymi</t>
  </si>
  <si>
    <t>§ 4280</t>
  </si>
  <si>
    <t>zdrowotnych</t>
  </si>
  <si>
    <t>rozdz. 80134 - Szkoły zawodowe specjalne</t>
  </si>
  <si>
    <t>rozdz. 85401 - Świetlice szkolne</t>
  </si>
  <si>
    <t>Poradnia Psychologiczno-Pedagogiczna nr 1</t>
  </si>
  <si>
    <t>rozdz. 85410 -  Internaty i bursy szkolne</t>
  </si>
  <si>
    <t>Bursa Szkolna nr 2</t>
  </si>
  <si>
    <t>Szkoła Podstawowa nr 40</t>
  </si>
  <si>
    <t>IX Liceum Ogólnokształcące</t>
  </si>
  <si>
    <t>rozdz. 85417 - Szkolne schroniska młodzieżowe</t>
  </si>
  <si>
    <t>Szkolne Schronisko Młodzieżowe</t>
  </si>
  <si>
    <t>Szkoła Podstawowa nr 7</t>
  </si>
  <si>
    <t>Gimnazjum nr 13</t>
  </si>
  <si>
    <t>Zespół Szkół Budowlanych</t>
  </si>
  <si>
    <t>remont obiektu</t>
  </si>
  <si>
    <t>Żłobki</t>
  </si>
  <si>
    <t>system monitoringu w mieście</t>
  </si>
  <si>
    <t>w tym: inwestycje - system monitoringu w mieście</t>
  </si>
  <si>
    <t>w tym: inwestycje - zakupy inwestycyjne</t>
  </si>
  <si>
    <t>Rodziny zastępcze</t>
  </si>
  <si>
    <t>dotacje na utrzymanie dzieci umieszczonych w rodzinach zastępczych na terenie innych powiatów</t>
  </si>
  <si>
    <t>Dotacje celowe przekazane dla powiatu na zadania bieżące realizowane na podstawie porozumień między jednostkami samorządu terytorialnego</t>
  </si>
  <si>
    <t>Jednostki specjalistycznego poradnictwa, mieszkania chronione i ośrodki interwencji kryzysowej</t>
  </si>
  <si>
    <t>mieszkania chronione</t>
  </si>
  <si>
    <t>Zakup usług remontowych - remont mieszkań chronionych</t>
  </si>
  <si>
    <t>z dnia 29 września 2006 roku</t>
  </si>
  <si>
    <t>Zakup usług remontowych - remonty</t>
  </si>
  <si>
    <t>remont mieszkań chronionych</t>
  </si>
  <si>
    <t>remonty</t>
  </si>
  <si>
    <t>7. Dom Pomocy Społecznej im. Matki Teresy z Kalkuty</t>
  </si>
  <si>
    <t>Ratownictwo medyczne</t>
  </si>
  <si>
    <t>Zakup sprzętu i uzbrojenia</t>
  </si>
  <si>
    <t>Zakup usług remontowych</t>
  </si>
  <si>
    <t>dotacja celowa z budżetu państwa na dofinansowanie funkcjonowania Centrum Powiadamiania Ratunkowego</t>
  </si>
  <si>
    <t>Towarzystwa budownictwa społecznego</t>
  </si>
  <si>
    <t>Drogi wewnętrzne</t>
  </si>
  <si>
    <t>remonty, z tego:</t>
  </si>
  <si>
    <t>remont mostów</t>
  </si>
  <si>
    <t>remonty, w tym:</t>
  </si>
  <si>
    <t xml:space="preserve">Dotacje podmiotowe z budżetu dla publicznej jednostki systemu oświaty prowadzonej przez osobę prawną inną niż jednostka samorządu terytorialnego oraz przez osobę fizyczną </t>
  </si>
  <si>
    <t>Przedszkole Publiczne "Jadwisia"; Parafia Rzymsko-Katolicka pw. Trójcy Przenajświętszej, ul. Władysława Jagiełły 7, 20-281 Lublin</t>
  </si>
  <si>
    <t>Katolicka Szkoła Podstawowa im. św Jadwigi Królowej; Parafia Rzymsko-Katolicka św. Jadwigi Królowej, ul. Koncertowa 15, 20-866 Lublin</t>
  </si>
  <si>
    <t>Pierwsza Społeczna Szkoła Podstawowa; Społeczne Stowarzyszenie Edukacyjne, ul. Herbowa 18 A, 20-551 Lublin</t>
  </si>
  <si>
    <t>Zakup leków i materiałów medycznych</t>
  </si>
  <si>
    <t>Prywatne Przedszkole Językowo-Artystyczne "Nasze Przedszkole"; Adriana Michalewska, ul. Reja 8/39, 32-305 Olkusz</t>
  </si>
  <si>
    <t>Przedszkole Niepubliczne im. św. Józefa; Zgromadzenie Sióstr św. Józefa z Cluny, ul. Ks. Michała Słowikowskiego 1a, 20-124 Lublin</t>
  </si>
  <si>
    <t>Przedszkole Niepubliczne z Oddziałami Integracyjnymi im. bł. Bolesławy Lament; Zgromadzenie Sióstr Misjonarek św. Rodziny, ul. Słowackiego 11, 
05-806 Komorów k. Warszawy</t>
  </si>
  <si>
    <t>Przedszkole Prywatne "JAGODY"; Jadwiga Puła, ul. Skierki 1/77, 20-601 Lublin</t>
  </si>
  <si>
    <t>świadczenia społeczne</t>
  </si>
  <si>
    <t>Zakup usług remontowych - remonty obiektów Miejskiego Ośrodka Pomocy Rodzinie</t>
  </si>
  <si>
    <t>usługi opiekuńcze</t>
  </si>
  <si>
    <t>remonty obiektów Miejskiego Ośrodka Pomocy Rodzinie</t>
  </si>
  <si>
    <t>modernizacja węzła cieplnego i kotłowni, wymiana instalacji centralnego ogrzewania oraz okien i drzwi zewnętrznych, docieplenie dachu, stropodachu i ścian zewnętrznych</t>
  </si>
  <si>
    <t>Przedszkole Prywatne "PIOTRUŚ PAN"; Mirosława Kamienobrodzka, 
ul. Krasińskiego 3/53, 20-709 Lublin</t>
  </si>
  <si>
    <t>Przedszkole Sióstr Nazaretanek; Zgromadzenie Sióstr Najświętszej Rodziny z Nazaretu, ul. Czerniakowska 137, 00-720 Warszawa</t>
  </si>
  <si>
    <t>Przedszkole Sióstr Urszulanek Serca Jezusa Konającego; Zgromadzenie Sióstr Urszulanek SJK DOM ZAKONNY, ul. Orlanda 15-17, 20-712 Lublin</t>
  </si>
  <si>
    <t>Przedszkole Sióstr Urszulanek Serca Jezusa Konającego; Zgromadzenie Sióstr Urszulanek SJK DOM ZAKONNY, ul. Sudecka 49-53, 20-867 Lublin</t>
  </si>
  <si>
    <t>Przedszkole Parafialne im. bł. Honorata Koźmińskiego; Parafia Rzymsko-Katolicka św. Stanisława Biskupa i Męczennika, ul. Zbożowa 75, 20-827 Lublin</t>
  </si>
  <si>
    <t>Przedszkole Niepubliczne im. św. Józefa; Zgromadzenie Sióstr św. Józefa z Cluny, ul. ks. Michała Słowikowskiego 1a, 20-124 Lublin</t>
  </si>
  <si>
    <t xml:space="preserve">dotacje dla publicznych i niepublicznych przedszkoli </t>
  </si>
  <si>
    <t>Dotacje podmiotowe z budżetu dla publicznej jednostki systemu oświaty prowadzonej przez osobę prawną inną niż jednostka samorządu terytorialnego oraz przez osobę fizyczną</t>
  </si>
  <si>
    <t>1.3 Wydział Geodezji i Gospodarki Nieruchomościami</t>
  </si>
  <si>
    <r>
      <t>Zadania zlecone</t>
    </r>
    <r>
      <rPr>
        <i/>
        <sz val="10"/>
        <rFont val="Arial CE"/>
        <family val="0"/>
      </rPr>
      <t>, z tego:</t>
    </r>
  </si>
  <si>
    <t xml:space="preserve">wydatki ochotniczych straży pożarnych </t>
  </si>
  <si>
    <t>w tym: remonty</t>
  </si>
  <si>
    <t>w tym: wynagrodzenia</t>
  </si>
  <si>
    <t>zadania realizowane w ramach Gminnego Programu Profilaktyki 
i Rozwiązywania Problemów Alkoholowych</t>
  </si>
  <si>
    <t>realizacja zadań wynikających ze strategii działań na rzecz osób niepełnosprawnych</t>
  </si>
  <si>
    <t>mieszkania chronione:</t>
  </si>
  <si>
    <t>zajęcia sportowo-rekreacyjne w szkołach</t>
  </si>
  <si>
    <t xml:space="preserve">w tym: remonty </t>
  </si>
  <si>
    <t>w tym: zakupy inwestycyjne</t>
  </si>
  <si>
    <t>Zakup usług remontowych - remont instalacji centralnego ogrzewania w JRG PSP w Bełżycach</t>
  </si>
  <si>
    <t>15.  Szkoły i placówki oświatowe</t>
  </si>
  <si>
    <t>1.6 Wydział Oświaty i Wychowania</t>
  </si>
  <si>
    <t>1.7 Wydział Spraw Społecznych</t>
  </si>
  <si>
    <t>1.8 Wydział Strategii i Rozwoju</t>
  </si>
  <si>
    <t>1,9 Kancelaria Prezydenta Miasta</t>
  </si>
  <si>
    <t>13. Miejski Zespół Żłobków</t>
  </si>
  <si>
    <t>14. Komenda Miejska Państwowej Straży Pożarnej</t>
  </si>
  <si>
    <t>Świadczenia rodzinne, zaliczka alimentacyjna  oraz składki na ubezpieczenia emerytalne i rentowe z ubezpieczenia społecznego</t>
  </si>
  <si>
    <t>9. Dom Pomocy Społecznej 
im. W. Michelisowej</t>
  </si>
  <si>
    <t>4. Zespół Placówek Wsparcia Dziecka 
i Rodziny</t>
  </si>
  <si>
    <t>Zespół Szkół Ogólnokształcących nr 5</t>
  </si>
  <si>
    <t>V Liceum Ogólnokształcące</t>
  </si>
  <si>
    <t>Zespół Szkół Ekonomicznych</t>
  </si>
  <si>
    <t>Zespół Szkół Włókienniczych</t>
  </si>
  <si>
    <t>Zespół Szkół nr 6</t>
  </si>
  <si>
    <t>3. Zespół Placówek Opiekuńczo-Wychowawczych "Pogodny Dom"</t>
  </si>
  <si>
    <t>dotacja celowa z budżetu państwa na sfinansowanie wyprawki szkolnej</t>
  </si>
  <si>
    <t>wyprawka szkolna</t>
  </si>
  <si>
    <t>realizacja projektu "TURYSTYKA BEZ GRANIC - Promocja ośrodków turystycznych Euroregionu Bug"</t>
  </si>
  <si>
    <t xml:space="preserve">1.3 Wydział Finansowy </t>
  </si>
  <si>
    <t>1.5 Wydział Gospodarki Komunalnej</t>
  </si>
  <si>
    <t>1.6 Wydział Organizacyjny</t>
  </si>
  <si>
    <t>1.7 Wydział Oświaty i Wychowania</t>
  </si>
  <si>
    <t>Powiatowe urzędy pracy</t>
  </si>
  <si>
    <t>Cmentarze</t>
  </si>
  <si>
    <t>Gospodarka nieruchomościami</t>
  </si>
  <si>
    <t xml:space="preserve">Wydatki na zadania realizowane na podstawie porozumień 
i umów </t>
  </si>
  <si>
    <t>Wynagrodzenia osobowe pracowników</t>
  </si>
  <si>
    <t>Harmonogram realizacji wydatków budżetu miasta w 2006 roku</t>
  </si>
  <si>
    <t>Prezydenta Miasta Lublin</t>
  </si>
  <si>
    <t>w złotych</t>
  </si>
  <si>
    <t>Treść</t>
  </si>
  <si>
    <t>Plan</t>
  </si>
  <si>
    <t>Miesiące</t>
  </si>
  <si>
    <t>Dział</t>
  </si>
  <si>
    <t>Rozdz.</t>
  </si>
  <si>
    <t>(nazwa działu, rozdziału)</t>
  </si>
  <si>
    <t>na 2006 rok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</si>
  <si>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</si>
  <si>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</si>
  <si>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</si>
  <si>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</si>
  <si>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</si>
  <si>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</si>
  <si>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</si>
  <si>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</si>
  <si>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</si>
  <si>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</si>
  <si>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</si>
  <si>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</si>
  <si>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Wydatki ogółem</t>
  </si>
  <si>
    <t>z tego:</t>
  </si>
  <si>
    <t>1. Urząd Miasta</t>
  </si>
  <si>
    <t>Wydatki na zadania własne</t>
  </si>
  <si>
    <t>Bezpieczeństwo publiczne i ochrona przeciwpożarowa</t>
  </si>
  <si>
    <t>Różne rozliczenia</t>
  </si>
  <si>
    <t>Rezerwy ogólne i celowe</t>
  </si>
  <si>
    <t>Transport i łączność</t>
  </si>
  <si>
    <t>Lokalny transport zbiorowy</t>
  </si>
  <si>
    <t>Pozostała działalność</t>
  </si>
  <si>
    <t>Oświata i wychowanie</t>
  </si>
  <si>
    <t>Pomoc społeczna</t>
  </si>
  <si>
    <t>Edukacyjna opieka wychowawcza</t>
  </si>
  <si>
    <t>Ochrona zdrowia</t>
  </si>
  <si>
    <t>Administracja publiczna</t>
  </si>
  <si>
    <t xml:space="preserve">Podział planowanych dochodów i wydatków budżetu miasta </t>
  </si>
  <si>
    <t>na 2006 rok według jednostek organizacyjnych realizujących budżet</t>
  </si>
  <si>
    <t xml:space="preserve">Rozdz.      </t>
  </si>
  <si>
    <t>§</t>
  </si>
  <si>
    <t xml:space="preserve">Treść   </t>
  </si>
  <si>
    <t>Dochody</t>
  </si>
  <si>
    <t>Wydatki</t>
  </si>
  <si>
    <t>Zmniejszenia</t>
  </si>
  <si>
    <t>Zwiększenia</t>
  </si>
  <si>
    <t>Ogółem</t>
  </si>
  <si>
    <t xml:space="preserve">Wydatki na zadania własne </t>
  </si>
  <si>
    <t>Zakup materiałów i wyposażenia</t>
  </si>
  <si>
    <t>Zakup usług pozostałych</t>
  </si>
  <si>
    <t>Rezerwy</t>
  </si>
  <si>
    <t>Urzędy miast i miast na prawach powiatu</t>
  </si>
  <si>
    <t>wydatki rzeczowe</t>
  </si>
  <si>
    <t>Wydatki budżetu miasta na 2006 rok</t>
  </si>
  <si>
    <t>Dz.</t>
  </si>
  <si>
    <t>Wydatki                                                                                                                               (nazwa działu, rozdziału, zadania, paragrafu)</t>
  </si>
  <si>
    <t xml:space="preserve">Plan według uchwały    
nr 849/XXXVI/2005                              
Rady Miasta Lublin
z 29.12.2005 r. 
z późn. zm.                      </t>
  </si>
  <si>
    <t>Plan po zmianach</t>
  </si>
  <si>
    <t>Przeciwdziałanie alkoholizmowi</t>
  </si>
  <si>
    <t>Wynagrodzenia bezosobowe</t>
  </si>
  <si>
    <t>Wydatki na zadania realizowane na podstawie porozumień i umów</t>
  </si>
  <si>
    <t>Wydatki na zadania zlecone, z tego:</t>
  </si>
  <si>
    <t>Wydatki na zadania ustawowo zlecone gminie</t>
  </si>
  <si>
    <t>Wydatki na zadania z zakresu administracji rządowej wykonywane przez powiat</t>
  </si>
  <si>
    <t>Gospodarka mieszkaniowa</t>
  </si>
  <si>
    <t>Gospodarka gruntami i nieruchomościami</t>
  </si>
  <si>
    <t xml:space="preserve">Plan finansowy zadań z zakresu administracji rządowej i innych zadań zleconych ustawami </t>
  </si>
  <si>
    <t xml:space="preserve">oraz plan dochodów, które podlegają przekazaniu do budżetu państwa </t>
  </si>
  <si>
    <t>związanych z realizacją powyższych zadań na 2006 rok</t>
  </si>
  <si>
    <t>Zmiany</t>
  </si>
  <si>
    <t>Plan wydatków 
po zmianach</t>
  </si>
  <si>
    <t>Rozdz.
§</t>
  </si>
  <si>
    <t>(nazwa działu, rozdziału, źródła dochodów, zadania, paragrafu)</t>
  </si>
  <si>
    <t>Zadania zlecone ogółem</t>
  </si>
  <si>
    <t>Zadania ustawowo zlecone gminie</t>
  </si>
  <si>
    <t>Zadania z zakresu administracji rządowej wykonywane przez powiat</t>
  </si>
  <si>
    <t>Pozostałe zadania w zakresie polityki społecznej</t>
  </si>
  <si>
    <t>pochodne od wynagrodzeń</t>
  </si>
  <si>
    <t>Szkoły zawodowe</t>
  </si>
  <si>
    <t xml:space="preserve">Przedszkola </t>
  </si>
  <si>
    <t>Zakup usług remontowych - remonty przedszkoli</t>
  </si>
  <si>
    <t>Dodatkowe wynagrodzenie roczne</t>
  </si>
  <si>
    <t>inwestycyjne</t>
  </si>
  <si>
    <t>jednostek</t>
  </si>
  <si>
    <t>budżetowych</t>
  </si>
  <si>
    <t>Wydatki na zakupy inwestycyjne jednostek budżetowych</t>
  </si>
  <si>
    <t>§ 6060</t>
  </si>
  <si>
    <t>na zakupy</t>
  </si>
  <si>
    <t>remonty przedszkoli</t>
  </si>
  <si>
    <t>Dochody                                                                                                                                            (nazwa działu, rozdziału, źródła dochodów)</t>
  </si>
  <si>
    <t>Wydatki                                                                                                                               (nazwa działu, rozdziału, zadania)</t>
  </si>
  <si>
    <t>Dochody
według zarządzenia   
nr 20/2006                              
Prezydenta Miasta Lublin
z 19.01.2006 r.
z późn. zm.</t>
  </si>
  <si>
    <t>Wydatki
według zarządzenia   
nr 20/2006                              
Prezydenta Miasta Lublin
z 19.01.2006 r.
z późn. zm.</t>
  </si>
  <si>
    <t>realizacja projektu "Program wspierania udziału w imprezach targowych Lublin - Brześć - Łuck. Eurotrójkąt - Targi 2007"</t>
  </si>
  <si>
    <t>Dotacje celowe otrzymane z budżetu państwa na realizację inwestycji i zakupów inwestycyjnych własnych powiatu</t>
  </si>
  <si>
    <t>Wpływy z tytułu pomocy finansowej udzielanej między jednostkami samorządu terytorialnego na dofinansowanie własnych zadań bieżących</t>
  </si>
  <si>
    <t>modernizacja obiektów</t>
  </si>
  <si>
    <t>Zakup usług remontowych - remont instalacji centralnego ogrzewania w JRG PSP
w Bełżycach</t>
  </si>
  <si>
    <t>Dotacja podmiotowa z budżetu dla niepublicznej jednostki systemu oświaty</t>
  </si>
  <si>
    <t>Poradnie psychologiczno - pedagogiczne, w tym poradnie specjalistyczne</t>
  </si>
  <si>
    <t>Podróże służbowe zagraniczne</t>
  </si>
  <si>
    <t>zajęcia sportowo - rekreacyjne w szkołach</t>
  </si>
  <si>
    <t>Placówki oświatowe - zmiany</t>
  </si>
  <si>
    <t>Inwestycje</t>
  </si>
  <si>
    <t>Pochodne od wynagrodzeń</t>
  </si>
  <si>
    <t>Wydatki rzeczowe</t>
  </si>
  <si>
    <t>Podróże</t>
  </si>
  <si>
    <t>Różne</t>
  </si>
  <si>
    <t>służbowe</t>
  </si>
  <si>
    <t>opłaty</t>
  </si>
  <si>
    <t>krajowe</t>
  </si>
  <si>
    <t>i składki</t>
  </si>
  <si>
    <t>OGÓŁEM</t>
  </si>
  <si>
    <t>Szkoła Podstawowa nr 30</t>
  </si>
  <si>
    <t>rozdz. 80110 - Gimnazja</t>
  </si>
  <si>
    <t>Gimnazjum nr 14</t>
  </si>
  <si>
    <t>Gimnazjum nr 15</t>
  </si>
  <si>
    <t>Gimnazjum nr 17</t>
  </si>
  <si>
    <t>rozdz. 80120 - Licea ogólnokształcące</t>
  </si>
  <si>
    <t>I Liceum Ogólnokształcące</t>
  </si>
  <si>
    <t>VII Liceum Ogólnokształcące</t>
  </si>
  <si>
    <t>Szkoła Podstawowa nr 2</t>
  </si>
  <si>
    <t>Szkoła Podstawowa nr 3</t>
  </si>
  <si>
    <t>Szkoła Podstawowa nr 4</t>
  </si>
  <si>
    <t>Szkoła Podstawowa nr 6</t>
  </si>
  <si>
    <t>Szkoła Podstawowa nr 10</t>
  </si>
  <si>
    <t>Szkoła Podstawowa nr 14</t>
  </si>
  <si>
    <t>Szkoła Podstawowa nr 20</t>
  </si>
  <si>
    <t>Szkoła Podstawowa nr 21</t>
  </si>
  <si>
    <t>Szkoła Podstawowa nr 23</t>
  </si>
  <si>
    <t>Szkoła Podstawowa nr 24</t>
  </si>
  <si>
    <t>Składki na ubezpieczenia społeczne</t>
  </si>
  <si>
    <t>Składki na Fundusz Pracy</t>
  </si>
  <si>
    <t>Ochotnicze straże pożarne</t>
  </si>
  <si>
    <t>Zakup energii</t>
  </si>
  <si>
    <t>Zakup usług zdrowotnych</t>
  </si>
  <si>
    <t>Różne opłaty i składki</t>
  </si>
  <si>
    <t>Programy polityki zdrowotnej</t>
  </si>
  <si>
    <t>Zwalczanie narkomanii</t>
  </si>
  <si>
    <t>Podróże służbowe krajowe</t>
  </si>
  <si>
    <t>realizacja projektu "Stereotypy a Rzeczywistość"</t>
  </si>
  <si>
    <t>Różne rozliczenia finansowe</t>
  </si>
  <si>
    <t>pozostałe zadania w zakresie upowszechniania kultury i sztuki</t>
  </si>
  <si>
    <t>Nagrody o charakterze szczególnym niezaliczone do wynagrodzeń</t>
  </si>
  <si>
    <t>Rezerwy na inwestycje i zakupy inwestycyjne</t>
  </si>
  <si>
    <t>w tym: inwestycje - rezerwa celowa na finansowanie projektów współfinansowanych ze środków Unii Europejskiej</t>
  </si>
  <si>
    <t>zadania realizowane w ramach Gminnego Programu Profilaktyki i Rozwiązywania Problemów Alkoholowych, z tego:</t>
  </si>
  <si>
    <t>prowadzenie profilaktycznej działalności informacyjnej i edukacyjnej w zakresie rozwiązywania problemów alkoholowych i przeciwdziałania narkomanii, w szczególności dla dzieci i młodzieży, w tym prowadzenie pozalekcyjnych zajęć sportowych, a także działań na rzecz dożywiania dzieci uczestniczących w pozalekcyjnych programach opiekuńczo-wychowawczych i socjoterapeutycznych</t>
  </si>
  <si>
    <t>Zakup środków żywności</t>
  </si>
  <si>
    <t xml:space="preserve">realizacja zadań wynikających ze strategii działań na rzecz osób niepełnosprawnych, z tego: </t>
  </si>
  <si>
    <t>zadania realizowane w ramach Gminnego Programu Profilaktyki i Rozwiązywania Problemów Alkoholowych, w tym:</t>
  </si>
  <si>
    <t xml:space="preserve">realizacja zadań wynikających ze strategii działań na rzecz osób niepełnosprawnych, w tym: </t>
  </si>
  <si>
    <t>rozdz. 85195 - Pozostała działalność</t>
  </si>
  <si>
    <t>rozdz. 85154 - Przeciwdziałanie alkoholizmowi</t>
  </si>
  <si>
    <t>Zespół Szkół Transportowo - Komunikacyjnych</t>
  </si>
  <si>
    <t>środki w dyspozycji wydziału</t>
  </si>
  <si>
    <t>Szkoła Podstawowa nr 27</t>
  </si>
  <si>
    <t>Szkoła Podstawowa nr 28</t>
  </si>
  <si>
    <t>Szkoła Podstawowa nr 29</t>
  </si>
  <si>
    <t>Szkoła Podstawowa nr 31</t>
  </si>
  <si>
    <t>Szkoła Podstawowa nr 32</t>
  </si>
  <si>
    <t>Szkoła Podstawowa nr 34</t>
  </si>
  <si>
    <t>Szkoła Podstawowa nr 38</t>
  </si>
  <si>
    <t>Szkoła Podstawowa nr 39</t>
  </si>
  <si>
    <t>Szkoła Podstawowa nr 42</t>
  </si>
  <si>
    <t>Szkoła Podstawowa nr 43</t>
  </si>
  <si>
    <t>2004-2009</t>
  </si>
  <si>
    <t>termomodernizacja budynku Szkoły Podstawowej nr 29</t>
  </si>
  <si>
    <t xml:space="preserve">udział w międzynarodowych imprezach targowych </t>
  </si>
  <si>
    <t>Dział 926 - Kultura fizyczna
 i sport</t>
  </si>
  <si>
    <t>zajęcia sportowo-rekreacyjne 
w szkołach</t>
  </si>
  <si>
    <t>13. Szkoły i placówki oświatowe</t>
  </si>
  <si>
    <t>Centrum Powiadamiania Ratunkowego</t>
  </si>
  <si>
    <t>Zakup materiałów i wyposażenia - remonty</t>
  </si>
  <si>
    <t>12.  Komenda Miejska Państwowej Straży Pożarnej</t>
  </si>
  <si>
    <t>10.  Miejski Zespół Żłobków</t>
  </si>
  <si>
    <t xml:space="preserve">inwestycje - zakupy inwestycyjne </t>
  </si>
  <si>
    <t>Zasiłki i pomoc w naturze oraz składki na ubezpieczenia emerytalne i rentowe</t>
  </si>
  <si>
    <t>9.  Miejski Ośrodek Pomocy Rodzinie</t>
  </si>
  <si>
    <t>8. Dom Pomocy Społecznej dla Osób Niepełnosprawnych Fizycznie</t>
  </si>
  <si>
    <t>termomodernizacja budynku</t>
  </si>
  <si>
    <t xml:space="preserve">Różne rozliczenia </t>
  </si>
  <si>
    <t xml:space="preserve">1.10 Kancelaria Prezydenta Miasta </t>
  </si>
  <si>
    <t>inwestycje - Zespół Szkół nr 1</t>
  </si>
  <si>
    <t>przedłużenie ul. Jana Pawła II do al. Kraśnickiej wraz z odwodnieniem 
i oświetleniem w Lublinie</t>
  </si>
  <si>
    <t>1.9 Wydział Strategii i Rozwoju</t>
  </si>
  <si>
    <t>1.8 Wydział Spraw Społecznych</t>
  </si>
  <si>
    <t>Prywatne Przedszkole "STRUMYK" A. i W. Rożek nr 1; Anna i Wiesław Rożek, 
ul. Lwowska 24/34, 20-128 Lublin</t>
  </si>
  <si>
    <t>Prywatne Przedszkole "STRUMYK" A. i W. Rożek nr 2; Anna i Wiesław Rożek, 
ul. Lwowska 24/34, 20-128 Lublin</t>
  </si>
  <si>
    <t>Prywatne Przedszkole "STRUMYK" A. i W. Rożek nr 3; Anna i Wiesław Rożek, 
ul. Lwowska 24/34, 20-128 Lublin</t>
  </si>
  <si>
    <t>Przedszkole Prywatne "MARTYNKA - BIS"; Izabela Czechowska, 
ul. Urzędowska 150, 20-727 Lublin, Agnieszka Sałaga, ul. Radomska 8, 
20-729 Lublin</t>
  </si>
  <si>
    <t>Zasadnicza Szkoła Wielozawodowa ZDZ; Zakład Doskonalenia Zawodowego, 
ul. Królewska 15, 20-950 Lublin</t>
  </si>
  <si>
    <t>Policealna Szkoła Zawodowa Izby Rzemiosła i Przedsiębiorczości; Izba Rzemiosła 
i Przedsiębiorczości, ul. Rynek 2, 20-111 Lublin</t>
  </si>
  <si>
    <t>Niepubliczne Technikum Leśne; Stowarzyszenie "Szansa", ul. Kapucyńska 1a,      20-009 Lublin</t>
  </si>
  <si>
    <t>Katolickie Przedszkole im. św. Franciszka z Asyżu; Zgromadzenie Sióstr Służek NMP Niepokalanej, ul. Mickiewicza 7, 27-600 Sandomierz</t>
  </si>
  <si>
    <t>modernizacja obiektu</t>
  </si>
  <si>
    <t>inwestycje - modernizacje obiektów</t>
  </si>
  <si>
    <t>inwestycje - modernizacje budynków</t>
  </si>
  <si>
    <t>1.4 Wydział Geodezji i Gospodarki Nieruchomościami</t>
  </si>
  <si>
    <t>wydatki majątkowe - modernizacja i rozbudowa Portu Lotniczego Lublin S.A. z siedzibą w Świdniku</t>
  </si>
  <si>
    <t>1.1 Wydział Bezpieczeństwa Mieszkańców i Zarządzania Kryzysowego</t>
  </si>
  <si>
    <t xml:space="preserve">inwestycje, w tym: </t>
  </si>
  <si>
    <t>Zakup usług remontowych - remont obiektu</t>
  </si>
  <si>
    <t>Jednostki specjalistycznego poradnictwa, mieszkania chronione
 i ośrodki interwencji kryzysowej</t>
  </si>
  <si>
    <t xml:space="preserve">zakładowy fundusz świadczeń socjalnych dla nauczycieli emerytów
i rencistów </t>
  </si>
  <si>
    <t xml:space="preserve">wydatki majątkowe, w tym: </t>
  </si>
  <si>
    <t xml:space="preserve">Zakup usług remontowych </t>
  </si>
  <si>
    <t>modernizacja i rozbudowa Portu Lotniczego Lublin S.A. z siedzibą 
w Świdniku</t>
  </si>
  <si>
    <t xml:space="preserve">zakładowy fundusz świadczeń socjalnych dla nauczycieli emerytów 
i rencistów </t>
  </si>
  <si>
    <t>wydatki majątkowe</t>
  </si>
  <si>
    <t>Szkoła Podstawowa nr 47</t>
  </si>
  <si>
    <t>Szkoła Podstawowa nr 48</t>
  </si>
  <si>
    <t>Szkoła Podstawowa nr 50</t>
  </si>
  <si>
    <t>Szkoła Podstawowa nr 51</t>
  </si>
  <si>
    <t>Szkoła Podstawowa nr 52</t>
  </si>
  <si>
    <t>Gimnazjum nr 1</t>
  </si>
  <si>
    <t>Gimnazjum nr 2</t>
  </si>
  <si>
    <t>Gimnazjum nr 3</t>
  </si>
  <si>
    <t>Gimnazjum nr 5</t>
  </si>
  <si>
    <t>Gimnazjum nr 7</t>
  </si>
  <si>
    <t>Gimnazjum nr 8</t>
  </si>
  <si>
    <t>Gimnazjum nr 9</t>
  </si>
  <si>
    <t>Gimnazjum nr 10</t>
  </si>
  <si>
    <t>Gimnazjum nr 11</t>
  </si>
  <si>
    <t>Gimnazjum nr 12</t>
  </si>
  <si>
    <t>Gimnazjum nr 16</t>
  </si>
  <si>
    <t>Gimnazjum nr 18</t>
  </si>
  <si>
    <t>Gimnazjum nr 19</t>
  </si>
  <si>
    <t>II Liceum Ogólnokształcące</t>
  </si>
  <si>
    <t>III Liceum Ogólnokształcące</t>
  </si>
  <si>
    <t>IV Liceum Ogólnokształcące</t>
  </si>
  <si>
    <t>VI Liceum Ogólnokształcące</t>
  </si>
  <si>
    <t>VIII Liceum Ogólnokształcące</t>
  </si>
  <si>
    <t>Zespół Szkół Ogólnokształcących nr 2</t>
  </si>
  <si>
    <t>Zespół Szkół Ogólnokształcących nr 4</t>
  </si>
  <si>
    <t>Zespół Szkół Ogólnokształcących nr 6</t>
  </si>
  <si>
    <t>Zespół Szkół Odzieżowo-Włókienniczych</t>
  </si>
  <si>
    <t>Zespół Szkół Chemicznych i Przemysłu Spożywczego</t>
  </si>
  <si>
    <t>Lubelskie Centrum Edukacji Zawodowej</t>
  </si>
  <si>
    <t>Dział 854 - Edukacyjna opieka wychowawcza</t>
  </si>
  <si>
    <t>Wydatki inwestycyjne jednostek budżetowych</t>
  </si>
  <si>
    <t>inwestycje</t>
  </si>
  <si>
    <t>Gospodarka komunalna i ochrona środowiska</t>
  </si>
  <si>
    <t xml:space="preserve">wynagrodzenia </t>
  </si>
  <si>
    <t>2. Komenda Straży Miejskiej</t>
  </si>
  <si>
    <t>Straż Miejska</t>
  </si>
  <si>
    <t>inwestycje, w tym:</t>
  </si>
  <si>
    <t>pomoc materialna dla uczniów w ramach Narodowego Programu Stypendialnego</t>
  </si>
  <si>
    <t>Stypendia dla uczniów</t>
  </si>
  <si>
    <t>Inne formy pomocy dla uczniów</t>
  </si>
  <si>
    <t>Wynagrodzenia</t>
  </si>
  <si>
    <t xml:space="preserve">       Nazwa</t>
  </si>
  <si>
    <t>§ 4040</t>
  </si>
  <si>
    <t>§ 4170</t>
  </si>
  <si>
    <t>§ 4110</t>
  </si>
  <si>
    <t>§ 4120</t>
  </si>
  <si>
    <t>§ 3240</t>
  </si>
  <si>
    <t>§ 3260</t>
  </si>
  <si>
    <t>§ 4140</t>
  </si>
  <si>
    <t>§ 4210</t>
  </si>
  <si>
    <t>§ 4240</t>
  </si>
  <si>
    <t>§ 4260</t>
  </si>
  <si>
    <t>§ 4270</t>
  </si>
  <si>
    <t>§ 4300</t>
  </si>
</sst>
</file>

<file path=xl/styles.xml><?xml version="1.0" encoding="utf-8"?>
<styleSheet xmlns="http://schemas.openxmlformats.org/spreadsheetml/2006/main">
  <numFmts count="5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#,##0.00\ &quot;zł&quot;"/>
    <numFmt numFmtId="174" formatCode="#,##0.0"/>
    <numFmt numFmtId="175" formatCode="0.0"/>
    <numFmt numFmtId="176" formatCode="#,##0.0000"/>
    <numFmt numFmtId="177" formatCode="###0"/>
    <numFmt numFmtId="178" formatCode="h:m"/>
    <numFmt numFmtId="179" formatCode="#,##0.00\ &quot;zł&quot;;[Red]#,##0.00\ &quot;zł&quot;"/>
    <numFmt numFmtId="180" formatCode="#,##0\ &quot;zł&quot;"/>
    <numFmt numFmtId="181" formatCode="#,##0.000"/>
    <numFmt numFmtId="182" formatCode="#,##0.00\ _z_ł"/>
    <numFmt numFmtId="183" formatCode="#,##0\ _z_ł"/>
    <numFmt numFmtId="184" formatCode="#,##0_ ;\-#,##0\ "/>
    <numFmt numFmtId="185" formatCode="#,##0_ ;[Red]\-#,##0\ "/>
    <numFmt numFmtId="186" formatCode="#,##0;&quot;-&quot;#,##0"/>
    <numFmt numFmtId="187" formatCode="#,##0;[Red]&quot;-&quot;#,##0"/>
    <numFmt numFmtId="188" formatCode="#,##0.00;&quot;-&quot;#,##0.00"/>
    <numFmt numFmtId="189" formatCode="#,##0.00;[Red]&quot;-&quot;#,##0.00"/>
    <numFmt numFmtId="190" formatCode="\ h\ h:m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\1000,000"/>
    <numFmt numFmtId="200" formatCode="\1\ 000,000"/>
    <numFmt numFmtId="201" formatCode="#\.##0"/>
    <numFmt numFmtId="202" formatCode="#\.###\.##0"/>
    <numFmt numFmtId="203" formatCode="0.0%"/>
    <numFmt numFmtId="204" formatCode="&quot;Tak&quot;;&quot;Tak&quot;;&quot;Nie&quot;"/>
    <numFmt numFmtId="205" formatCode="&quot;Prawda&quot;;&quot;Prawda&quot;;&quot;Fałsz&quot;"/>
    <numFmt numFmtId="206" formatCode="&quot;Włączone&quot;;&quot;Włączone&quot;;&quot;Wyłączone&quot;"/>
    <numFmt numFmtId="207" formatCode="[$€-2]\ #,##0.00_);[Red]\([$€-2]\ #,##0.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u val="single"/>
      <sz val="12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i/>
      <sz val="10"/>
      <name val="Arial CE"/>
      <family val="2"/>
    </font>
    <font>
      <i/>
      <sz val="11"/>
      <name val="Arial CE"/>
      <family val="2"/>
    </font>
    <font>
      <sz val="9"/>
      <name val="Arial CE"/>
      <family val="2"/>
    </font>
    <font>
      <b/>
      <i/>
      <sz val="11"/>
      <name val="Arial CE"/>
      <family val="2"/>
    </font>
    <font>
      <sz val="10"/>
      <name val="Arial"/>
      <family val="0"/>
    </font>
    <font>
      <sz val="8"/>
      <name val="Arial"/>
      <family val="0"/>
    </font>
    <font>
      <b/>
      <i/>
      <u val="single"/>
      <sz val="12"/>
      <name val="Arial CE"/>
      <family val="2"/>
    </font>
    <font>
      <i/>
      <sz val="9"/>
      <name val="Arial CE"/>
      <family val="2"/>
    </font>
    <font>
      <b/>
      <i/>
      <u val="single"/>
      <sz val="11"/>
      <name val="Arial CE"/>
      <family val="0"/>
    </font>
    <font>
      <sz val="10"/>
      <color indexed="8"/>
      <name val="Arial CE"/>
      <family val="0"/>
    </font>
    <font>
      <i/>
      <sz val="10"/>
      <color indexed="8"/>
      <name val="Arial CE"/>
      <family val="0"/>
    </font>
    <font>
      <i/>
      <sz val="10"/>
      <name val="Arial"/>
      <family val="0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b/>
      <sz val="8"/>
      <name val="Arial CE"/>
      <family val="2"/>
    </font>
    <font>
      <sz val="12"/>
      <color indexed="8"/>
      <name val="Arial CE"/>
      <family val="2"/>
    </font>
    <font>
      <b/>
      <sz val="13"/>
      <name val="Arial CE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b/>
      <i/>
      <sz val="14"/>
      <name val="Arial CE"/>
      <family val="2"/>
    </font>
    <font>
      <i/>
      <sz val="14"/>
      <name val="Arial CE"/>
      <family val="2"/>
    </font>
    <font>
      <sz val="16"/>
      <name val="Arial CE"/>
      <family val="2"/>
    </font>
    <font>
      <sz val="22"/>
      <name val="Arial CE"/>
      <family val="2"/>
    </font>
    <font>
      <b/>
      <sz val="16"/>
      <name val="Arial CE"/>
      <family val="2"/>
    </font>
    <font>
      <b/>
      <sz val="22"/>
      <name val="Arial CE"/>
      <family val="2"/>
    </font>
    <font>
      <i/>
      <sz val="16"/>
      <name val="Arial CE"/>
      <family val="2"/>
    </font>
    <font>
      <sz val="18"/>
      <name val="Arial CE"/>
      <family val="2"/>
    </font>
    <font>
      <b/>
      <i/>
      <sz val="14"/>
      <color indexed="10"/>
      <name val="Arial CE"/>
      <family val="2"/>
    </font>
    <font>
      <sz val="10"/>
      <color indexed="10"/>
      <name val="Arial CE"/>
      <family val="0"/>
    </font>
    <font>
      <i/>
      <sz val="10"/>
      <color indexed="10"/>
      <name val="Arial CE"/>
      <family val="0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146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dotted"/>
    </border>
    <border>
      <left style="thin"/>
      <right style="thin"/>
      <top style="double"/>
      <bottom style="thin"/>
    </border>
    <border>
      <left style="double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double"/>
      <right style="double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dotted"/>
    </border>
    <border>
      <left style="double"/>
      <right style="double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ash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dashDotDot"/>
      <bottom style="dotted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double"/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>
        <color indexed="63"/>
      </right>
      <top style="dotted"/>
      <bottom style="thin"/>
    </border>
    <border>
      <left style="thin"/>
      <right style="thin"/>
      <top style="hair"/>
      <bottom style="thin"/>
    </border>
    <border>
      <left style="double"/>
      <right style="double"/>
      <top style="thin"/>
      <bottom style="dotted"/>
    </border>
    <border>
      <left style="double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thin"/>
      <bottom style="dashDotDot"/>
    </border>
    <border>
      <left style="thin"/>
      <right style="thin"/>
      <top style="dashDotDot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double"/>
      <bottom style="medium"/>
    </border>
    <border>
      <left style="thin"/>
      <right style="thin"/>
      <top style="dash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double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0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Continuous" vertical="center"/>
    </xf>
    <xf numFmtId="3" fontId="5" fillId="0" borderId="5" xfId="0" applyNumberFormat="1" applyFont="1" applyBorder="1" applyAlignment="1">
      <alignment horizontal="centerContinuous" vertical="center"/>
    </xf>
    <xf numFmtId="0" fontId="6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3" fontId="9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10" fillId="0" borderId="16" xfId="0" applyFont="1" applyBorder="1" applyAlignment="1">
      <alignment wrapText="1"/>
    </xf>
    <xf numFmtId="3" fontId="10" fillId="0" borderId="16" xfId="0" applyNumberFormat="1" applyFont="1" applyBorder="1" applyAlignment="1">
      <alignment/>
    </xf>
    <xf numFmtId="0" fontId="5" fillId="2" borderId="17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5" xfId="0" applyFont="1" applyFill="1" applyBorder="1" applyAlignment="1">
      <alignment wrapText="1"/>
    </xf>
    <xf numFmtId="3" fontId="5" fillId="2" borderId="1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3" borderId="0" xfId="0" applyFont="1" applyFill="1" applyAlignment="1">
      <alignment horizontal="left"/>
    </xf>
    <xf numFmtId="0" fontId="13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8" xfId="0" applyBorder="1" applyAlignment="1">
      <alignment/>
    </xf>
    <xf numFmtId="0" fontId="12" fillId="0" borderId="0" xfId="0" applyFont="1" applyAlignment="1">
      <alignment horizontal="right"/>
    </xf>
    <xf numFmtId="3" fontId="13" fillId="0" borderId="19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3" fontId="6" fillId="4" borderId="12" xfId="0" applyNumberFormat="1" applyFont="1" applyFill="1" applyBorder="1" applyAlignment="1">
      <alignment horizontal="right" vertical="center"/>
    </xf>
    <xf numFmtId="0" fontId="7" fillId="4" borderId="13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3" fontId="14" fillId="4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4" borderId="13" xfId="0" applyFont="1" applyFill="1" applyBorder="1" applyAlignment="1">
      <alignment/>
    </xf>
    <xf numFmtId="0" fontId="12" fillId="4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3" fontId="15" fillId="4" borderId="16" xfId="0" applyNumberFormat="1" applyFont="1" applyFill="1" applyBorder="1" applyAlignment="1">
      <alignment wrapText="1"/>
    </xf>
    <xf numFmtId="3" fontId="15" fillId="4" borderId="16" xfId="0" applyNumberFormat="1" applyFont="1" applyFill="1" applyBorder="1" applyAlignment="1">
      <alignment horizontal="right" wrapText="1"/>
    </xf>
    <xf numFmtId="0" fontId="13" fillId="2" borderId="17" xfId="0" applyFont="1" applyFill="1" applyBorder="1" applyAlignment="1">
      <alignment/>
    </xf>
    <xf numFmtId="0" fontId="13" fillId="2" borderId="15" xfId="0" applyFont="1" applyFill="1" applyBorder="1" applyAlignment="1">
      <alignment/>
    </xf>
    <xf numFmtId="3" fontId="13" fillId="2" borderId="15" xfId="0" applyNumberFormat="1" applyFont="1" applyFill="1" applyBorder="1" applyAlignment="1">
      <alignment horizontal="right"/>
    </xf>
    <xf numFmtId="3" fontId="13" fillId="5" borderId="15" xfId="0" applyNumberFormat="1" applyFont="1" applyFill="1" applyBorder="1" applyAlignment="1">
      <alignment/>
    </xf>
    <xf numFmtId="0" fontId="13" fillId="3" borderId="13" xfId="0" applyFont="1" applyFill="1" applyBorder="1" applyAlignment="1">
      <alignment/>
    </xf>
    <xf numFmtId="0" fontId="13" fillId="0" borderId="17" xfId="0" applyFont="1" applyBorder="1" applyAlignment="1">
      <alignment/>
    </xf>
    <xf numFmtId="0" fontId="13" fillId="0" borderId="15" xfId="0" applyFont="1" applyBorder="1" applyAlignment="1">
      <alignment/>
    </xf>
    <xf numFmtId="3" fontId="13" fillId="0" borderId="17" xfId="0" applyNumberFormat="1" applyFont="1" applyBorder="1" applyAlignment="1">
      <alignment horizontal="right"/>
    </xf>
    <xf numFmtId="0" fontId="0" fillId="3" borderId="13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Fill="1" applyBorder="1" applyAlignment="1">
      <alignment wrapText="1"/>
    </xf>
    <xf numFmtId="3" fontId="12" fillId="0" borderId="15" xfId="0" applyNumberFormat="1" applyFont="1" applyFill="1" applyBorder="1" applyAlignment="1">
      <alignment horizontal="right" wrapText="1"/>
    </xf>
    <xf numFmtId="0" fontId="13" fillId="4" borderId="13" xfId="0" applyFont="1" applyFill="1" applyBorder="1" applyAlignment="1">
      <alignment/>
    </xf>
    <xf numFmtId="0" fontId="13" fillId="4" borderId="15" xfId="0" applyFont="1" applyFill="1" applyBorder="1" applyAlignment="1">
      <alignment/>
    </xf>
    <xf numFmtId="3" fontId="13" fillId="2" borderId="15" xfId="0" applyNumberFormat="1" applyFont="1" applyFill="1" applyBorder="1" applyAlignment="1">
      <alignment horizontal="right" wrapText="1"/>
    </xf>
    <xf numFmtId="3" fontId="15" fillId="0" borderId="16" xfId="0" applyNumberFormat="1" applyFont="1" applyBorder="1" applyAlignment="1">
      <alignment horizontal="right"/>
    </xf>
    <xf numFmtId="0" fontId="13" fillId="2" borderId="17" xfId="0" applyFont="1" applyFill="1" applyBorder="1" applyAlignment="1">
      <alignment/>
    </xf>
    <xf numFmtId="3" fontId="13" fillId="0" borderId="15" xfId="0" applyNumberFormat="1" applyFont="1" applyBorder="1" applyAlignment="1">
      <alignment/>
    </xf>
    <xf numFmtId="0" fontId="15" fillId="4" borderId="16" xfId="0" applyFont="1" applyFill="1" applyBorder="1" applyAlignment="1">
      <alignment/>
    </xf>
    <xf numFmtId="0" fontId="13" fillId="2" borderId="15" xfId="0" applyFont="1" applyFill="1" applyBorder="1" applyAlignment="1">
      <alignment wrapText="1"/>
    </xf>
    <xf numFmtId="0" fontId="0" fillId="0" borderId="13" xfId="0" applyBorder="1" applyAlignment="1">
      <alignment/>
    </xf>
    <xf numFmtId="3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3" fontId="13" fillId="2" borderId="15" xfId="0" applyNumberFormat="1" applyFont="1" applyFill="1" applyBorder="1" applyAlignment="1">
      <alignment/>
    </xf>
    <xf numFmtId="0" fontId="14" fillId="0" borderId="13" xfId="0" applyFont="1" applyBorder="1" applyAlignment="1">
      <alignment horizontal="center"/>
    </xf>
    <xf numFmtId="0" fontId="0" fillId="0" borderId="21" xfId="0" applyFont="1" applyFill="1" applyBorder="1" applyAlignment="1">
      <alignment wrapText="1"/>
    </xf>
    <xf numFmtId="0" fontId="12" fillId="0" borderId="13" xfId="0" applyFont="1" applyBorder="1" applyAlignment="1">
      <alignment vertical="top"/>
    </xf>
    <xf numFmtId="3" fontId="14" fillId="0" borderId="13" xfId="0" applyNumberFormat="1" applyFont="1" applyBorder="1" applyAlignment="1">
      <alignment horizontal="center" wrapText="1"/>
    </xf>
    <xf numFmtId="0" fontId="0" fillId="0" borderId="22" xfId="0" applyFont="1" applyFill="1" applyBorder="1" applyAlignment="1">
      <alignment wrapText="1"/>
    </xf>
    <xf numFmtId="0" fontId="14" fillId="4" borderId="13" xfId="0" applyFont="1" applyFill="1" applyBorder="1" applyAlignment="1">
      <alignment horizontal="center"/>
    </xf>
    <xf numFmtId="3" fontId="14" fillId="4" borderId="13" xfId="0" applyNumberFormat="1" applyFont="1" applyFill="1" applyBorder="1" applyAlignment="1">
      <alignment horizontal="right"/>
    </xf>
    <xf numFmtId="3" fontId="14" fillId="4" borderId="13" xfId="0" applyNumberFormat="1" applyFont="1" applyFill="1" applyBorder="1" applyAlignment="1">
      <alignment horizontal="center"/>
    </xf>
    <xf numFmtId="0" fontId="12" fillId="4" borderId="15" xfId="0" applyFont="1" applyFill="1" applyBorder="1" applyAlignment="1">
      <alignment/>
    </xf>
    <xf numFmtId="3" fontId="15" fillId="4" borderId="16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4" fillId="0" borderId="13" xfId="0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right" vertical="center"/>
    </xf>
    <xf numFmtId="3" fontId="14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3" fontId="15" fillId="0" borderId="16" xfId="0" applyNumberFormat="1" applyFont="1" applyFill="1" applyBorder="1" applyAlignment="1">
      <alignment wrapText="1"/>
    </xf>
    <xf numFmtId="3" fontId="15" fillId="0" borderId="16" xfId="0" applyNumberFormat="1" applyFont="1" applyFill="1" applyBorder="1" applyAlignment="1">
      <alignment horizontal="right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4" borderId="11" xfId="0" applyFont="1" applyFill="1" applyBorder="1" applyAlignment="1">
      <alignment/>
    </xf>
    <xf numFmtId="0" fontId="13" fillId="4" borderId="12" xfId="0" applyFont="1" applyFill="1" applyBorder="1" applyAlignment="1">
      <alignment/>
    </xf>
    <xf numFmtId="3" fontId="13" fillId="4" borderId="12" xfId="0" applyNumberFormat="1" applyFont="1" applyFill="1" applyBorder="1" applyAlignment="1">
      <alignment/>
    </xf>
    <xf numFmtId="3" fontId="0" fillId="4" borderId="13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3" fontId="15" fillId="4" borderId="16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0" fontId="3" fillId="0" borderId="17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9" fillId="0" borderId="13" xfId="0" applyFont="1" applyFill="1" applyBorder="1" applyAlignment="1">
      <alignment horizontal="center" wrapText="1"/>
    </xf>
    <xf numFmtId="3" fontId="9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16" xfId="0" applyFont="1" applyFill="1" applyBorder="1" applyAlignment="1">
      <alignment wrapText="1"/>
    </xf>
    <xf numFmtId="3" fontId="10" fillId="0" borderId="16" xfId="0" applyNumberFormat="1" applyFont="1" applyFill="1" applyBorder="1" applyAlignment="1">
      <alignment/>
    </xf>
    <xf numFmtId="0" fontId="13" fillId="0" borderId="17" xfId="0" applyFont="1" applyFill="1" applyBorder="1" applyAlignment="1">
      <alignment/>
    </xf>
    <xf numFmtId="3" fontId="13" fillId="0" borderId="17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8" fillId="0" borderId="1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3" fontId="0" fillId="0" borderId="21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5" fillId="0" borderId="1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3" fontId="15" fillId="0" borderId="16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3" fontId="12" fillId="0" borderId="25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13" fillId="0" borderId="17" xfId="0" applyNumberFormat="1" applyFont="1" applyBorder="1" applyAlignment="1">
      <alignment/>
    </xf>
    <xf numFmtId="3" fontId="12" fillId="0" borderId="15" xfId="0" applyNumberFormat="1" applyFont="1" applyFill="1" applyBorder="1" applyAlignment="1">
      <alignment horizontal="right" wrapText="1"/>
    </xf>
    <xf numFmtId="0" fontId="12" fillId="0" borderId="17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wrapText="1"/>
    </xf>
    <xf numFmtId="0" fontId="6" fillId="0" borderId="2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4" fillId="0" borderId="24" xfId="0" applyFont="1" applyFill="1" applyBorder="1" applyAlignment="1">
      <alignment horizontal="center"/>
    </xf>
    <xf numFmtId="3" fontId="14" fillId="0" borderId="24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2" fillId="0" borderId="13" xfId="0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7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13" fillId="3" borderId="13" xfId="0" applyFont="1" applyFill="1" applyBorder="1" applyAlignment="1">
      <alignment/>
    </xf>
    <xf numFmtId="0" fontId="13" fillId="2" borderId="17" xfId="0" applyFont="1" applyFill="1" applyBorder="1" applyAlignment="1">
      <alignment horizontal="right"/>
    </xf>
    <xf numFmtId="0" fontId="0" fillId="3" borderId="13" xfId="0" applyFont="1" applyFill="1" applyBorder="1" applyAlignment="1">
      <alignment horizontal="right"/>
    </xf>
    <xf numFmtId="0" fontId="13" fillId="3" borderId="17" xfId="0" applyFont="1" applyFill="1" applyBorder="1" applyAlignment="1">
      <alignment/>
    </xf>
    <xf numFmtId="3" fontId="13" fillId="3" borderId="17" xfId="0" applyNumberFormat="1" applyFont="1" applyFill="1" applyBorder="1" applyAlignment="1">
      <alignment horizontal="right"/>
    </xf>
    <xf numFmtId="3" fontId="0" fillId="3" borderId="22" xfId="0" applyNumberFormat="1" applyFont="1" applyFill="1" applyBorder="1" applyAlignment="1">
      <alignment horizontal="right"/>
    </xf>
    <xf numFmtId="3" fontId="12" fillId="3" borderId="2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5" xfId="0" applyFont="1" applyBorder="1" applyAlignment="1">
      <alignment/>
    </xf>
    <xf numFmtId="3" fontId="18" fillId="0" borderId="16" xfId="0" applyNumberFormat="1" applyFont="1" applyBorder="1" applyAlignment="1">
      <alignment wrapText="1"/>
    </xf>
    <xf numFmtId="3" fontId="15" fillId="0" borderId="16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3" fontId="9" fillId="0" borderId="24" xfId="0" applyNumberFormat="1" applyFont="1" applyBorder="1" applyAlignment="1">
      <alignment horizontal="right"/>
    </xf>
    <xf numFmtId="0" fontId="11" fillId="0" borderId="2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8" xfId="0" applyFont="1" applyBorder="1" applyAlignment="1">
      <alignment horizontal="left" wrapText="1"/>
    </xf>
    <xf numFmtId="3" fontId="10" fillId="0" borderId="16" xfId="0" applyNumberFormat="1" applyFont="1" applyBorder="1" applyAlignment="1">
      <alignment horizontal="right"/>
    </xf>
    <xf numFmtId="0" fontId="12" fillId="3" borderId="13" xfId="0" applyFont="1" applyFill="1" applyBorder="1" applyAlignment="1">
      <alignment/>
    </xf>
    <xf numFmtId="0" fontId="12" fillId="3" borderId="13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21" xfId="0" applyNumberFormat="1" applyFont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21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3" fillId="3" borderId="1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13" fillId="3" borderId="24" xfId="0" applyFont="1" applyFill="1" applyBorder="1" applyAlignment="1">
      <alignment/>
    </xf>
    <xf numFmtId="0" fontId="12" fillId="0" borderId="13" xfId="0" applyFont="1" applyBorder="1" applyAlignment="1">
      <alignment/>
    </xf>
    <xf numFmtId="3" fontId="14" fillId="4" borderId="13" xfId="0" applyNumberFormat="1" applyFont="1" applyFill="1" applyBorder="1" applyAlignment="1">
      <alignment horizontal="right" vertical="center"/>
    </xf>
    <xf numFmtId="0" fontId="3" fillId="3" borderId="15" xfId="0" applyFont="1" applyFill="1" applyBorder="1" applyAlignment="1">
      <alignment wrapText="1"/>
    </xf>
    <xf numFmtId="3" fontId="3" fillId="3" borderId="15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3" fillId="3" borderId="15" xfId="0" applyNumberFormat="1" applyFont="1" applyFill="1" applyBorder="1" applyAlignment="1">
      <alignment horizontal="right" wrapText="1"/>
    </xf>
    <xf numFmtId="0" fontId="13" fillId="3" borderId="15" xfId="0" applyFont="1" applyFill="1" applyBorder="1" applyAlignment="1">
      <alignment/>
    </xf>
    <xf numFmtId="0" fontId="12" fillId="3" borderId="15" xfId="0" applyFont="1" applyFill="1" applyBorder="1" applyAlignment="1">
      <alignment/>
    </xf>
    <xf numFmtId="0" fontId="12" fillId="3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15" fillId="4" borderId="16" xfId="0" applyFont="1" applyFill="1" applyBorder="1" applyAlignment="1">
      <alignment horizontal="left" vertical="center"/>
    </xf>
    <xf numFmtId="0" fontId="13" fillId="3" borderId="29" xfId="0" applyFont="1" applyFill="1" applyBorder="1" applyAlignment="1">
      <alignment horizontal="left" wrapText="1"/>
    </xf>
    <xf numFmtId="0" fontId="13" fillId="2" borderId="29" xfId="0" applyFont="1" applyFill="1" applyBorder="1" applyAlignment="1">
      <alignment horizontal="left" wrapText="1"/>
    </xf>
    <xf numFmtId="0" fontId="0" fillId="0" borderId="22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3" fontId="12" fillId="4" borderId="25" xfId="0" applyNumberFormat="1" applyFont="1" applyFill="1" applyBorder="1" applyAlignment="1">
      <alignment horizontal="right"/>
    </xf>
    <xf numFmtId="3" fontId="15" fillId="4" borderId="16" xfId="0" applyNumberFormat="1" applyFont="1" applyFill="1" applyBorder="1" applyAlignment="1">
      <alignment horizontal="right"/>
    </xf>
    <xf numFmtId="0" fontId="13" fillId="2" borderId="29" xfId="0" applyFont="1" applyFill="1" applyBorder="1" applyAlignment="1">
      <alignment horizontal="right" wrapText="1"/>
    </xf>
    <xf numFmtId="3" fontId="13" fillId="2" borderId="29" xfId="0" applyNumberFormat="1" applyFont="1" applyFill="1" applyBorder="1" applyAlignment="1">
      <alignment horizontal="right" wrapText="1"/>
    </xf>
    <xf numFmtId="3" fontId="13" fillId="4" borderId="17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3" fillId="4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11" xfId="0" applyFont="1" applyFill="1" applyBorder="1" applyAlignment="1">
      <alignment/>
    </xf>
    <xf numFmtId="0" fontId="13" fillId="4" borderId="30" xfId="0" applyFont="1" applyFill="1" applyBorder="1" applyAlignment="1">
      <alignment horizontal="right"/>
    </xf>
    <xf numFmtId="3" fontId="13" fillId="4" borderId="30" xfId="0" applyNumberFormat="1" applyFont="1" applyFill="1" applyBorder="1" applyAlignment="1">
      <alignment horizontal="right"/>
    </xf>
    <xf numFmtId="3" fontId="0" fillId="4" borderId="13" xfId="0" applyNumberFormat="1" applyFont="1" applyFill="1" applyBorder="1" applyAlignment="1">
      <alignment horizontal="right"/>
    </xf>
    <xf numFmtId="0" fontId="13" fillId="4" borderId="31" xfId="0" applyFont="1" applyFill="1" applyBorder="1" applyAlignment="1">
      <alignment/>
    </xf>
    <xf numFmtId="3" fontId="13" fillId="4" borderId="31" xfId="0" applyNumberFormat="1" applyFont="1" applyFill="1" applyBorder="1" applyAlignment="1">
      <alignment horizontal="right"/>
    </xf>
    <xf numFmtId="0" fontId="15" fillId="4" borderId="32" xfId="0" applyFont="1" applyFill="1" applyBorder="1" applyAlignment="1">
      <alignment/>
    </xf>
    <xf numFmtId="3" fontId="15" fillId="4" borderId="32" xfId="0" applyNumberFormat="1" applyFont="1" applyFill="1" applyBorder="1" applyAlignment="1">
      <alignment horizontal="right"/>
    </xf>
    <xf numFmtId="0" fontId="15" fillId="4" borderId="16" xfId="0" applyFont="1" applyFill="1" applyBorder="1" applyAlignment="1">
      <alignment wrapText="1"/>
    </xf>
    <xf numFmtId="3" fontId="15" fillId="3" borderId="16" xfId="0" applyNumberFormat="1" applyFont="1" applyFill="1" applyBorder="1" applyAlignment="1">
      <alignment horizontal="right"/>
    </xf>
    <xf numFmtId="3" fontId="15" fillId="4" borderId="30" xfId="0" applyNumberFormat="1" applyFont="1" applyFill="1" applyBorder="1" applyAlignment="1">
      <alignment horizontal="right" wrapText="1"/>
    </xf>
    <xf numFmtId="0" fontId="13" fillId="2" borderId="29" xfId="0" applyFont="1" applyFill="1" applyBorder="1" applyAlignment="1">
      <alignment/>
    </xf>
    <xf numFmtId="3" fontId="13" fillId="2" borderId="27" xfId="0" applyNumberFormat="1" applyFont="1" applyFill="1" applyBorder="1" applyAlignment="1">
      <alignment horizontal="right" wrapText="1"/>
    </xf>
    <xf numFmtId="0" fontId="0" fillId="3" borderId="24" xfId="0" applyFont="1" applyFill="1" applyBorder="1" applyAlignment="1">
      <alignment horizontal="right"/>
    </xf>
    <xf numFmtId="0" fontId="13" fillId="3" borderId="27" xfId="0" applyFont="1" applyFill="1" applyBorder="1" applyAlignment="1">
      <alignment/>
    </xf>
    <xf numFmtId="3" fontId="13" fillId="3" borderId="27" xfId="0" applyNumberFormat="1" applyFont="1" applyFill="1" applyBorder="1" applyAlignment="1">
      <alignment horizontal="right" wrapText="1"/>
    </xf>
    <xf numFmtId="3" fontId="0" fillId="3" borderId="33" xfId="0" applyNumberFormat="1" applyFont="1" applyFill="1" applyBorder="1" applyAlignment="1">
      <alignment horizontal="right" wrapText="1"/>
    </xf>
    <xf numFmtId="3" fontId="0" fillId="3" borderId="21" xfId="0" applyNumberFormat="1" applyFont="1" applyFill="1" applyBorder="1" applyAlignment="1">
      <alignment horizontal="right" wrapText="1"/>
    </xf>
    <xf numFmtId="1" fontId="12" fillId="0" borderId="27" xfId="0" applyNumberFormat="1" applyFont="1" applyFill="1" applyBorder="1" applyAlignment="1">
      <alignment/>
    </xf>
    <xf numFmtId="3" fontId="12" fillId="4" borderId="15" xfId="0" applyNumberFormat="1" applyFont="1" applyFill="1" applyBorder="1" applyAlignment="1">
      <alignment wrapText="1"/>
    </xf>
    <xf numFmtId="0" fontId="13" fillId="6" borderId="13" xfId="0" applyFont="1" applyFill="1" applyBorder="1" applyAlignment="1">
      <alignment/>
    </xf>
    <xf numFmtId="0" fontId="15" fillId="6" borderId="16" xfId="0" applyFont="1" applyFill="1" applyBorder="1" applyAlignment="1">
      <alignment wrapText="1"/>
    </xf>
    <xf numFmtId="3" fontId="13" fillId="0" borderId="30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13" fillId="0" borderId="31" xfId="0" applyNumberFormat="1" applyFont="1" applyFill="1" applyBorder="1" applyAlignment="1">
      <alignment horizontal="right"/>
    </xf>
    <xf numFmtId="0" fontId="13" fillId="2" borderId="34" xfId="0" applyFont="1" applyFill="1" applyBorder="1" applyAlignment="1">
      <alignment horizontal="right" wrapText="1"/>
    </xf>
    <xf numFmtId="0" fontId="15" fillId="4" borderId="31" xfId="0" applyFont="1" applyFill="1" applyBorder="1" applyAlignment="1">
      <alignment horizontal="left"/>
    </xf>
    <xf numFmtId="3" fontId="15" fillId="4" borderId="31" xfId="0" applyNumberFormat="1" applyFont="1" applyFill="1" applyBorder="1" applyAlignment="1">
      <alignment horizontal="center"/>
    </xf>
    <xf numFmtId="0" fontId="15" fillId="4" borderId="3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left" wrapText="1"/>
    </xf>
    <xf numFmtId="3" fontId="5" fillId="3" borderId="30" xfId="0" applyNumberFormat="1" applyFont="1" applyFill="1" applyBorder="1" applyAlignment="1">
      <alignment horizontal="right" wrapText="1"/>
    </xf>
    <xf numFmtId="3" fontId="5" fillId="3" borderId="13" xfId="0" applyNumberFormat="1" applyFont="1" applyFill="1" applyBorder="1" applyAlignment="1">
      <alignment horizontal="right" wrapText="1"/>
    </xf>
    <xf numFmtId="3" fontId="5" fillId="0" borderId="23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3" borderId="30" xfId="0" applyFont="1" applyFill="1" applyBorder="1" applyAlignment="1">
      <alignment horizontal="center" wrapText="1"/>
    </xf>
    <xf numFmtId="3" fontId="5" fillId="3" borderId="23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9" fillId="3" borderId="13" xfId="0" applyFont="1" applyFill="1" applyBorder="1" applyAlignment="1">
      <alignment horizontal="center" wrapText="1"/>
    </xf>
    <xf numFmtId="3" fontId="9" fillId="3" borderId="13" xfId="0" applyNumberFormat="1" applyFont="1" applyFill="1" applyBorder="1" applyAlignment="1">
      <alignment horizontal="right"/>
    </xf>
    <xf numFmtId="0" fontId="10" fillId="0" borderId="13" xfId="0" applyFont="1" applyBorder="1" applyAlignment="1">
      <alignment wrapText="1"/>
    </xf>
    <xf numFmtId="3" fontId="21" fillId="3" borderId="13" xfId="0" applyNumberFormat="1" applyFont="1" applyFill="1" applyBorder="1" applyAlignment="1">
      <alignment horizontal="right"/>
    </xf>
    <xf numFmtId="0" fontId="10" fillId="3" borderId="15" xfId="0" applyFont="1" applyFill="1" applyBorder="1" applyAlignment="1">
      <alignment/>
    </xf>
    <xf numFmtId="0" fontId="10" fillId="4" borderId="16" xfId="0" applyFont="1" applyFill="1" applyBorder="1" applyAlignment="1">
      <alignment wrapText="1"/>
    </xf>
    <xf numFmtId="3" fontId="10" fillId="3" borderId="16" xfId="0" applyNumberFormat="1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7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3" fillId="0" borderId="13" xfId="0" applyFont="1" applyFill="1" applyBorder="1" applyAlignment="1">
      <alignment wrapText="1"/>
    </xf>
    <xf numFmtId="3" fontId="13" fillId="2" borderId="34" xfId="0" applyNumberFormat="1" applyFont="1" applyFill="1" applyBorder="1" applyAlignment="1">
      <alignment wrapText="1"/>
    </xf>
    <xf numFmtId="3" fontId="13" fillId="0" borderId="13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15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12" fillId="0" borderId="15" xfId="0" applyFont="1" applyFill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/>
    </xf>
    <xf numFmtId="3" fontId="12" fillId="0" borderId="15" xfId="0" applyNumberFormat="1" applyFont="1" applyBorder="1" applyAlignment="1">
      <alignment horizontal="right"/>
    </xf>
    <xf numFmtId="0" fontId="13" fillId="0" borderId="17" xfId="0" applyFont="1" applyBorder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22" fillId="0" borderId="0" xfId="0" applyFont="1" applyAlignment="1">
      <alignment horizontal="right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 vertical="top"/>
    </xf>
    <xf numFmtId="0" fontId="13" fillId="4" borderId="6" xfId="0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0" fillId="4" borderId="11" xfId="0" applyFont="1" applyFill="1" applyBorder="1" applyAlignment="1">
      <alignment/>
    </xf>
    <xf numFmtId="0" fontId="6" fillId="4" borderId="12" xfId="0" applyFont="1" applyFill="1" applyBorder="1" applyAlignment="1">
      <alignment wrapText="1"/>
    </xf>
    <xf numFmtId="3" fontId="6" fillId="0" borderId="12" xfId="0" applyNumberFormat="1" applyFont="1" applyFill="1" applyBorder="1" applyAlignment="1">
      <alignment horizontal="right"/>
    </xf>
    <xf numFmtId="3" fontId="6" fillId="4" borderId="35" xfId="0" applyNumberFormat="1" applyFont="1" applyFill="1" applyBorder="1" applyAlignment="1">
      <alignment horizontal="right"/>
    </xf>
    <xf numFmtId="3" fontId="6" fillId="4" borderId="36" xfId="0" applyNumberFormat="1" applyFont="1" applyFill="1" applyBorder="1" applyAlignment="1">
      <alignment horizontal="right"/>
    </xf>
    <xf numFmtId="3" fontId="6" fillId="4" borderId="12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vertical="center"/>
    </xf>
    <xf numFmtId="0" fontId="0" fillId="4" borderId="24" xfId="0" applyFont="1" applyFill="1" applyBorder="1" applyAlignment="1">
      <alignment wrapText="1"/>
    </xf>
    <xf numFmtId="3" fontId="0" fillId="0" borderId="37" xfId="0" applyNumberFormat="1" applyFont="1" applyFill="1" applyBorder="1" applyAlignment="1">
      <alignment/>
    </xf>
    <xf numFmtId="3" fontId="0" fillId="4" borderId="38" xfId="0" applyNumberFormat="1" applyFont="1" applyFill="1" applyBorder="1" applyAlignment="1">
      <alignment/>
    </xf>
    <xf numFmtId="3" fontId="0" fillId="4" borderId="39" xfId="0" applyNumberFormat="1" applyFont="1" applyFill="1" applyBorder="1" applyAlignment="1">
      <alignment/>
    </xf>
    <xf numFmtId="3" fontId="0" fillId="4" borderId="24" xfId="0" applyNumberFormat="1" applyFont="1" applyFill="1" applyBorder="1" applyAlignment="1">
      <alignment/>
    </xf>
    <xf numFmtId="3" fontId="0" fillId="4" borderId="26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5" fillId="4" borderId="7" xfId="0" applyNumberFormat="1" applyFont="1" applyFill="1" applyBorder="1" applyAlignment="1">
      <alignment/>
    </xf>
    <xf numFmtId="3" fontId="15" fillId="4" borderId="40" xfId="0" applyNumberFormat="1" applyFont="1" applyFill="1" applyBorder="1" applyAlignment="1">
      <alignment/>
    </xf>
    <xf numFmtId="3" fontId="15" fillId="4" borderId="16" xfId="0" applyNumberFormat="1" applyFont="1" applyFill="1" applyBorder="1" applyAlignment="1">
      <alignment/>
    </xf>
    <xf numFmtId="3" fontId="15" fillId="4" borderId="28" xfId="0" applyNumberFormat="1" applyFont="1" applyFill="1" applyBorder="1" applyAlignment="1">
      <alignment/>
    </xf>
    <xf numFmtId="1" fontId="13" fillId="3" borderId="41" xfId="0" applyNumberFormat="1" applyFont="1" applyFill="1" applyBorder="1" applyAlignment="1">
      <alignment/>
    </xf>
    <xf numFmtId="3" fontId="13" fillId="3" borderId="41" xfId="0" applyNumberFormat="1" applyFont="1" applyFill="1" applyBorder="1" applyAlignment="1">
      <alignment wrapText="1"/>
    </xf>
    <xf numFmtId="3" fontId="13" fillId="0" borderId="42" xfId="0" applyNumberFormat="1" applyFont="1" applyBorder="1" applyAlignment="1">
      <alignment wrapText="1"/>
    </xf>
    <xf numFmtId="3" fontId="13" fillId="0" borderId="43" xfId="0" applyNumberFormat="1" applyFont="1" applyBorder="1" applyAlignment="1">
      <alignment wrapText="1"/>
    </xf>
    <xf numFmtId="3" fontId="13" fillId="0" borderId="44" xfId="0" applyNumberFormat="1" applyFont="1" applyBorder="1" applyAlignment="1">
      <alignment wrapText="1"/>
    </xf>
    <xf numFmtId="3" fontId="13" fillId="0" borderId="41" xfId="0" applyNumberFormat="1" applyFont="1" applyBorder="1" applyAlignment="1">
      <alignment wrapText="1"/>
    </xf>
    <xf numFmtId="3" fontId="13" fillId="0" borderId="45" xfId="0" applyNumberFormat="1" applyFont="1" applyBorder="1" applyAlignment="1">
      <alignment wrapText="1"/>
    </xf>
    <xf numFmtId="1" fontId="13" fillId="3" borderId="13" xfId="0" applyNumberFormat="1" applyFont="1" applyFill="1" applyBorder="1" applyAlignment="1">
      <alignment/>
    </xf>
    <xf numFmtId="1" fontId="13" fillId="0" borderId="17" xfId="0" applyNumberFormat="1" applyFont="1" applyBorder="1" applyAlignment="1">
      <alignment/>
    </xf>
    <xf numFmtId="3" fontId="13" fillId="0" borderId="23" xfId="0" applyNumberFormat="1" applyFont="1" applyBorder="1" applyAlignment="1">
      <alignment wrapText="1"/>
    </xf>
    <xf numFmtId="3" fontId="13" fillId="0" borderId="6" xfId="0" applyNumberFormat="1" applyFont="1" applyBorder="1" applyAlignment="1">
      <alignment wrapText="1"/>
    </xf>
    <xf numFmtId="3" fontId="13" fillId="0" borderId="46" xfId="0" applyNumberFormat="1" applyFont="1" applyBorder="1" applyAlignment="1">
      <alignment wrapText="1"/>
    </xf>
    <xf numFmtId="3" fontId="13" fillId="0" borderId="13" xfId="0" applyNumberFormat="1" applyFont="1" applyBorder="1" applyAlignment="1">
      <alignment wrapText="1"/>
    </xf>
    <xf numFmtId="3" fontId="13" fillId="0" borderId="14" xfId="0" applyNumberFormat="1" applyFont="1" applyBorder="1" applyAlignment="1">
      <alignment wrapText="1"/>
    </xf>
    <xf numFmtId="1" fontId="0" fillId="0" borderId="13" xfId="0" applyNumberFormat="1" applyFont="1" applyFill="1" applyBorder="1" applyAlignment="1">
      <alignment/>
    </xf>
    <xf numFmtId="3" fontId="0" fillId="0" borderId="25" xfId="0" applyNumberFormat="1" applyFont="1" applyBorder="1" applyAlignment="1">
      <alignment wrapText="1"/>
    </xf>
    <xf numFmtId="49" fontId="0" fillId="0" borderId="15" xfId="0" applyNumberFormat="1" applyBorder="1" applyAlignment="1">
      <alignment/>
    </xf>
    <xf numFmtId="0" fontId="0" fillId="0" borderId="15" xfId="0" applyNumberFormat="1" applyFont="1" applyBorder="1" applyAlignment="1">
      <alignment/>
    </xf>
    <xf numFmtId="49" fontId="15" fillId="0" borderId="15" xfId="0" applyNumberFormat="1" applyFont="1" applyBorder="1" applyAlignment="1">
      <alignment/>
    </xf>
    <xf numFmtId="3" fontId="15" fillId="0" borderId="15" xfId="0" applyNumberFormat="1" applyFont="1" applyBorder="1" applyAlignment="1">
      <alignment horizontal="right"/>
    </xf>
    <xf numFmtId="3" fontId="15" fillId="0" borderId="27" xfId="0" applyNumberFormat="1" applyFont="1" applyBorder="1" applyAlignment="1">
      <alignment horizontal="right"/>
    </xf>
    <xf numFmtId="3" fontId="15" fillId="0" borderId="47" xfId="0" applyNumberFormat="1" applyFont="1" applyBorder="1" applyAlignment="1">
      <alignment horizontal="right"/>
    </xf>
    <xf numFmtId="3" fontId="15" fillId="0" borderId="48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4" borderId="0" xfId="0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0" fillId="4" borderId="2" xfId="0" applyFont="1" applyFill="1" applyBorder="1" applyAlignment="1">
      <alignment/>
    </xf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left"/>
    </xf>
    <xf numFmtId="3" fontId="13" fillId="4" borderId="11" xfId="0" applyNumberFormat="1" applyFont="1" applyFill="1" applyBorder="1" applyAlignment="1">
      <alignment horizontal="right"/>
    </xf>
    <xf numFmtId="0" fontId="15" fillId="4" borderId="16" xfId="0" applyFont="1" applyFill="1" applyBorder="1" applyAlignment="1">
      <alignment horizontal="left"/>
    </xf>
    <xf numFmtId="0" fontId="13" fillId="2" borderId="17" xfId="0" applyFont="1" applyFill="1" applyBorder="1" applyAlignment="1">
      <alignment horizontal="left" wrapText="1"/>
    </xf>
    <xf numFmtId="3" fontId="13" fillId="2" borderId="17" xfId="0" applyNumberFormat="1" applyFont="1" applyFill="1" applyBorder="1" applyAlignment="1">
      <alignment horizontal="right" wrapText="1"/>
    </xf>
    <xf numFmtId="0" fontId="13" fillId="3" borderId="17" xfId="0" applyFont="1" applyFill="1" applyBorder="1" applyAlignment="1">
      <alignment horizontal="left" wrapText="1"/>
    </xf>
    <xf numFmtId="3" fontId="13" fillId="3" borderId="17" xfId="0" applyNumberFormat="1" applyFont="1" applyFill="1" applyBorder="1" applyAlignment="1">
      <alignment horizontal="right" wrapText="1"/>
    </xf>
    <xf numFmtId="0" fontId="15" fillId="0" borderId="0" xfId="0" applyFont="1" applyAlignment="1">
      <alignment/>
    </xf>
    <xf numFmtId="0" fontId="0" fillId="3" borderId="13" xfId="0" applyFont="1" applyFill="1" applyBorder="1" applyAlignment="1">
      <alignment horizontal="left" wrapText="1"/>
    </xf>
    <xf numFmtId="3" fontId="0" fillId="3" borderId="13" xfId="0" applyNumberFormat="1" applyFont="1" applyFill="1" applyBorder="1" applyAlignment="1">
      <alignment horizontal="right" wrapText="1"/>
    </xf>
    <xf numFmtId="0" fontId="15" fillId="3" borderId="0" xfId="0" applyFont="1" applyFill="1" applyAlignment="1">
      <alignment/>
    </xf>
    <xf numFmtId="0" fontId="15" fillId="4" borderId="17" xfId="0" applyFont="1" applyFill="1" applyBorder="1" applyAlignment="1">
      <alignment wrapText="1"/>
    </xf>
    <xf numFmtId="3" fontId="15" fillId="4" borderId="17" xfId="0" applyNumberFormat="1" applyFont="1" applyFill="1" applyBorder="1" applyAlignment="1">
      <alignment horizontal="right"/>
    </xf>
    <xf numFmtId="0" fontId="15" fillId="4" borderId="13" xfId="0" applyFont="1" applyFill="1" applyBorder="1" applyAlignment="1">
      <alignment/>
    </xf>
    <xf numFmtId="0" fontId="3" fillId="3" borderId="24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3" fontId="0" fillId="0" borderId="13" xfId="0" applyNumberFormat="1" applyFont="1" applyBorder="1" applyAlignment="1">
      <alignment wrapText="1"/>
    </xf>
    <xf numFmtId="3" fontId="0" fillId="0" borderId="49" xfId="0" applyNumberFormat="1" applyFont="1" applyBorder="1" applyAlignment="1">
      <alignment wrapText="1"/>
    </xf>
    <xf numFmtId="3" fontId="0" fillId="0" borderId="50" xfId="0" applyNumberFormat="1" applyFont="1" applyBorder="1" applyAlignment="1">
      <alignment wrapText="1"/>
    </xf>
    <xf numFmtId="3" fontId="0" fillId="0" borderId="51" xfId="0" applyNumberFormat="1" applyFont="1" applyBorder="1" applyAlignment="1">
      <alignment wrapText="1"/>
    </xf>
    <xf numFmtId="1" fontId="0" fillId="3" borderId="13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2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 horizontal="right" wrapText="1"/>
    </xf>
    <xf numFmtId="3" fontId="12" fillId="0" borderId="15" xfId="0" applyNumberFormat="1" applyFont="1" applyBorder="1" applyAlignment="1">
      <alignment horizontal="right" wrapText="1"/>
    </xf>
    <xf numFmtId="3" fontId="0" fillId="3" borderId="24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5" fillId="2" borderId="14" xfId="0" applyFont="1" applyFill="1" applyBorder="1" applyAlignment="1">
      <alignment wrapText="1"/>
    </xf>
    <xf numFmtId="3" fontId="5" fillId="2" borderId="13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5" fillId="2" borderId="48" xfId="0" applyFont="1" applyFill="1" applyBorder="1" applyAlignment="1">
      <alignment wrapText="1"/>
    </xf>
    <xf numFmtId="3" fontId="13" fillId="0" borderId="29" xfId="0" applyNumberFormat="1" applyFont="1" applyFill="1" applyBorder="1" applyAlignment="1">
      <alignment horizontal="right" wrapText="1"/>
    </xf>
    <xf numFmtId="3" fontId="12" fillId="0" borderId="27" xfId="0" applyNumberFormat="1" applyFont="1" applyFill="1" applyBorder="1" applyAlignment="1">
      <alignment horizontal="right" wrapText="1"/>
    </xf>
    <xf numFmtId="0" fontId="13" fillId="0" borderId="15" xfId="0" applyFont="1" applyBorder="1" applyAlignment="1">
      <alignment wrapText="1"/>
    </xf>
    <xf numFmtId="0" fontId="0" fillId="0" borderId="13" xfId="0" applyFont="1" applyBorder="1" applyAlignment="1">
      <alignment/>
    </xf>
    <xf numFmtId="0" fontId="13" fillId="2" borderId="15" xfId="0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0" fontId="3" fillId="0" borderId="15" xfId="0" applyFont="1" applyFill="1" applyBorder="1" applyAlignment="1">
      <alignment wrapText="1"/>
    </xf>
    <xf numFmtId="3" fontId="3" fillId="0" borderId="15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52" xfId="0" applyFont="1" applyFill="1" applyBorder="1" applyAlignment="1">
      <alignment wrapText="1"/>
    </xf>
    <xf numFmtId="3" fontId="10" fillId="0" borderId="52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3" fontId="3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53" xfId="0" applyFont="1" applyFill="1" applyBorder="1" applyAlignment="1">
      <alignment wrapText="1"/>
    </xf>
    <xf numFmtId="3" fontId="12" fillId="0" borderId="15" xfId="0" applyNumberFormat="1" applyFont="1" applyFill="1" applyBorder="1" applyAlignment="1">
      <alignment wrapText="1"/>
    </xf>
    <xf numFmtId="0" fontId="13" fillId="0" borderId="13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4" borderId="21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/>
    </xf>
    <xf numFmtId="0" fontId="12" fillId="0" borderId="15" xfId="0" applyFont="1" applyBorder="1" applyAlignment="1">
      <alignment vertical="top"/>
    </xf>
    <xf numFmtId="3" fontId="23" fillId="0" borderId="16" xfId="0" applyNumberFormat="1" applyFont="1" applyBorder="1" applyAlignment="1">
      <alignment horizontal="center" wrapText="1"/>
    </xf>
    <xf numFmtId="3" fontId="15" fillId="0" borderId="16" xfId="0" applyNumberFormat="1" applyFont="1" applyBorder="1" applyAlignment="1">
      <alignment horizontal="right" wrapText="1"/>
    </xf>
    <xf numFmtId="3" fontId="0" fillId="0" borderId="21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54" xfId="0" applyNumberFormat="1" applyFont="1" applyFill="1" applyBorder="1" applyAlignment="1">
      <alignment horizontal="right"/>
    </xf>
    <xf numFmtId="0" fontId="12" fillId="0" borderId="15" xfId="0" applyFont="1" applyBorder="1" applyAlignment="1">
      <alignment wrapText="1"/>
    </xf>
    <xf numFmtId="3" fontId="12" fillId="0" borderId="55" xfId="0" applyNumberFormat="1" applyFont="1" applyFill="1" applyBorder="1" applyAlignment="1">
      <alignment horizontal="right"/>
    </xf>
    <xf numFmtId="0" fontId="15" fillId="0" borderId="13" xfId="0" applyFont="1" applyBorder="1" applyAlignment="1">
      <alignment/>
    </xf>
    <xf numFmtId="3" fontId="15" fillId="0" borderId="13" xfId="0" applyNumberFormat="1" applyFont="1" applyBorder="1" applyAlignment="1">
      <alignment/>
    </xf>
    <xf numFmtId="0" fontId="14" fillId="0" borderId="13" xfId="0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3" fontId="0" fillId="0" borderId="22" xfId="0" applyNumberFormat="1" applyFont="1" applyBorder="1" applyAlignment="1">
      <alignment wrapText="1"/>
    </xf>
    <xf numFmtId="3" fontId="0" fillId="0" borderId="56" xfId="0" applyNumberFormat="1" applyFont="1" applyBorder="1" applyAlignment="1">
      <alignment wrapText="1"/>
    </xf>
    <xf numFmtId="3" fontId="0" fillId="0" borderId="57" xfId="0" applyNumberFormat="1" applyFont="1" applyBorder="1" applyAlignment="1">
      <alignment wrapText="1"/>
    </xf>
    <xf numFmtId="3" fontId="0" fillId="0" borderId="58" xfId="0" applyNumberFormat="1" applyFont="1" applyBorder="1" applyAlignment="1">
      <alignment wrapText="1"/>
    </xf>
    <xf numFmtId="3" fontId="0" fillId="0" borderId="59" xfId="0" applyNumberFormat="1" applyFont="1" applyBorder="1" applyAlignment="1">
      <alignment wrapText="1"/>
    </xf>
    <xf numFmtId="3" fontId="13" fillId="0" borderId="60" xfId="0" applyNumberFormat="1" applyFont="1" applyBorder="1" applyAlignment="1">
      <alignment/>
    </xf>
    <xf numFmtId="3" fontId="13" fillId="0" borderId="61" xfId="0" applyNumberFormat="1" applyFont="1" applyBorder="1" applyAlignment="1">
      <alignment wrapText="1"/>
    </xf>
    <xf numFmtId="3" fontId="13" fillId="0" borderId="62" xfId="0" applyNumberFormat="1" applyFont="1" applyBorder="1" applyAlignment="1">
      <alignment wrapText="1"/>
    </xf>
    <xf numFmtId="3" fontId="13" fillId="0" borderId="63" xfId="0" applyNumberFormat="1" applyFont="1" applyBorder="1" applyAlignment="1">
      <alignment wrapText="1"/>
    </xf>
    <xf numFmtId="3" fontId="13" fillId="0" borderId="60" xfId="0" applyNumberFormat="1" applyFont="1" applyBorder="1" applyAlignment="1">
      <alignment wrapText="1"/>
    </xf>
    <xf numFmtId="3" fontId="13" fillId="0" borderId="64" xfId="0" applyNumberFormat="1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wrapText="1"/>
    </xf>
    <xf numFmtId="0" fontId="12" fillId="0" borderId="54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12" fillId="0" borderId="54" xfId="0" applyNumberFormat="1" applyFont="1" applyBorder="1" applyAlignment="1">
      <alignment/>
    </xf>
    <xf numFmtId="0" fontId="13" fillId="2" borderId="27" xfId="0" applyFont="1" applyFill="1" applyBorder="1" applyAlignment="1">
      <alignment horizontal="left" wrapText="1"/>
    </xf>
    <xf numFmtId="0" fontId="13" fillId="3" borderId="27" xfId="0" applyFont="1" applyFill="1" applyBorder="1" applyAlignment="1">
      <alignment horizontal="left" wrapText="1"/>
    </xf>
    <xf numFmtId="0" fontId="0" fillId="3" borderId="33" xfId="0" applyFont="1" applyFill="1" applyBorder="1" applyAlignment="1">
      <alignment horizontal="left" wrapText="1"/>
    </xf>
    <xf numFmtId="3" fontId="12" fillId="0" borderId="27" xfId="0" applyNumberFormat="1" applyFont="1" applyFill="1" applyBorder="1" applyAlignment="1">
      <alignment wrapText="1"/>
    </xf>
    <xf numFmtId="0" fontId="12" fillId="0" borderId="17" xfId="0" applyFont="1" applyBorder="1" applyAlignment="1">
      <alignment/>
    </xf>
    <xf numFmtId="0" fontId="12" fillId="0" borderId="17" xfId="0" applyFont="1" applyBorder="1" applyAlignment="1">
      <alignment/>
    </xf>
    <xf numFmtId="3" fontId="0" fillId="4" borderId="0" xfId="0" applyNumberFormat="1" applyFont="1" applyFill="1" applyAlignment="1">
      <alignment/>
    </xf>
    <xf numFmtId="3" fontId="5" fillId="4" borderId="0" xfId="0" applyNumberFormat="1" applyFont="1" applyFill="1" applyBorder="1" applyAlignment="1">
      <alignment horizontal="right"/>
    </xf>
    <xf numFmtId="3" fontId="0" fillId="4" borderId="0" xfId="0" applyNumberFormat="1" applyFont="1" applyFill="1" applyAlignment="1">
      <alignment/>
    </xf>
    <xf numFmtId="3" fontId="0" fillId="4" borderId="0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13" fillId="4" borderId="65" xfId="0" applyNumberFormat="1" applyFont="1" applyFill="1" applyBorder="1" applyAlignment="1">
      <alignment horizontal="left"/>
    </xf>
    <xf numFmtId="3" fontId="13" fillId="4" borderId="66" xfId="15" applyNumberFormat="1" applyFont="1" applyFill="1" applyBorder="1" applyAlignment="1">
      <alignment horizontal="center"/>
    </xf>
    <xf numFmtId="3" fontId="13" fillId="4" borderId="4" xfId="15" applyNumberFormat="1" applyFont="1" applyFill="1" applyBorder="1" applyAlignment="1">
      <alignment horizontal="center"/>
    </xf>
    <xf numFmtId="3" fontId="13" fillId="4" borderId="67" xfId="15" applyNumberFormat="1" applyFont="1" applyFill="1" applyBorder="1" applyAlignment="1">
      <alignment horizontal="center"/>
    </xf>
    <xf numFmtId="3" fontId="0" fillId="4" borderId="68" xfId="0" applyNumberFormat="1" applyFont="1" applyFill="1" applyBorder="1" applyAlignment="1">
      <alignment/>
    </xf>
    <xf numFmtId="3" fontId="0" fillId="4" borderId="46" xfId="0" applyNumberFormat="1" applyFont="1" applyFill="1" applyBorder="1" applyAlignment="1">
      <alignment horizontal="center"/>
    </xf>
    <xf numFmtId="3" fontId="0" fillId="4" borderId="23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3" fontId="0" fillId="4" borderId="69" xfId="0" applyNumberFormat="1" applyFont="1" applyFill="1" applyBorder="1" applyAlignment="1">
      <alignment horizontal="center"/>
    </xf>
    <xf numFmtId="3" fontId="17" fillId="4" borderId="23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vertical="center"/>
    </xf>
    <xf numFmtId="3" fontId="17" fillId="4" borderId="13" xfId="0" applyNumberFormat="1" applyFont="1" applyFill="1" applyBorder="1" applyAlignment="1">
      <alignment horizontal="center"/>
    </xf>
    <xf numFmtId="3" fontId="0" fillId="4" borderId="69" xfId="0" applyNumberFormat="1" applyFont="1" applyFill="1" applyBorder="1" applyAlignment="1">
      <alignment horizontal="left"/>
    </xf>
    <xf numFmtId="3" fontId="0" fillId="4" borderId="27" xfId="0" applyNumberFormat="1" applyFont="1" applyFill="1" applyBorder="1" applyAlignment="1">
      <alignment horizontal="center"/>
    </xf>
    <xf numFmtId="3" fontId="17" fillId="4" borderId="27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0" fillId="4" borderId="15" xfId="0" applyNumberFormat="1" applyFont="1" applyFill="1" applyBorder="1" applyAlignment="1">
      <alignment horizontal="center"/>
    </xf>
    <xf numFmtId="3" fontId="7" fillId="4" borderId="70" xfId="0" applyNumberFormat="1" applyFont="1" applyFill="1" applyBorder="1" applyAlignment="1">
      <alignment horizontal="center"/>
    </xf>
    <xf numFmtId="3" fontId="7" fillId="4" borderId="17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3" fontId="13" fillId="4" borderId="71" xfId="0" applyNumberFormat="1" applyFont="1" applyFill="1" applyBorder="1" applyAlignment="1">
      <alignment horizontal="center" vertical="center"/>
    </xf>
    <xf numFmtId="3" fontId="15" fillId="4" borderId="72" xfId="0" applyNumberFormat="1" applyFont="1" applyFill="1" applyBorder="1" applyAlignment="1">
      <alignment horizontal="center" wrapText="1"/>
    </xf>
    <xf numFmtId="3" fontId="0" fillId="4" borderId="0" xfId="0" applyNumberFormat="1" applyFont="1" applyFill="1" applyBorder="1" applyAlignment="1">
      <alignment/>
    </xf>
    <xf numFmtId="3" fontId="0" fillId="4" borderId="73" xfId="0" applyNumberFormat="1" applyFont="1" applyFill="1" applyBorder="1" applyAlignment="1">
      <alignment vertical="center"/>
    </xf>
    <xf numFmtId="3" fontId="0" fillId="4" borderId="17" xfId="0" applyNumberFormat="1" applyFont="1" applyFill="1" applyBorder="1" applyAlignment="1">
      <alignment/>
    </xf>
    <xf numFmtId="3" fontId="0" fillId="4" borderId="29" xfId="0" applyNumberFormat="1" applyFont="1" applyFill="1" applyBorder="1" applyAlignment="1">
      <alignment/>
    </xf>
    <xf numFmtId="3" fontId="13" fillId="4" borderId="74" xfId="0" applyNumberFormat="1" applyFont="1" applyFill="1" applyBorder="1" applyAlignment="1">
      <alignment horizontal="left" vertical="center" wrapText="1"/>
    </xf>
    <xf numFmtId="3" fontId="0" fillId="6" borderId="73" xfId="0" applyNumberFormat="1" applyFont="1" applyFill="1" applyBorder="1" applyAlignment="1">
      <alignment horizontal="left" vertical="center" wrapText="1"/>
    </xf>
    <xf numFmtId="3" fontId="12" fillId="4" borderId="0" xfId="0" applyNumberFormat="1" applyFont="1" applyFill="1" applyBorder="1" applyAlignment="1">
      <alignment vertical="center"/>
    </xf>
    <xf numFmtId="3" fontId="0" fillId="4" borderId="72" xfId="0" applyNumberFormat="1" applyFont="1" applyFill="1" applyBorder="1" applyAlignment="1">
      <alignment vertical="center" wrapText="1"/>
    </xf>
    <xf numFmtId="1" fontId="0" fillId="4" borderId="72" xfId="0" applyNumberFormat="1" applyFont="1" applyFill="1" applyBorder="1" applyAlignment="1">
      <alignment vertical="center" wrapText="1"/>
    </xf>
    <xf numFmtId="3" fontId="13" fillId="4" borderId="75" xfId="0" applyNumberFormat="1" applyFont="1" applyFill="1" applyBorder="1" applyAlignment="1">
      <alignment horizontal="left" vertical="center" wrapText="1"/>
    </xf>
    <xf numFmtId="0" fontId="13" fillId="4" borderId="75" xfId="0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/>
    </xf>
    <xf numFmtId="3" fontId="8" fillId="4" borderId="29" xfId="0" applyNumberFormat="1" applyFont="1" applyFill="1" applyBorder="1" applyAlignment="1">
      <alignment/>
    </xf>
    <xf numFmtId="0" fontId="13" fillId="4" borderId="75" xfId="0" applyNumberFormat="1" applyFont="1" applyFill="1" applyBorder="1" applyAlignment="1">
      <alignment vertical="center" wrapText="1"/>
    </xf>
    <xf numFmtId="0" fontId="15" fillId="4" borderId="76" xfId="0" applyNumberFormat="1" applyFont="1" applyFill="1" applyBorder="1" applyAlignment="1">
      <alignment vertical="center" wrapText="1"/>
    </xf>
    <xf numFmtId="0" fontId="15" fillId="4" borderId="72" xfId="0" applyNumberFormat="1" applyFont="1" applyFill="1" applyBorder="1" applyAlignment="1">
      <alignment vertical="center" wrapText="1"/>
    </xf>
    <xf numFmtId="3" fontId="0" fillId="0" borderId="24" xfId="0" applyNumberFormat="1" applyFont="1" applyBorder="1" applyAlignment="1">
      <alignment/>
    </xf>
    <xf numFmtId="0" fontId="0" fillId="0" borderId="21" xfId="0" applyFont="1" applyFill="1" applyBorder="1" applyAlignment="1">
      <alignment wrapText="1"/>
    </xf>
    <xf numFmtId="0" fontId="12" fillId="0" borderId="24" xfId="0" applyFont="1" applyBorder="1" applyAlignment="1">
      <alignment/>
    </xf>
    <xf numFmtId="3" fontId="13" fillId="0" borderId="15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 wrapText="1"/>
    </xf>
    <xf numFmtId="3" fontId="13" fillId="2" borderId="17" xfId="0" applyNumberFormat="1" applyFont="1" applyFill="1" applyBorder="1" applyAlignment="1">
      <alignment horizontal="right"/>
    </xf>
    <xf numFmtId="3" fontId="13" fillId="2" borderId="15" xfId="0" applyNumberFormat="1" applyFont="1" applyFill="1" applyBorder="1" applyAlignment="1">
      <alignment horizontal="left"/>
    </xf>
    <xf numFmtId="3" fontId="13" fillId="3" borderId="17" xfId="0" applyNumberFormat="1" applyFont="1" applyFill="1" applyBorder="1" applyAlignment="1">
      <alignment horizontal="left"/>
    </xf>
    <xf numFmtId="3" fontId="12" fillId="3" borderId="25" xfId="0" applyNumberFormat="1" applyFont="1" applyFill="1" applyBorder="1" applyAlignment="1">
      <alignment horizontal="left" wrapText="1"/>
    </xf>
    <xf numFmtId="0" fontId="12" fillId="0" borderId="15" xfId="0" applyFont="1" applyBorder="1" applyAlignment="1">
      <alignment wrapText="1"/>
    </xf>
    <xf numFmtId="0" fontId="12" fillId="0" borderId="24" xfId="0" applyFont="1" applyBorder="1" applyAlignment="1">
      <alignment/>
    </xf>
    <xf numFmtId="0" fontId="0" fillId="0" borderId="77" xfId="0" applyFont="1" applyBorder="1" applyAlignment="1">
      <alignment wrapText="1"/>
    </xf>
    <xf numFmtId="3" fontId="0" fillId="0" borderId="77" xfId="0" applyNumberFormat="1" applyFont="1" applyBorder="1" applyAlignment="1">
      <alignment horizontal="right" wrapText="1"/>
    </xf>
    <xf numFmtId="0" fontId="0" fillId="0" borderId="78" xfId="0" applyFont="1" applyBorder="1" applyAlignment="1">
      <alignment wrapText="1"/>
    </xf>
    <xf numFmtId="3" fontId="0" fillId="0" borderId="78" xfId="0" applyNumberFormat="1" applyFont="1" applyBorder="1" applyAlignment="1">
      <alignment horizontal="right" wrapText="1"/>
    </xf>
    <xf numFmtId="0" fontId="12" fillId="0" borderId="15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80" xfId="0" applyFont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3" borderId="15" xfId="0" applyFont="1" applyFill="1" applyBorder="1" applyAlignment="1">
      <alignment/>
    </xf>
    <xf numFmtId="3" fontId="24" fillId="0" borderId="77" xfId="18" applyNumberFormat="1" applyFont="1" applyFill="1" applyBorder="1" applyAlignment="1">
      <alignment/>
      <protection/>
    </xf>
    <xf numFmtId="3" fontId="24" fillId="0" borderId="77" xfId="18" applyNumberFormat="1" applyFont="1" applyFill="1" applyBorder="1" applyAlignment="1">
      <alignment horizontal="right"/>
      <protection/>
    </xf>
    <xf numFmtId="3" fontId="24" fillId="0" borderId="0" xfId="18" applyNumberFormat="1" applyFont="1" applyBorder="1">
      <alignment/>
      <protection/>
    </xf>
    <xf numFmtId="3" fontId="26" fillId="0" borderId="0" xfId="18" applyNumberFormat="1" applyFont="1" applyBorder="1">
      <alignment/>
      <protection/>
    </xf>
    <xf numFmtId="3" fontId="19" fillId="0" borderId="0" xfId="18" applyNumberFormat="1" applyFont="1" applyBorder="1">
      <alignment/>
      <protection/>
    </xf>
    <xf numFmtId="3" fontId="12" fillId="0" borderId="22" xfId="0" applyNumberFormat="1" applyFont="1" applyBorder="1" applyAlignment="1">
      <alignment wrapText="1"/>
    </xf>
    <xf numFmtId="3" fontId="25" fillId="0" borderId="21" xfId="18" applyNumberFormat="1" applyFont="1" applyFill="1" applyBorder="1" applyAlignment="1">
      <alignment horizontal="right"/>
      <protection/>
    </xf>
    <xf numFmtId="3" fontId="19" fillId="0" borderId="0" xfId="18" applyNumberFormat="1" applyBorder="1" applyAlignment="1">
      <alignment vertical="center"/>
      <protection/>
    </xf>
    <xf numFmtId="3" fontId="12" fillId="0" borderId="15" xfId="0" applyNumberFormat="1" applyFont="1" applyBorder="1" applyAlignment="1">
      <alignment horizontal="right"/>
    </xf>
    <xf numFmtId="0" fontId="12" fillId="0" borderId="55" xfId="0" applyFont="1" applyBorder="1" applyAlignment="1">
      <alignment wrapText="1"/>
    </xf>
    <xf numFmtId="0" fontId="12" fillId="0" borderId="54" xfId="0" applyFont="1" applyBorder="1" applyAlignment="1">
      <alignment/>
    </xf>
    <xf numFmtId="3" fontId="0" fillId="0" borderId="79" xfId="0" applyNumberFormat="1" applyFont="1" applyBorder="1" applyAlignment="1">
      <alignment horizontal="right"/>
    </xf>
    <xf numFmtId="3" fontId="17" fillId="4" borderId="0" xfId="0" applyNumberFormat="1" applyFont="1" applyFill="1" applyBorder="1" applyAlignment="1">
      <alignment horizontal="center"/>
    </xf>
    <xf numFmtId="3" fontId="0" fillId="4" borderId="81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right"/>
    </xf>
    <xf numFmtId="3" fontId="12" fillId="0" borderId="55" xfId="0" applyNumberFormat="1" applyFont="1" applyBorder="1" applyAlignment="1">
      <alignment wrapText="1"/>
    </xf>
    <xf numFmtId="3" fontId="0" fillId="0" borderId="21" xfId="0" applyNumberFormat="1" applyFont="1" applyFill="1" applyBorder="1" applyAlignment="1">
      <alignment horizontal="right"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12" fillId="3" borderId="0" xfId="0" applyFont="1" applyFill="1" applyAlignment="1">
      <alignment/>
    </xf>
    <xf numFmtId="3" fontId="12" fillId="3" borderId="0" xfId="0" applyNumberFormat="1" applyFont="1" applyFill="1" applyAlignment="1">
      <alignment/>
    </xf>
    <xf numFmtId="3" fontId="13" fillId="0" borderId="15" xfId="0" applyNumberFormat="1" applyFont="1" applyFill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12" fillId="3" borderId="0" xfId="0" applyFont="1" applyFill="1" applyAlignment="1">
      <alignment/>
    </xf>
    <xf numFmtId="3" fontId="12" fillId="3" borderId="0" xfId="0" applyNumberFormat="1" applyFont="1" applyFill="1" applyAlignment="1">
      <alignment/>
    </xf>
    <xf numFmtId="0" fontId="12" fillId="0" borderId="13" xfId="0" applyFont="1" applyBorder="1" applyAlignment="1">
      <alignment/>
    </xf>
    <xf numFmtId="3" fontId="12" fillId="0" borderId="1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12" fillId="0" borderId="25" xfId="0" applyFont="1" applyBorder="1" applyAlignment="1">
      <alignment/>
    </xf>
    <xf numFmtId="3" fontId="12" fillId="0" borderId="25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3" fontId="0" fillId="0" borderId="29" xfId="0" applyNumberFormat="1" applyFont="1" applyBorder="1" applyAlignment="1">
      <alignment wrapText="1"/>
    </xf>
    <xf numFmtId="3" fontId="0" fillId="0" borderId="82" xfId="0" applyNumberFormat="1" applyFont="1" applyBorder="1" applyAlignment="1">
      <alignment wrapText="1"/>
    </xf>
    <xf numFmtId="3" fontId="0" fillId="0" borderId="83" xfId="0" applyNumberFormat="1" applyFont="1" applyBorder="1" applyAlignment="1">
      <alignment wrapText="1"/>
    </xf>
    <xf numFmtId="3" fontId="0" fillId="0" borderId="17" xfId="0" applyNumberFormat="1" applyFont="1" applyBorder="1" applyAlignment="1">
      <alignment wrapText="1"/>
    </xf>
    <xf numFmtId="3" fontId="0" fillId="0" borderId="53" xfId="0" applyNumberFormat="1" applyFont="1" applyBorder="1" applyAlignment="1">
      <alignment wrapText="1"/>
    </xf>
    <xf numFmtId="0" fontId="0" fillId="0" borderId="84" xfId="0" applyFont="1" applyBorder="1" applyAlignment="1">
      <alignment/>
    </xf>
    <xf numFmtId="3" fontId="0" fillId="0" borderId="84" xfId="0" applyNumberFormat="1" applyFont="1" applyFill="1" applyBorder="1" applyAlignment="1">
      <alignment horizontal="right"/>
    </xf>
    <xf numFmtId="3" fontId="0" fillId="0" borderId="84" xfId="0" applyNumberFormat="1" applyFont="1" applyBorder="1" applyAlignment="1">
      <alignment horizontal="right"/>
    </xf>
    <xf numFmtId="0" fontId="0" fillId="3" borderId="13" xfId="0" applyFont="1" applyFill="1" applyBorder="1" applyAlignment="1">
      <alignment/>
    </xf>
    <xf numFmtId="0" fontId="12" fillId="3" borderId="15" xfId="0" applyFont="1" applyFill="1" applyBorder="1" applyAlignment="1">
      <alignment/>
    </xf>
    <xf numFmtId="3" fontId="13" fillId="0" borderId="17" xfId="0" applyNumberFormat="1" applyFont="1" applyBorder="1" applyAlignment="1">
      <alignment wrapText="1"/>
    </xf>
    <xf numFmtId="3" fontId="12" fillId="0" borderId="54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right"/>
    </xf>
    <xf numFmtId="3" fontId="12" fillId="0" borderId="17" xfId="0" applyNumberFormat="1" applyFont="1" applyBorder="1" applyAlignment="1">
      <alignment horizontal="right"/>
    </xf>
    <xf numFmtId="0" fontId="13" fillId="4" borderId="85" xfId="0" applyFont="1" applyFill="1" applyBorder="1" applyAlignment="1">
      <alignment horizontal="center"/>
    </xf>
    <xf numFmtId="0" fontId="0" fillId="4" borderId="85" xfId="0" applyFont="1" applyFill="1" applyBorder="1" applyAlignment="1">
      <alignment horizontal="center"/>
    </xf>
    <xf numFmtId="0" fontId="0" fillId="4" borderId="86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/>
    </xf>
    <xf numFmtId="3" fontId="26" fillId="0" borderId="0" xfId="18" applyNumberFormat="1" applyFont="1" applyBorder="1">
      <alignment/>
      <protection/>
    </xf>
    <xf numFmtId="3" fontId="29" fillId="4" borderId="4" xfId="15" applyNumberFormat="1" applyFont="1" applyFill="1" applyBorder="1" applyAlignment="1">
      <alignment horizontal="left"/>
    </xf>
    <xf numFmtId="3" fontId="13" fillId="4" borderId="5" xfId="15" applyNumberFormat="1" applyFont="1" applyFill="1" applyBorder="1" applyAlignment="1">
      <alignment horizontal="left"/>
    </xf>
    <xf numFmtId="3" fontId="0" fillId="4" borderId="85" xfId="0" applyNumberFormat="1" applyFont="1" applyFill="1" applyBorder="1" applyAlignment="1">
      <alignment horizontal="center"/>
    </xf>
    <xf numFmtId="3" fontId="17" fillId="4" borderId="85" xfId="0" applyNumberFormat="1" applyFont="1" applyFill="1" applyBorder="1" applyAlignment="1">
      <alignment horizontal="center"/>
    </xf>
    <xf numFmtId="3" fontId="7" fillId="4" borderId="85" xfId="0" applyNumberFormat="1" applyFont="1" applyFill="1" applyBorder="1" applyAlignment="1">
      <alignment horizontal="center"/>
    </xf>
    <xf numFmtId="3" fontId="7" fillId="4" borderId="86" xfId="0" applyNumberFormat="1" applyFont="1" applyFill="1" applyBorder="1" applyAlignment="1">
      <alignment horizontal="center"/>
    </xf>
    <xf numFmtId="3" fontId="17" fillId="4" borderId="86" xfId="0" applyNumberFormat="1" applyFont="1" applyFill="1" applyBorder="1" applyAlignment="1">
      <alignment horizontal="center"/>
    </xf>
    <xf numFmtId="3" fontId="0" fillId="4" borderId="26" xfId="0" applyNumberFormat="1" applyFont="1" applyFill="1" applyBorder="1" applyAlignment="1">
      <alignment horizontal="center"/>
    </xf>
    <xf numFmtId="3" fontId="0" fillId="4" borderId="14" xfId="0" applyNumberFormat="1" applyFont="1" applyFill="1" applyBorder="1" applyAlignment="1">
      <alignment horizontal="center"/>
    </xf>
    <xf numFmtId="3" fontId="0" fillId="4" borderId="48" xfId="0" applyNumberFormat="1" applyFont="1" applyFill="1" applyBorder="1" applyAlignment="1">
      <alignment horizontal="center"/>
    </xf>
    <xf numFmtId="3" fontId="13" fillId="4" borderId="5" xfId="15" applyNumberFormat="1" applyFont="1" applyFill="1" applyBorder="1" applyAlignment="1">
      <alignment horizontal="center"/>
    </xf>
    <xf numFmtId="3" fontId="13" fillId="2" borderId="15" xfId="0" applyNumberFormat="1" applyFont="1" applyFill="1" applyBorder="1" applyAlignment="1">
      <alignment wrapText="1"/>
    </xf>
    <xf numFmtId="3" fontId="0" fillId="4" borderId="24" xfId="0" applyNumberFormat="1" applyFont="1" applyFill="1" applyBorder="1" applyAlignment="1">
      <alignment horizontal="center"/>
    </xf>
    <xf numFmtId="3" fontId="7" fillId="4" borderId="81" xfId="0" applyNumberFormat="1" applyFont="1" applyFill="1" applyBorder="1" applyAlignment="1">
      <alignment horizontal="center"/>
    </xf>
    <xf numFmtId="3" fontId="0" fillId="4" borderId="73" xfId="0" applyNumberFormat="1" applyFont="1" applyFill="1" applyBorder="1" applyAlignment="1">
      <alignment vertical="center" wrapText="1"/>
    </xf>
    <xf numFmtId="3" fontId="0" fillId="4" borderId="73" xfId="0" applyNumberFormat="1" applyFont="1" applyFill="1" applyBorder="1" applyAlignment="1">
      <alignment horizontal="left" vertical="center" wrapText="1"/>
    </xf>
    <xf numFmtId="0" fontId="6" fillId="4" borderId="87" xfId="0" applyFont="1" applyFill="1" applyBorder="1" applyAlignment="1">
      <alignment horizontal="left" vertical="center" wrapText="1"/>
    </xf>
    <xf numFmtId="0" fontId="0" fillId="4" borderId="73" xfId="0" applyFont="1" applyFill="1" applyBorder="1" applyAlignment="1">
      <alignment vertical="center" wrapText="1"/>
    </xf>
    <xf numFmtId="3" fontId="0" fillId="4" borderId="0" xfId="0" applyNumberFormat="1" applyFont="1" applyFill="1" applyAlignment="1">
      <alignment wrapText="1"/>
    </xf>
    <xf numFmtId="0" fontId="0" fillId="0" borderId="24" xfId="0" applyFont="1" applyBorder="1" applyAlignment="1">
      <alignment wrapText="1"/>
    </xf>
    <xf numFmtId="3" fontId="0" fillId="0" borderId="24" xfId="0" applyNumberFormat="1" applyFont="1" applyBorder="1" applyAlignment="1">
      <alignment horizontal="right" wrapText="1"/>
    </xf>
    <xf numFmtId="0" fontId="0" fillId="3" borderId="17" xfId="0" applyFont="1" applyFill="1" applyBorder="1" applyAlignment="1">
      <alignment horizontal="left" wrapText="1"/>
    </xf>
    <xf numFmtId="3" fontId="0" fillId="3" borderId="17" xfId="0" applyNumberFormat="1" applyFont="1" applyFill="1" applyBorder="1" applyAlignment="1">
      <alignment horizontal="right" wrapText="1"/>
    </xf>
    <xf numFmtId="0" fontId="0" fillId="0" borderId="17" xfId="0" applyFont="1" applyBorder="1" applyAlignment="1">
      <alignment/>
    </xf>
    <xf numFmtId="0" fontId="12" fillId="0" borderId="55" xfId="0" applyFont="1" applyBorder="1" applyAlignment="1">
      <alignment/>
    </xf>
    <xf numFmtId="3" fontId="12" fillId="0" borderId="55" xfId="0" applyNumberFormat="1" applyFont="1" applyBorder="1" applyAlignment="1">
      <alignment/>
    </xf>
    <xf numFmtId="3" fontId="0" fillId="0" borderId="27" xfId="0" applyNumberFormat="1" applyFont="1" applyBorder="1" applyAlignment="1">
      <alignment wrapText="1"/>
    </xf>
    <xf numFmtId="3" fontId="0" fillId="0" borderId="47" xfId="0" applyNumberFormat="1" applyFont="1" applyBorder="1" applyAlignment="1">
      <alignment wrapText="1"/>
    </xf>
    <xf numFmtId="3" fontId="0" fillId="0" borderId="88" xfId="0" applyNumberFormat="1" applyFont="1" applyBorder="1" applyAlignment="1">
      <alignment wrapText="1"/>
    </xf>
    <xf numFmtId="3" fontId="0" fillId="0" borderId="15" xfId="0" applyNumberFormat="1" applyFont="1" applyBorder="1" applyAlignment="1">
      <alignment wrapText="1"/>
    </xf>
    <xf numFmtId="3" fontId="0" fillId="0" borderId="48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 horizontal="right"/>
    </xf>
    <xf numFmtId="3" fontId="15" fillId="0" borderId="17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3" fontId="12" fillId="0" borderId="54" xfId="0" applyNumberFormat="1" applyFont="1" applyBorder="1" applyAlignment="1">
      <alignment horizontal="right"/>
    </xf>
    <xf numFmtId="0" fontId="15" fillId="4" borderId="32" xfId="0" applyFont="1" applyFill="1" applyBorder="1" applyAlignment="1">
      <alignment wrapText="1"/>
    </xf>
    <xf numFmtId="3" fontId="13" fillId="3" borderId="16" xfId="0" applyNumberFormat="1" applyFont="1" applyFill="1" applyBorder="1" applyAlignment="1">
      <alignment horizontal="right"/>
    </xf>
    <xf numFmtId="0" fontId="15" fillId="4" borderId="30" xfId="0" applyFont="1" applyFill="1" applyBorder="1" applyAlignment="1">
      <alignment wrapText="1"/>
    </xf>
    <xf numFmtId="3" fontId="15" fillId="0" borderId="30" xfId="0" applyNumberFormat="1" applyFont="1" applyFill="1" applyBorder="1" applyAlignment="1">
      <alignment horizontal="right"/>
    </xf>
    <xf numFmtId="3" fontId="15" fillId="4" borderId="30" xfId="0" applyNumberFormat="1" applyFont="1" applyFill="1" applyBorder="1" applyAlignment="1">
      <alignment horizontal="right"/>
    </xf>
    <xf numFmtId="0" fontId="13" fillId="2" borderId="27" xfId="0" applyFont="1" applyFill="1" applyBorder="1" applyAlignment="1">
      <alignment horizontal="left" wrapText="1"/>
    </xf>
    <xf numFmtId="3" fontId="15" fillId="4" borderId="15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 horizontal="right"/>
    </xf>
    <xf numFmtId="3" fontId="13" fillId="4" borderId="41" xfId="0" applyNumberFormat="1" applyFont="1" applyFill="1" applyBorder="1" applyAlignment="1">
      <alignment horizontal="right"/>
    </xf>
    <xf numFmtId="0" fontId="15" fillId="4" borderId="13" xfId="0" applyFont="1" applyFill="1" applyBorder="1" applyAlignment="1">
      <alignment wrapText="1"/>
    </xf>
    <xf numFmtId="3" fontId="15" fillId="4" borderId="13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wrapText="1"/>
    </xf>
    <xf numFmtId="0" fontId="15" fillId="0" borderId="52" xfId="0" applyFont="1" applyBorder="1" applyAlignment="1">
      <alignment wrapText="1"/>
    </xf>
    <xf numFmtId="0" fontId="17" fillId="0" borderId="0" xfId="0" applyNumberFormat="1" applyFont="1" applyAlignment="1">
      <alignment/>
    </xf>
    <xf numFmtId="0" fontId="8" fillId="0" borderId="0" xfId="0" applyFont="1" applyAlignment="1">
      <alignment/>
    </xf>
    <xf numFmtId="3" fontId="0" fillId="0" borderId="22" xfId="0" applyNumberFormat="1" applyFont="1" applyBorder="1" applyAlignment="1">
      <alignment wrapText="1"/>
    </xf>
    <xf numFmtId="3" fontId="0" fillId="0" borderId="56" xfId="0" applyNumberFormat="1" applyFont="1" applyBorder="1" applyAlignment="1">
      <alignment wrapText="1"/>
    </xf>
    <xf numFmtId="3" fontId="0" fillId="0" borderId="57" xfId="0" applyNumberFormat="1" applyFont="1" applyBorder="1" applyAlignment="1">
      <alignment wrapText="1"/>
    </xf>
    <xf numFmtId="3" fontId="12" fillId="0" borderId="25" xfId="0" applyNumberFormat="1" applyFont="1" applyBorder="1" applyAlignment="1">
      <alignment horizontal="right"/>
    </xf>
    <xf numFmtId="3" fontId="12" fillId="0" borderId="25" xfId="0" applyNumberFormat="1" applyFont="1" applyFill="1" applyBorder="1" applyAlignment="1">
      <alignment horizontal="right" wrapText="1"/>
    </xf>
    <xf numFmtId="0" fontId="0" fillId="3" borderId="22" xfId="0" applyFont="1" applyFill="1" applyBorder="1" applyAlignment="1">
      <alignment/>
    </xf>
    <xf numFmtId="3" fontId="10" fillId="0" borderId="16" xfId="0" applyNumberFormat="1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3" fontId="30" fillId="0" borderId="17" xfId="0" applyNumberFormat="1" applyFont="1" applyFill="1" applyBorder="1" applyAlignment="1">
      <alignment/>
    </xf>
    <xf numFmtId="0" fontId="15" fillId="4" borderId="16" xfId="0" applyFont="1" applyFill="1" applyBorder="1" applyAlignment="1">
      <alignment horizontal="left" wrapText="1"/>
    </xf>
    <xf numFmtId="3" fontId="0" fillId="4" borderId="17" xfId="15" applyNumberFormat="1" applyFont="1" applyFill="1" applyBorder="1" applyAlignment="1">
      <alignment horizontal="right"/>
    </xf>
    <xf numFmtId="3" fontId="13" fillId="4" borderId="45" xfId="0" applyNumberFormat="1" applyFont="1" applyFill="1" applyBorder="1" applyAlignment="1">
      <alignment horizontal="right"/>
    </xf>
    <xf numFmtId="3" fontId="13" fillId="4" borderId="41" xfId="15" applyNumberFormat="1" applyFont="1" applyFill="1" applyBorder="1" applyAlignment="1">
      <alignment horizontal="right"/>
    </xf>
    <xf numFmtId="3" fontId="13" fillId="4" borderId="15" xfId="0" applyNumberFormat="1" applyFont="1" applyFill="1" applyBorder="1" applyAlignment="1">
      <alignment/>
    </xf>
    <xf numFmtId="3" fontId="13" fillId="4" borderId="31" xfId="0" applyNumberFormat="1" applyFont="1" applyFill="1" applyBorder="1" applyAlignment="1">
      <alignment/>
    </xf>
    <xf numFmtId="3" fontId="13" fillId="4" borderId="31" xfId="15" applyNumberFormat="1" applyFont="1" applyFill="1" applyBorder="1" applyAlignment="1">
      <alignment horizontal="right"/>
    </xf>
    <xf numFmtId="3" fontId="0" fillId="4" borderId="27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/>
    </xf>
    <xf numFmtId="3" fontId="13" fillId="4" borderId="89" xfId="0" applyNumberFormat="1" applyFont="1" applyFill="1" applyBorder="1" applyAlignment="1">
      <alignment/>
    </xf>
    <xf numFmtId="3" fontId="13" fillId="4" borderId="89" xfId="15" applyNumberFormat="1" applyFont="1" applyFill="1" applyBorder="1" applyAlignment="1">
      <alignment horizontal="right"/>
    </xf>
    <xf numFmtId="3" fontId="0" fillId="4" borderId="15" xfId="15" applyNumberFormat="1" applyFont="1" applyFill="1" applyBorder="1" applyAlignment="1">
      <alignment horizontal="right"/>
    </xf>
    <xf numFmtId="3" fontId="0" fillId="4" borderId="27" xfId="15" applyNumberFormat="1" applyFont="1" applyFill="1" applyBorder="1" applyAlignment="1">
      <alignment horizontal="right"/>
    </xf>
    <xf numFmtId="3" fontId="0" fillId="4" borderId="17" xfId="15" applyNumberFormat="1" applyFont="1" applyFill="1" applyBorder="1" applyAlignment="1">
      <alignment horizontal="right"/>
    </xf>
    <xf numFmtId="3" fontId="0" fillId="4" borderId="29" xfId="15" applyNumberFormat="1" applyFont="1" applyFill="1" applyBorder="1" applyAlignment="1">
      <alignment horizontal="right"/>
    </xf>
    <xf numFmtId="3" fontId="6" fillId="4" borderId="28" xfId="15" applyNumberFormat="1" applyFont="1" applyFill="1" applyBorder="1" applyAlignment="1">
      <alignment horizontal="right"/>
    </xf>
    <xf numFmtId="3" fontId="13" fillId="4" borderId="16" xfId="15" applyNumberFormat="1" applyFont="1" applyFill="1" applyBorder="1" applyAlignment="1">
      <alignment horizontal="right"/>
    </xf>
    <xf numFmtId="3" fontId="13" fillId="4" borderId="89" xfId="0" applyNumberFormat="1" applyFont="1" applyFill="1" applyBorder="1" applyAlignment="1">
      <alignment horizontal="right"/>
    </xf>
    <xf numFmtId="0" fontId="0" fillId="4" borderId="17" xfId="0" applyFont="1" applyFill="1" applyBorder="1" applyAlignment="1">
      <alignment/>
    </xf>
    <xf numFmtId="0" fontId="0" fillId="4" borderId="29" xfId="0" applyFont="1" applyFill="1" applyBorder="1" applyAlignment="1">
      <alignment/>
    </xf>
    <xf numFmtId="3" fontId="13" fillId="4" borderId="60" xfId="0" applyNumberFormat="1" applyFont="1" applyFill="1" applyBorder="1" applyAlignment="1">
      <alignment horizontal="right"/>
    </xf>
    <xf numFmtId="3" fontId="15" fillId="4" borderId="15" xfId="15" applyNumberFormat="1" applyFont="1" applyFill="1" applyBorder="1" applyAlignment="1">
      <alignment horizontal="right"/>
    </xf>
    <xf numFmtId="3" fontId="0" fillId="4" borderId="17" xfId="0" applyNumberFormat="1" applyFont="1" applyFill="1" applyBorder="1" applyAlignment="1">
      <alignment horizontal="right"/>
    </xf>
    <xf numFmtId="3" fontId="0" fillId="4" borderId="29" xfId="0" applyNumberFormat="1" applyFont="1" applyFill="1" applyBorder="1" applyAlignment="1">
      <alignment horizontal="right"/>
    </xf>
    <xf numFmtId="1" fontId="13" fillId="0" borderId="17" xfId="0" applyNumberFormat="1" applyFont="1" applyBorder="1" applyAlignment="1">
      <alignment/>
    </xf>
    <xf numFmtId="3" fontId="13" fillId="0" borderId="15" xfId="0" applyNumberFormat="1" applyFont="1" applyBorder="1" applyAlignment="1">
      <alignment wrapText="1"/>
    </xf>
    <xf numFmtId="3" fontId="13" fillId="0" borderId="29" xfId="0" applyNumberFormat="1" applyFont="1" applyBorder="1" applyAlignment="1">
      <alignment wrapText="1"/>
    </xf>
    <xf numFmtId="3" fontId="13" fillId="0" borderId="82" xfId="0" applyNumberFormat="1" applyFont="1" applyBorder="1" applyAlignment="1">
      <alignment wrapText="1"/>
    </xf>
    <xf numFmtId="3" fontId="13" fillId="0" borderId="83" xfId="0" applyNumberFormat="1" applyFont="1" applyBorder="1" applyAlignment="1">
      <alignment wrapText="1"/>
    </xf>
    <xf numFmtId="3" fontId="13" fillId="0" borderId="17" xfId="0" applyNumberFormat="1" applyFont="1" applyBorder="1" applyAlignment="1">
      <alignment wrapText="1"/>
    </xf>
    <xf numFmtId="3" fontId="13" fillId="0" borderId="53" xfId="0" applyNumberFormat="1" applyFont="1" applyBorder="1" applyAlignment="1">
      <alignment wrapText="1"/>
    </xf>
    <xf numFmtId="0" fontId="6" fillId="0" borderId="9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0" fontId="15" fillId="3" borderId="91" xfId="0" applyFont="1" applyFill="1" applyBorder="1" applyAlignment="1">
      <alignment horizontal="left" wrapText="1"/>
    </xf>
    <xf numFmtId="3" fontId="15" fillId="3" borderId="16" xfId="0" applyNumberFormat="1" applyFont="1" applyFill="1" applyBorder="1" applyAlignment="1">
      <alignment horizontal="right" wrapText="1"/>
    </xf>
    <xf numFmtId="1" fontId="13" fillId="3" borderId="31" xfId="0" applyNumberFormat="1" applyFont="1" applyFill="1" applyBorder="1" applyAlignment="1">
      <alignment/>
    </xf>
    <xf numFmtId="3" fontId="13" fillId="3" borderId="31" xfId="0" applyNumberFormat="1" applyFont="1" applyFill="1" applyBorder="1" applyAlignment="1">
      <alignment wrapText="1"/>
    </xf>
    <xf numFmtId="3" fontId="13" fillId="0" borderId="92" xfId="0" applyNumberFormat="1" applyFont="1" applyBorder="1" applyAlignment="1">
      <alignment wrapText="1"/>
    </xf>
    <xf numFmtId="3" fontId="13" fillId="0" borderId="93" xfId="0" applyNumberFormat="1" applyFont="1" applyBorder="1" applyAlignment="1">
      <alignment wrapText="1"/>
    </xf>
    <xf numFmtId="3" fontId="13" fillId="0" borderId="94" xfId="0" applyNumberFormat="1" applyFont="1" applyBorder="1" applyAlignment="1">
      <alignment wrapText="1"/>
    </xf>
    <xf numFmtId="3" fontId="13" fillId="0" borderId="31" xfId="0" applyNumberFormat="1" applyFont="1" applyBorder="1" applyAlignment="1">
      <alignment wrapText="1"/>
    </xf>
    <xf numFmtId="3" fontId="13" fillId="0" borderId="95" xfId="0" applyNumberFormat="1" applyFont="1" applyBorder="1" applyAlignment="1">
      <alignment wrapText="1"/>
    </xf>
    <xf numFmtId="3" fontId="0" fillId="0" borderId="79" xfId="0" applyNumberFormat="1" applyFont="1" applyBorder="1" applyAlignment="1">
      <alignment wrapText="1"/>
    </xf>
    <xf numFmtId="3" fontId="0" fillId="0" borderId="96" xfId="0" applyNumberFormat="1" applyFont="1" applyBorder="1" applyAlignment="1">
      <alignment wrapText="1"/>
    </xf>
    <xf numFmtId="3" fontId="0" fillId="0" borderId="97" xfId="0" applyNumberFormat="1" applyFont="1" applyBorder="1" applyAlignment="1">
      <alignment wrapText="1"/>
    </xf>
    <xf numFmtId="3" fontId="0" fillId="0" borderId="98" xfId="0" applyNumberFormat="1" applyFont="1" applyBorder="1" applyAlignment="1">
      <alignment wrapText="1"/>
    </xf>
    <xf numFmtId="3" fontId="0" fillId="0" borderId="99" xfId="0" applyNumberFormat="1" applyFont="1" applyBorder="1" applyAlignment="1">
      <alignment wrapText="1"/>
    </xf>
    <xf numFmtId="3" fontId="0" fillId="0" borderId="13" xfId="0" applyNumberFormat="1" applyFont="1" applyBorder="1" applyAlignment="1">
      <alignment/>
    </xf>
    <xf numFmtId="3" fontId="12" fillId="0" borderId="15" xfId="0" applyNumberFormat="1" applyFont="1" applyFill="1" applyBorder="1" applyAlignment="1">
      <alignment wrapText="1"/>
    </xf>
    <xf numFmtId="0" fontId="3" fillId="3" borderId="15" xfId="0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 wrapText="1"/>
    </xf>
    <xf numFmtId="3" fontId="12" fillId="0" borderId="27" xfId="0" applyNumberFormat="1" applyFont="1" applyBorder="1" applyAlignment="1">
      <alignment wrapText="1"/>
    </xf>
    <xf numFmtId="3" fontId="13" fillId="3" borderId="29" xfId="0" applyNumberFormat="1" applyFont="1" applyFill="1" applyBorder="1" applyAlignment="1">
      <alignment horizontal="right" wrapText="1"/>
    </xf>
    <xf numFmtId="0" fontId="15" fillId="4" borderId="16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right" wrapText="1"/>
    </xf>
    <xf numFmtId="3" fontId="15" fillId="4" borderId="16" xfId="0" applyNumberFormat="1" applyFont="1" applyFill="1" applyBorder="1" applyAlignment="1">
      <alignment horizontal="right" wrapText="1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15" xfId="0" applyFont="1" applyBorder="1" applyAlignment="1">
      <alignment/>
    </xf>
    <xf numFmtId="3" fontId="12" fillId="0" borderId="25" xfId="0" applyNumberFormat="1" applyFont="1" applyBorder="1" applyAlignment="1">
      <alignment wrapText="1"/>
    </xf>
    <xf numFmtId="3" fontId="12" fillId="0" borderId="15" xfId="0" applyNumberFormat="1" applyFont="1" applyBorder="1" applyAlignment="1">
      <alignment wrapText="1"/>
    </xf>
    <xf numFmtId="0" fontId="6" fillId="2" borderId="15" xfId="0" applyFont="1" applyFill="1" applyBorder="1" applyAlignment="1">
      <alignment/>
    </xf>
    <xf numFmtId="3" fontId="12" fillId="0" borderId="55" xfId="0" applyNumberFormat="1" applyFont="1" applyFill="1" applyBorder="1" applyAlignment="1">
      <alignment horizontal="right"/>
    </xf>
    <xf numFmtId="1" fontId="13" fillId="3" borderId="15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3" fontId="0" fillId="0" borderId="100" xfId="0" applyNumberFormat="1" applyFont="1" applyBorder="1" applyAlignment="1">
      <alignment wrapText="1"/>
    </xf>
    <xf numFmtId="0" fontId="0" fillId="3" borderId="33" xfId="0" applyFont="1" applyFill="1" applyBorder="1" applyAlignment="1">
      <alignment wrapText="1"/>
    </xf>
    <xf numFmtId="0" fontId="0" fillId="0" borderId="24" xfId="0" applyFont="1" applyBorder="1" applyAlignment="1">
      <alignment horizontal="left" wrapText="1"/>
    </xf>
    <xf numFmtId="0" fontId="0" fillId="3" borderId="21" xfId="0" applyFont="1" applyFill="1" applyBorder="1" applyAlignment="1">
      <alignment wrapText="1"/>
    </xf>
    <xf numFmtId="3" fontId="13" fillId="0" borderId="24" xfId="0" applyNumberFormat="1" applyFont="1" applyBorder="1" applyAlignment="1">
      <alignment/>
    </xf>
    <xf numFmtId="0" fontId="15" fillId="0" borderId="52" xfId="0" applyFont="1" applyBorder="1" applyAlignment="1">
      <alignment/>
    </xf>
    <xf numFmtId="0" fontId="11" fillId="0" borderId="17" xfId="0" applyFont="1" applyFill="1" applyBorder="1" applyAlignment="1">
      <alignment wrapText="1"/>
    </xf>
    <xf numFmtId="3" fontId="11" fillId="0" borderId="17" xfId="0" applyNumberFormat="1" applyFont="1" applyFill="1" applyBorder="1" applyAlignment="1">
      <alignment/>
    </xf>
    <xf numFmtId="3" fontId="12" fillId="3" borderId="25" xfId="0" applyNumberFormat="1" applyFont="1" applyFill="1" applyBorder="1" applyAlignment="1">
      <alignment horizontal="right"/>
    </xf>
    <xf numFmtId="3" fontId="15" fillId="3" borderId="17" xfId="0" applyNumberFormat="1" applyFont="1" applyFill="1" applyBorder="1" applyAlignment="1">
      <alignment horizontal="right" wrapText="1"/>
    </xf>
    <xf numFmtId="3" fontId="0" fillId="4" borderId="21" xfId="0" applyNumberFormat="1" applyFont="1" applyFill="1" applyBorder="1" applyAlignment="1">
      <alignment horizontal="right"/>
    </xf>
    <xf numFmtId="3" fontId="0" fillId="4" borderId="79" xfId="0" applyNumberFormat="1" applyFont="1" applyFill="1" applyBorder="1" applyAlignment="1">
      <alignment horizontal="right"/>
    </xf>
    <xf numFmtId="0" fontId="0" fillId="4" borderId="21" xfId="0" applyFont="1" applyFill="1" applyBorder="1" applyAlignment="1">
      <alignment horizontal="left" wrapText="1"/>
    </xf>
    <xf numFmtId="0" fontId="12" fillId="4" borderId="55" xfId="0" applyFont="1" applyFill="1" applyBorder="1" applyAlignment="1">
      <alignment horizontal="left"/>
    </xf>
    <xf numFmtId="0" fontId="12" fillId="4" borderId="13" xfId="0" applyFont="1" applyFill="1" applyBorder="1" applyAlignment="1">
      <alignment/>
    </xf>
    <xf numFmtId="3" fontId="12" fillId="0" borderId="101" xfId="0" applyNumberFormat="1" applyFont="1" applyBorder="1" applyAlignment="1">
      <alignment horizontal="right"/>
    </xf>
    <xf numFmtId="3" fontId="12" fillId="4" borderId="101" xfId="0" applyNumberFormat="1" applyFont="1" applyFill="1" applyBorder="1" applyAlignment="1">
      <alignment/>
    </xf>
    <xf numFmtId="3" fontId="12" fillId="0" borderId="54" xfId="0" applyNumberFormat="1" applyFont="1" applyBorder="1" applyAlignment="1">
      <alignment horizontal="right"/>
    </xf>
    <xf numFmtId="3" fontId="12" fillId="0" borderId="55" xfId="0" applyNumberFormat="1" applyFont="1" applyBorder="1" applyAlignment="1">
      <alignment horizontal="right"/>
    </xf>
    <xf numFmtId="3" fontId="12" fillId="4" borderId="55" xfId="0" applyNumberFormat="1" applyFont="1" applyFill="1" applyBorder="1" applyAlignment="1">
      <alignment/>
    </xf>
    <xf numFmtId="0" fontId="15" fillId="0" borderId="13" xfId="0" applyFont="1" applyBorder="1" applyAlignment="1">
      <alignment wrapText="1"/>
    </xf>
    <xf numFmtId="0" fontId="12" fillId="4" borderId="15" xfId="0" applyFont="1" applyFill="1" applyBorder="1" applyAlignment="1">
      <alignment/>
    </xf>
    <xf numFmtId="1" fontId="13" fillId="0" borderId="13" xfId="0" applyNumberFormat="1" applyFont="1" applyBorder="1" applyAlignment="1">
      <alignment/>
    </xf>
    <xf numFmtId="3" fontId="13" fillId="0" borderId="24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3" fontId="0" fillId="0" borderId="33" xfId="0" applyNumberFormat="1" applyFont="1" applyBorder="1" applyAlignment="1">
      <alignment wrapText="1"/>
    </xf>
    <xf numFmtId="3" fontId="0" fillId="0" borderId="102" xfId="0" applyNumberFormat="1" applyFont="1" applyBorder="1" applyAlignment="1">
      <alignment wrapText="1"/>
    </xf>
    <xf numFmtId="3" fontId="0" fillId="0" borderId="103" xfId="0" applyNumberFormat="1" applyFont="1" applyBorder="1" applyAlignment="1">
      <alignment wrapText="1"/>
    </xf>
    <xf numFmtId="3" fontId="0" fillId="0" borderId="104" xfId="0" applyNumberFormat="1" applyFont="1" applyBorder="1" applyAlignment="1">
      <alignment wrapText="1"/>
    </xf>
    <xf numFmtId="3" fontId="12" fillId="0" borderId="54" xfId="0" applyNumberFormat="1" applyFont="1" applyBorder="1" applyAlignment="1">
      <alignment wrapText="1"/>
    </xf>
    <xf numFmtId="0" fontId="0" fillId="0" borderId="24" xfId="0" applyFont="1" applyFill="1" applyBorder="1" applyAlignment="1">
      <alignment wrapText="1"/>
    </xf>
    <xf numFmtId="3" fontId="0" fillId="0" borderId="58" xfId="0" applyNumberFormat="1" applyFont="1" applyBorder="1" applyAlignment="1">
      <alignment wrapText="1"/>
    </xf>
    <xf numFmtId="3" fontId="12" fillId="0" borderId="101" xfId="0" applyNumberFormat="1" applyFont="1" applyFill="1" applyBorder="1" applyAlignment="1">
      <alignment horizontal="right"/>
    </xf>
    <xf numFmtId="3" fontId="12" fillId="0" borderId="13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33" fillId="0" borderId="0" xfId="0" applyFont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4" borderId="65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5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4" borderId="12" xfId="0" applyFont="1" applyFill="1" applyBorder="1" applyAlignment="1">
      <alignment/>
    </xf>
    <xf numFmtId="0" fontId="6" fillId="4" borderId="12" xfId="0" applyFont="1" applyFill="1" applyBorder="1" applyAlignment="1">
      <alignment horizontal="right" wrapText="1"/>
    </xf>
    <xf numFmtId="0" fontId="6" fillId="4" borderId="31" xfId="0" applyFont="1" applyFill="1" applyBorder="1" applyAlignment="1">
      <alignment wrapText="1"/>
    </xf>
    <xf numFmtId="0" fontId="6" fillId="4" borderId="31" xfId="0" applyFont="1" applyFill="1" applyBorder="1" applyAlignment="1">
      <alignment horizontal="center" wrapText="1"/>
    </xf>
    <xf numFmtId="3" fontId="6" fillId="4" borderId="31" xfId="0" applyNumberFormat="1" applyFont="1" applyFill="1" applyBorder="1" applyAlignment="1">
      <alignment horizontal="right"/>
    </xf>
    <xf numFmtId="0" fontId="6" fillId="2" borderId="60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5" xfId="0" applyFont="1" applyFill="1" applyBorder="1" applyAlignment="1">
      <alignment horizontal="center"/>
    </xf>
    <xf numFmtId="3" fontId="6" fillId="2" borderId="15" xfId="0" applyNumberFormat="1" applyFont="1" applyFill="1" applyBorder="1" applyAlignment="1">
      <alignment horizontal="right"/>
    </xf>
    <xf numFmtId="3" fontId="6" fillId="2" borderId="15" xfId="0" applyNumberFormat="1" applyFont="1" applyFill="1" applyBorder="1" applyAlignment="1">
      <alignment/>
    </xf>
    <xf numFmtId="1" fontId="6" fillId="0" borderId="17" xfId="0" applyNumberFormat="1" applyFont="1" applyBorder="1" applyAlignment="1">
      <alignment/>
    </xf>
    <xf numFmtId="3" fontId="6" fillId="0" borderId="17" xfId="0" applyNumberFormat="1" applyFont="1" applyBorder="1" applyAlignment="1">
      <alignment wrapText="1"/>
    </xf>
    <xf numFmtId="3" fontId="34" fillId="0" borderId="17" xfId="0" applyNumberFormat="1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right" wrapText="1"/>
    </xf>
    <xf numFmtId="1" fontId="8" fillId="0" borderId="13" xfId="0" applyNumberFormat="1" applyFont="1" applyBorder="1" applyAlignment="1">
      <alignment/>
    </xf>
    <xf numFmtId="3" fontId="8" fillId="0" borderId="79" xfId="0" applyNumberFormat="1" applyFont="1" applyBorder="1" applyAlignment="1">
      <alignment wrapText="1"/>
    </xf>
    <xf numFmtId="0" fontId="8" fillId="0" borderId="79" xfId="0" applyFont="1" applyBorder="1" applyAlignment="1">
      <alignment wrapText="1"/>
    </xf>
    <xf numFmtId="0" fontId="8" fillId="0" borderId="79" xfId="0" applyFont="1" applyBorder="1" applyAlignment="1">
      <alignment horizontal="center" wrapText="1"/>
    </xf>
    <xf numFmtId="3" fontId="8" fillId="0" borderId="79" xfId="0" applyNumberFormat="1" applyFont="1" applyBorder="1" applyAlignment="1">
      <alignment horizontal="right" wrapText="1"/>
    </xf>
    <xf numFmtId="3" fontId="8" fillId="0" borderId="79" xfId="0" applyNumberFormat="1" applyFont="1" applyBorder="1" applyAlignment="1">
      <alignment/>
    </xf>
    <xf numFmtId="1" fontId="6" fillId="0" borderId="17" xfId="0" applyNumberFormat="1" applyFont="1" applyBorder="1" applyAlignment="1">
      <alignment/>
    </xf>
    <xf numFmtId="3" fontId="17" fillId="0" borderId="17" xfId="0" applyNumberFormat="1" applyFont="1" applyBorder="1" applyAlignment="1">
      <alignment horizontal="center" wrapText="1"/>
    </xf>
    <xf numFmtId="3" fontId="6" fillId="0" borderId="24" xfId="0" applyNumberFormat="1" applyFont="1" applyBorder="1" applyAlignment="1">
      <alignment horizontal="right" wrapText="1"/>
    </xf>
    <xf numFmtId="1" fontId="8" fillId="0" borderId="15" xfId="0" applyNumberFormat="1" applyFont="1" applyBorder="1" applyAlignment="1">
      <alignment/>
    </xf>
    <xf numFmtId="3" fontId="17" fillId="0" borderId="15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/>
    </xf>
    <xf numFmtId="0" fontId="12" fillId="3" borderId="25" xfId="0" applyFont="1" applyFill="1" applyBorder="1" applyAlignment="1">
      <alignment/>
    </xf>
    <xf numFmtId="0" fontId="13" fillId="0" borderId="24" xfId="0" applyFont="1" applyBorder="1" applyAlignment="1">
      <alignment/>
    </xf>
    <xf numFmtId="0" fontId="0" fillId="0" borderId="22" xfId="0" applyFont="1" applyBorder="1" applyAlignment="1">
      <alignment wrapText="1"/>
    </xf>
    <xf numFmtId="0" fontId="11" fillId="0" borderId="17" xfId="0" applyFont="1" applyFill="1" applyBorder="1" applyAlignment="1">
      <alignment/>
    </xf>
    <xf numFmtId="3" fontId="12" fillId="3" borderId="17" xfId="0" applyNumberFormat="1" applyFont="1" applyFill="1" applyBorder="1" applyAlignment="1">
      <alignment horizontal="right" wrapText="1"/>
    </xf>
    <xf numFmtId="3" fontId="12" fillId="0" borderId="17" xfId="0" applyNumberFormat="1" applyFont="1" applyFill="1" applyBorder="1" applyAlignment="1">
      <alignment horizontal="right"/>
    </xf>
    <xf numFmtId="3" fontId="12" fillId="0" borderId="17" xfId="0" applyNumberFormat="1" applyFont="1" applyBorder="1" applyAlignment="1">
      <alignment horizontal="right"/>
    </xf>
    <xf numFmtId="3" fontId="13" fillId="4" borderId="4" xfId="15" applyNumberFormat="1" applyFont="1" applyFill="1" applyBorder="1" applyAlignment="1">
      <alignment horizontal="left"/>
    </xf>
    <xf numFmtId="3" fontId="0" fillId="4" borderId="106" xfId="0" applyNumberFormat="1" applyFont="1" applyFill="1" applyBorder="1" applyAlignment="1">
      <alignment horizontal="center"/>
    </xf>
    <xf numFmtId="3" fontId="17" fillId="4" borderId="69" xfId="0" applyNumberFormat="1" applyFont="1" applyFill="1" applyBorder="1" applyAlignment="1">
      <alignment horizontal="center"/>
    </xf>
    <xf numFmtId="3" fontId="17" fillId="4" borderId="107" xfId="0" applyNumberFormat="1" applyFont="1" applyFill="1" applyBorder="1" applyAlignment="1">
      <alignment horizontal="center"/>
    </xf>
    <xf numFmtId="3" fontId="0" fillId="4" borderId="8" xfId="0" applyNumberFormat="1" applyFont="1" applyFill="1" applyBorder="1" applyAlignment="1">
      <alignment horizontal="center"/>
    </xf>
    <xf numFmtId="3" fontId="0" fillId="4" borderId="13" xfId="0" applyNumberFormat="1" applyFont="1" applyFill="1" applyBorder="1" applyAlignment="1">
      <alignment horizontal="center"/>
    </xf>
    <xf numFmtId="3" fontId="17" fillId="4" borderId="8" xfId="0" applyNumberFormat="1" applyFont="1" applyFill="1" applyBorder="1" applyAlignment="1">
      <alignment horizontal="center"/>
    </xf>
    <xf numFmtId="3" fontId="17" fillId="4" borderId="108" xfId="0" applyNumberFormat="1" applyFont="1" applyFill="1" applyBorder="1" applyAlignment="1">
      <alignment horizontal="center"/>
    </xf>
    <xf numFmtId="0" fontId="12" fillId="0" borderId="54" xfId="0" applyFont="1" applyBorder="1" applyAlignment="1">
      <alignment/>
    </xf>
    <xf numFmtId="0" fontId="12" fillId="0" borderId="55" xfId="0" applyFont="1" applyBorder="1" applyAlignment="1">
      <alignment/>
    </xf>
    <xf numFmtId="3" fontId="12" fillId="0" borderId="55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12" fillId="0" borderId="25" xfId="0" applyFont="1" applyFill="1" applyBorder="1" applyAlignment="1">
      <alignment wrapText="1"/>
    </xf>
    <xf numFmtId="0" fontId="12" fillId="0" borderId="25" xfId="0" applyFont="1" applyBorder="1" applyAlignment="1">
      <alignment wrapText="1"/>
    </xf>
    <xf numFmtId="3" fontId="0" fillId="4" borderId="109" xfId="0" applyNumberFormat="1" applyFont="1" applyFill="1" applyBorder="1" applyAlignment="1">
      <alignment vertical="center" wrapText="1"/>
    </xf>
    <xf numFmtId="3" fontId="0" fillId="4" borderId="24" xfId="0" applyNumberFormat="1" applyFont="1" applyFill="1" applyBorder="1" applyAlignment="1">
      <alignment horizontal="right"/>
    </xf>
    <xf numFmtId="3" fontId="0" fillId="4" borderId="110" xfId="0" applyNumberFormat="1" applyFont="1" applyFill="1" applyBorder="1" applyAlignment="1">
      <alignment horizontal="right"/>
    </xf>
    <xf numFmtId="3" fontId="13" fillId="2" borderId="34" xfId="0" applyNumberFormat="1" applyFont="1" applyFill="1" applyBorder="1" applyAlignment="1">
      <alignment horizontal="right" wrapText="1"/>
    </xf>
    <xf numFmtId="0" fontId="12" fillId="0" borderId="25" xfId="0" applyFont="1" applyBorder="1" applyAlignment="1">
      <alignment/>
    </xf>
    <xf numFmtId="0" fontId="3" fillId="0" borderId="24" xfId="0" applyFont="1" applyBorder="1" applyAlignment="1">
      <alignment/>
    </xf>
    <xf numFmtId="0" fontId="14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3" fontId="12" fillId="4" borderId="25" xfId="0" applyNumberFormat="1" applyFont="1" applyFill="1" applyBorder="1" applyAlignment="1">
      <alignment wrapText="1"/>
    </xf>
    <xf numFmtId="3" fontId="12" fillId="0" borderId="13" xfId="0" applyNumberFormat="1" applyFont="1" applyFill="1" applyBorder="1" applyAlignment="1">
      <alignment horizontal="right"/>
    </xf>
    <xf numFmtId="0" fontId="3" fillId="0" borderId="15" xfId="0" applyFont="1" applyBorder="1" applyAlignment="1">
      <alignment/>
    </xf>
    <xf numFmtId="3" fontId="15" fillId="0" borderId="52" xfId="0" applyNumberFormat="1" applyFont="1" applyBorder="1" applyAlignment="1">
      <alignment/>
    </xf>
    <xf numFmtId="0" fontId="35" fillId="0" borderId="0" xfId="0" applyFont="1" applyAlignment="1">
      <alignment/>
    </xf>
    <xf numFmtId="3" fontId="35" fillId="0" borderId="0" xfId="0" applyNumberFormat="1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35" fillId="3" borderId="0" xfId="0" applyFont="1" applyFill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Alignment="1">
      <alignment/>
    </xf>
    <xf numFmtId="0" fontId="13" fillId="2" borderId="17" xfId="0" applyFont="1" applyFill="1" applyBorder="1" applyAlignment="1">
      <alignment wrapText="1"/>
    </xf>
    <xf numFmtId="3" fontId="0" fillId="4" borderId="13" xfId="0" applyNumberFormat="1" applyFont="1" applyFill="1" applyBorder="1" applyAlignment="1">
      <alignment/>
    </xf>
    <xf numFmtId="0" fontId="0" fillId="0" borderId="79" xfId="0" applyFont="1" applyBorder="1" applyAlignment="1">
      <alignment wrapText="1"/>
    </xf>
    <xf numFmtId="3" fontId="15" fillId="4" borderId="17" xfId="15" applyNumberFormat="1" applyFont="1" applyFill="1" applyBorder="1" applyAlignment="1">
      <alignment horizontal="right"/>
    </xf>
    <xf numFmtId="0" fontId="12" fillId="0" borderId="54" xfId="0" applyFont="1" applyBorder="1" applyAlignment="1">
      <alignment wrapText="1"/>
    </xf>
    <xf numFmtId="3" fontId="12" fillId="0" borderId="54" xfId="0" applyNumberFormat="1" applyFont="1" applyBorder="1" applyAlignment="1">
      <alignment horizontal="right" wrapText="1"/>
    </xf>
    <xf numFmtId="3" fontId="0" fillId="0" borderId="78" xfId="0" applyNumberFormat="1" applyFont="1" applyFill="1" applyBorder="1" applyAlignment="1">
      <alignment horizontal="right"/>
    </xf>
    <xf numFmtId="3" fontId="13" fillId="0" borderId="17" xfId="0" applyNumberFormat="1" applyFont="1" applyBorder="1" applyAlignment="1">
      <alignment/>
    </xf>
    <xf numFmtId="0" fontId="13" fillId="0" borderId="17" xfId="0" applyFont="1" applyFill="1" applyBorder="1" applyAlignment="1">
      <alignment wrapText="1"/>
    </xf>
    <xf numFmtId="0" fontId="12" fillId="0" borderId="21" xfId="0" applyFont="1" applyBorder="1" applyAlignment="1">
      <alignment wrapText="1"/>
    </xf>
    <xf numFmtId="0" fontId="0" fillId="3" borderId="21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/>
    </xf>
    <xf numFmtId="0" fontId="38" fillId="0" borderId="0" xfId="0" applyFont="1" applyFill="1" applyAlignment="1">
      <alignment/>
    </xf>
    <xf numFmtId="0" fontId="42" fillId="0" borderId="0" xfId="0" applyFont="1" applyAlignment="1">
      <alignment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5" fillId="4" borderId="13" xfId="0" applyFont="1" applyFill="1" applyBorder="1" applyAlignment="1">
      <alignment/>
    </xf>
    <xf numFmtId="0" fontId="4" fillId="4" borderId="13" xfId="0" applyFont="1" applyFill="1" applyBorder="1" applyAlignment="1">
      <alignment horizontal="right" wrapText="1"/>
    </xf>
    <xf numFmtId="0" fontId="4" fillId="4" borderId="13" xfId="0" applyFont="1" applyFill="1" applyBorder="1" applyAlignment="1">
      <alignment wrapText="1"/>
    </xf>
    <xf numFmtId="0" fontId="4" fillId="4" borderId="13" xfId="0" applyFont="1" applyFill="1" applyBorder="1" applyAlignment="1">
      <alignment horizontal="center" wrapText="1"/>
    </xf>
    <xf numFmtId="3" fontId="4" fillId="4" borderId="13" xfId="0" applyNumberFormat="1" applyFont="1" applyFill="1" applyBorder="1" applyAlignment="1">
      <alignment horizontal="right"/>
    </xf>
    <xf numFmtId="0" fontId="35" fillId="0" borderId="0" xfId="0" applyFont="1" applyAlignment="1">
      <alignment vertical="center"/>
    </xf>
    <xf numFmtId="0" fontId="37" fillId="4" borderId="13" xfId="0" applyFont="1" applyFill="1" applyBorder="1" applyAlignment="1">
      <alignment/>
    </xf>
    <xf numFmtId="0" fontId="36" fillId="4" borderId="12" xfId="0" applyFont="1" applyFill="1" applyBorder="1" applyAlignment="1">
      <alignment horizontal="left" wrapText="1"/>
    </xf>
    <xf numFmtId="0" fontId="36" fillId="4" borderId="12" xfId="0" applyFont="1" applyFill="1" applyBorder="1" applyAlignment="1">
      <alignment wrapText="1"/>
    </xf>
    <xf numFmtId="0" fontId="36" fillId="4" borderId="12" xfId="0" applyFont="1" applyFill="1" applyBorder="1" applyAlignment="1">
      <alignment horizontal="center" wrapText="1"/>
    </xf>
    <xf numFmtId="3" fontId="36" fillId="4" borderId="12" xfId="0" applyNumberFormat="1" applyFont="1" applyFill="1" applyBorder="1" applyAlignment="1">
      <alignment horizontal="right"/>
    </xf>
    <xf numFmtId="0" fontId="37" fillId="0" borderId="0" xfId="0" applyFont="1" applyAlignment="1">
      <alignment vertical="center"/>
    </xf>
    <xf numFmtId="0" fontId="4" fillId="2" borderId="17" xfId="0" applyFont="1" applyFill="1" applyBorder="1" applyAlignment="1">
      <alignment/>
    </xf>
    <xf numFmtId="1" fontId="35" fillId="2" borderId="17" xfId="0" applyNumberFormat="1" applyFont="1" applyFill="1" applyBorder="1" applyAlignment="1">
      <alignment/>
    </xf>
    <xf numFmtId="3" fontId="4" fillId="2" borderId="17" xfId="0" applyNumberFormat="1" applyFont="1" applyFill="1" applyBorder="1" applyAlignment="1">
      <alignment wrapText="1"/>
    </xf>
    <xf numFmtId="3" fontId="4" fillId="2" borderId="17" xfId="0" applyNumberFormat="1" applyFont="1" applyFill="1" applyBorder="1" applyAlignment="1">
      <alignment horizontal="center" wrapText="1"/>
    </xf>
    <xf numFmtId="3" fontId="4" fillId="2" borderId="17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1" fontId="4" fillId="0" borderId="17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3" fontId="4" fillId="0" borderId="17" xfId="0" applyNumberFormat="1" applyFont="1" applyBorder="1" applyAlignment="1">
      <alignment/>
    </xf>
    <xf numFmtId="1" fontId="35" fillId="0" borderId="13" xfId="0" applyNumberFormat="1" applyFont="1" applyBorder="1" applyAlignment="1">
      <alignment/>
    </xf>
    <xf numFmtId="0" fontId="35" fillId="0" borderId="79" xfId="0" applyFont="1" applyBorder="1" applyAlignment="1">
      <alignment horizontal="left" wrapText="1"/>
    </xf>
    <xf numFmtId="0" fontId="35" fillId="0" borderId="79" xfId="0" applyFont="1" applyBorder="1" applyAlignment="1">
      <alignment horizontal="center" wrapText="1"/>
    </xf>
    <xf numFmtId="0" fontId="35" fillId="0" borderId="79" xfId="0" applyFont="1" applyBorder="1" applyAlignment="1">
      <alignment wrapText="1"/>
    </xf>
    <xf numFmtId="3" fontId="35" fillId="0" borderId="79" xfId="0" applyNumberFormat="1" applyFont="1" applyBorder="1" applyAlignment="1">
      <alignment horizontal="right" wrapText="1"/>
    </xf>
    <xf numFmtId="3" fontId="35" fillId="0" borderId="79" xfId="0" applyNumberFormat="1" applyFont="1" applyBorder="1" applyAlignment="1">
      <alignment/>
    </xf>
    <xf numFmtId="0" fontId="37" fillId="4" borderId="31" xfId="0" applyFont="1" applyFill="1" applyBorder="1" applyAlignment="1">
      <alignment/>
    </xf>
    <xf numFmtId="0" fontId="36" fillId="4" borderId="41" xfId="0" applyFont="1" applyFill="1" applyBorder="1" applyAlignment="1">
      <alignment horizontal="left" wrapText="1"/>
    </xf>
    <xf numFmtId="0" fontId="36" fillId="4" borderId="41" xfId="0" applyFont="1" applyFill="1" applyBorder="1" applyAlignment="1">
      <alignment wrapText="1"/>
    </xf>
    <xf numFmtId="0" fontId="36" fillId="4" borderId="41" xfId="0" applyFont="1" applyFill="1" applyBorder="1" applyAlignment="1">
      <alignment horizontal="center" wrapText="1"/>
    </xf>
    <xf numFmtId="3" fontId="36" fillId="4" borderId="41" xfId="0" applyNumberFormat="1" applyFont="1" applyFill="1" applyBorder="1" applyAlignment="1">
      <alignment horizontal="right"/>
    </xf>
    <xf numFmtId="3" fontId="36" fillId="4" borderId="13" xfId="0" applyNumberFormat="1" applyFont="1" applyFill="1" applyBorder="1" applyAlignment="1">
      <alignment horizontal="right"/>
    </xf>
    <xf numFmtId="3" fontId="6" fillId="4" borderId="16" xfId="15" applyNumberFormat="1" applyFont="1" applyFill="1" applyBorder="1" applyAlignment="1">
      <alignment horizontal="right"/>
    </xf>
    <xf numFmtId="3" fontId="0" fillId="4" borderId="109" xfId="0" applyNumberFormat="1" applyFont="1" applyFill="1" applyBorder="1" applyAlignment="1">
      <alignment horizontal="left" vertical="center" wrapText="1"/>
    </xf>
    <xf numFmtId="3" fontId="0" fillId="4" borderId="24" xfId="0" applyNumberFormat="1" applyFont="1" applyFill="1" applyBorder="1" applyAlignment="1">
      <alignment/>
    </xf>
    <xf numFmtId="3" fontId="0" fillId="4" borderId="24" xfId="15" applyNumberFormat="1" applyFont="1" applyFill="1" applyBorder="1" applyAlignment="1">
      <alignment horizontal="right"/>
    </xf>
    <xf numFmtId="3" fontId="13" fillId="4" borderId="111" xfId="15" applyNumberFormat="1" applyFont="1" applyFill="1" applyBorder="1" applyAlignment="1">
      <alignment horizontal="right"/>
    </xf>
    <xf numFmtId="3" fontId="13" fillId="4" borderId="95" xfId="15" applyNumberFormat="1" applyFont="1" applyFill="1" applyBorder="1" applyAlignment="1">
      <alignment horizontal="right"/>
    </xf>
    <xf numFmtId="0" fontId="5" fillId="2" borderId="53" xfId="0" applyFont="1" applyFill="1" applyBorder="1" applyAlignment="1">
      <alignment wrapText="1"/>
    </xf>
    <xf numFmtId="3" fontId="5" fillId="2" borderId="17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13" fillId="2" borderId="15" xfId="0" applyFont="1" applyFill="1" applyBorder="1" applyAlignment="1">
      <alignment horizontal="right"/>
    </xf>
    <xf numFmtId="0" fontId="13" fillId="2" borderId="27" xfId="0" applyFont="1" applyFill="1" applyBorder="1" applyAlignment="1">
      <alignment/>
    </xf>
    <xf numFmtId="3" fontId="0" fillId="4" borderId="41" xfId="0" applyNumberFormat="1" applyFont="1" applyFill="1" applyBorder="1" applyAlignment="1">
      <alignment horizontal="left" vertical="center" wrapText="1"/>
    </xf>
    <xf numFmtId="3" fontId="24" fillId="0" borderId="14" xfId="18" applyNumberFormat="1" applyFont="1" applyFill="1" applyBorder="1" applyAlignment="1">
      <alignment/>
      <protection/>
    </xf>
    <xf numFmtId="3" fontId="24" fillId="0" borderId="14" xfId="18" applyNumberFormat="1" applyFont="1" applyFill="1" applyBorder="1" applyAlignment="1">
      <alignment horizontal="center"/>
      <protection/>
    </xf>
    <xf numFmtId="3" fontId="24" fillId="0" borderId="14" xfId="18" applyNumberFormat="1" applyFont="1" applyFill="1" applyBorder="1" applyAlignment="1">
      <alignment horizontal="right"/>
      <protection/>
    </xf>
    <xf numFmtId="3" fontId="24" fillId="0" borderId="13" xfId="18" applyNumberFormat="1" applyFont="1" applyFill="1" applyBorder="1" applyAlignment="1">
      <alignment horizontal="right"/>
      <protection/>
    </xf>
    <xf numFmtId="3" fontId="12" fillId="0" borderId="112" xfId="0" applyNumberFormat="1" applyFont="1" applyFill="1" applyBorder="1" applyAlignment="1">
      <alignment horizontal="right"/>
    </xf>
    <xf numFmtId="3" fontId="12" fillId="0" borderId="25" xfId="0" applyNumberFormat="1" applyFont="1" applyBorder="1" applyAlignment="1">
      <alignment/>
    </xf>
    <xf numFmtId="0" fontId="12" fillId="0" borderId="113" xfId="0" applyFont="1" applyBorder="1" applyAlignment="1">
      <alignment/>
    </xf>
    <xf numFmtId="3" fontId="0" fillId="0" borderId="22" xfId="0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right" wrapText="1"/>
    </xf>
    <xf numFmtId="0" fontId="0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13" fillId="4" borderId="114" xfId="0" applyNumberFormat="1" applyFont="1" applyFill="1" applyBorder="1" applyAlignment="1">
      <alignment/>
    </xf>
    <xf numFmtId="3" fontId="13" fillId="4" borderId="115" xfId="0" applyNumberFormat="1" applyFont="1" applyFill="1" applyBorder="1" applyAlignment="1">
      <alignment horizontal="left" vertical="center"/>
    </xf>
    <xf numFmtId="3" fontId="13" fillId="4" borderId="52" xfId="0" applyNumberFormat="1" applyFont="1" applyFill="1" applyBorder="1" applyAlignment="1">
      <alignment horizontal="right"/>
    </xf>
    <xf numFmtId="3" fontId="13" fillId="4" borderId="52" xfId="15" applyNumberFormat="1" applyFont="1" applyFill="1" applyBorder="1" applyAlignment="1">
      <alignment horizontal="right"/>
    </xf>
    <xf numFmtId="0" fontId="6" fillId="0" borderId="32" xfId="18" applyFont="1" applyFill="1" applyBorder="1" applyAlignment="1">
      <alignment horizontal="left" wrapText="1"/>
      <protection/>
    </xf>
    <xf numFmtId="3" fontId="28" fillId="0" borderId="32" xfId="18" applyNumberFormat="1" applyFont="1" applyFill="1" applyBorder="1" applyAlignment="1">
      <alignment horizontal="right" wrapText="1"/>
      <protection/>
    </xf>
    <xf numFmtId="0" fontId="0" fillId="0" borderId="13" xfId="0" applyFont="1" applyFill="1" applyBorder="1" applyAlignment="1">
      <alignment wrapText="1"/>
    </xf>
    <xf numFmtId="3" fontId="25" fillId="0" borderId="104" xfId="18" applyNumberFormat="1" applyFont="1" applyFill="1" applyBorder="1" applyAlignment="1">
      <alignment/>
      <protection/>
    </xf>
    <xf numFmtId="3" fontId="24" fillId="0" borderId="25" xfId="18" applyNumberFormat="1" applyFont="1" applyFill="1" applyBorder="1" applyAlignment="1">
      <alignment horizontal="right"/>
      <protection/>
    </xf>
    <xf numFmtId="3" fontId="25" fillId="0" borderId="22" xfId="18" applyNumberFormat="1" applyFont="1" applyFill="1" applyBorder="1" applyAlignment="1">
      <alignment/>
      <protection/>
    </xf>
    <xf numFmtId="3" fontId="25" fillId="0" borderId="22" xfId="18" applyNumberFormat="1" applyFont="1" applyFill="1" applyBorder="1" applyAlignment="1">
      <alignment horizontal="center"/>
      <protection/>
    </xf>
    <xf numFmtId="3" fontId="25" fillId="0" borderId="22" xfId="18" applyNumberFormat="1" applyFont="1" applyFill="1" applyBorder="1" applyAlignment="1">
      <alignment horizontal="right"/>
      <protection/>
    </xf>
    <xf numFmtId="3" fontId="24" fillId="0" borderId="116" xfId="18" applyNumberFormat="1" applyFont="1" applyFill="1" applyBorder="1" applyAlignment="1">
      <alignment/>
      <protection/>
    </xf>
    <xf numFmtId="3" fontId="24" fillId="0" borderId="117" xfId="18" applyNumberFormat="1" applyFont="1" applyFill="1" applyBorder="1" applyAlignment="1">
      <alignment/>
      <protection/>
    </xf>
    <xf numFmtId="3" fontId="24" fillId="0" borderId="117" xfId="18" applyNumberFormat="1" applyFont="1" applyFill="1" applyBorder="1" applyAlignment="1">
      <alignment horizontal="right"/>
      <protection/>
    </xf>
    <xf numFmtId="3" fontId="24" fillId="0" borderId="116" xfId="18" applyNumberFormat="1" applyFont="1" applyFill="1" applyBorder="1" applyAlignment="1">
      <alignment horizontal="right"/>
      <protection/>
    </xf>
    <xf numFmtId="3" fontId="12" fillId="4" borderId="112" xfId="0" applyNumberFormat="1" applyFont="1" applyFill="1" applyBorder="1" applyAlignment="1">
      <alignment/>
    </xf>
    <xf numFmtId="3" fontId="12" fillId="4" borderId="17" xfId="0" applyNumberFormat="1" applyFont="1" applyFill="1" applyBorder="1" applyAlignment="1">
      <alignment/>
    </xf>
    <xf numFmtId="0" fontId="12" fillId="0" borderId="113" xfId="0" applyFont="1" applyFill="1" applyBorder="1" applyAlignment="1">
      <alignment wrapText="1"/>
    </xf>
    <xf numFmtId="3" fontId="12" fillId="0" borderId="113" xfId="0" applyNumberFormat="1" applyFont="1" applyFill="1" applyBorder="1" applyAlignment="1">
      <alignment horizontal="right" wrapText="1"/>
    </xf>
    <xf numFmtId="0" fontId="0" fillId="0" borderId="13" xfId="0" applyFont="1" applyBorder="1" applyAlignment="1">
      <alignment/>
    </xf>
    <xf numFmtId="0" fontId="0" fillId="0" borderId="84" xfId="0" applyFont="1" applyBorder="1" applyAlignment="1">
      <alignment/>
    </xf>
    <xf numFmtId="3" fontId="0" fillId="0" borderId="13" xfId="0" applyNumberFormat="1" applyFont="1" applyFill="1" applyBorder="1" applyAlignment="1">
      <alignment wrapText="1"/>
    </xf>
    <xf numFmtId="0" fontId="0" fillId="0" borderId="118" xfId="0" applyFont="1" applyBorder="1" applyAlignment="1">
      <alignment/>
    </xf>
    <xf numFmtId="0" fontId="13" fillId="3" borderId="13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vertical="top"/>
    </xf>
    <xf numFmtId="0" fontId="13" fillId="0" borderId="15" xfId="0" applyFont="1" applyBorder="1" applyAlignment="1">
      <alignment wrapText="1"/>
    </xf>
    <xf numFmtId="0" fontId="13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0" xfId="0" applyNumberFormat="1" applyFont="1" applyFill="1" applyAlignment="1">
      <alignment/>
    </xf>
    <xf numFmtId="0" fontId="0" fillId="0" borderId="84" xfId="0" applyFont="1" applyBorder="1" applyAlignment="1">
      <alignment/>
    </xf>
    <xf numFmtId="3" fontId="0" fillId="0" borderId="84" xfId="0" applyNumberFormat="1" applyFont="1" applyFill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119" xfId="0" applyFont="1" applyBorder="1" applyAlignment="1">
      <alignment/>
    </xf>
    <xf numFmtId="3" fontId="0" fillId="0" borderId="119" xfId="0" applyNumberFormat="1" applyFont="1" applyFill="1" applyBorder="1" applyAlignment="1">
      <alignment horizontal="right"/>
    </xf>
    <xf numFmtId="0" fontId="12" fillId="0" borderId="25" xfId="0" applyFont="1" applyBorder="1" applyAlignment="1">
      <alignment/>
    </xf>
    <xf numFmtId="3" fontId="12" fillId="0" borderId="25" xfId="0" applyNumberFormat="1" applyFont="1" applyBorder="1" applyAlignment="1">
      <alignment horizontal="right" wrapText="1"/>
    </xf>
    <xf numFmtId="0" fontId="12" fillId="0" borderId="101" xfId="0" applyFont="1" applyBorder="1" applyAlignment="1">
      <alignment/>
    </xf>
    <xf numFmtId="3" fontId="12" fillId="0" borderId="101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3" borderId="13" xfId="0" applyFont="1" applyFill="1" applyBorder="1" applyAlignment="1">
      <alignment/>
    </xf>
    <xf numFmtId="0" fontId="13" fillId="3" borderId="17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0" fillId="0" borderId="24" xfId="0" applyFont="1" applyBorder="1" applyAlignment="1">
      <alignment wrapText="1"/>
    </xf>
    <xf numFmtId="3" fontId="0" fillId="0" borderId="24" xfId="0" applyNumberFormat="1" applyFont="1" applyBorder="1" applyAlignment="1">
      <alignment horizontal="right" wrapText="1"/>
    </xf>
    <xf numFmtId="0" fontId="12" fillId="0" borderId="112" xfId="0" applyFont="1" applyBorder="1" applyAlignment="1">
      <alignment wrapText="1"/>
    </xf>
    <xf numFmtId="3" fontId="12" fillId="0" borderId="112" xfId="0" applyNumberFormat="1" applyFont="1" applyBorder="1" applyAlignment="1">
      <alignment horizontal="right" wrapText="1"/>
    </xf>
    <xf numFmtId="0" fontId="12" fillId="0" borderId="17" xfId="0" applyFont="1" applyBorder="1" applyAlignment="1">
      <alignment/>
    </xf>
    <xf numFmtId="0" fontId="12" fillId="0" borderId="17" xfId="0" applyFont="1" applyFill="1" applyBorder="1" applyAlignment="1">
      <alignment wrapText="1"/>
    </xf>
    <xf numFmtId="3" fontId="12" fillId="0" borderId="17" xfId="0" applyNumberFormat="1" applyFont="1" applyFill="1" applyBorder="1" applyAlignment="1">
      <alignment horizontal="right" wrapText="1"/>
    </xf>
    <xf numFmtId="0" fontId="0" fillId="0" borderId="33" xfId="0" applyFont="1" applyBorder="1" applyAlignment="1">
      <alignment horizontal="left" wrapText="1"/>
    </xf>
    <xf numFmtId="0" fontId="12" fillId="0" borderId="27" xfId="0" applyFont="1" applyBorder="1" applyAlignment="1">
      <alignment wrapText="1"/>
    </xf>
    <xf numFmtId="0" fontId="11" fillId="0" borderId="24" xfId="0" applyFont="1" applyFill="1" applyBorder="1" applyAlignment="1">
      <alignment/>
    </xf>
    <xf numFmtId="0" fontId="37" fillId="0" borderId="0" xfId="0" applyFont="1" applyFill="1" applyAlignment="1">
      <alignment/>
    </xf>
    <xf numFmtId="3" fontId="12" fillId="0" borderId="17" xfId="0" applyNumberFormat="1" applyFont="1" applyFill="1" applyBorder="1" applyAlignment="1">
      <alignment/>
    </xf>
    <xf numFmtId="3" fontId="12" fillId="0" borderId="17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3" fillId="5" borderId="15" xfId="0" applyFont="1" applyFill="1" applyBorder="1" applyAlignment="1">
      <alignment/>
    </xf>
    <xf numFmtId="0" fontId="0" fillId="4" borderId="25" xfId="0" applyFont="1" applyFill="1" applyBorder="1" applyAlignment="1">
      <alignment horizontal="left"/>
    </xf>
    <xf numFmtId="0" fontId="12" fillId="4" borderId="25" xfId="0" applyFont="1" applyFill="1" applyBorder="1" applyAlignment="1">
      <alignment/>
    </xf>
    <xf numFmtId="3" fontId="12" fillId="4" borderId="25" xfId="0" applyNumberFormat="1" applyFont="1" applyFill="1" applyBorder="1" applyAlignment="1">
      <alignment/>
    </xf>
    <xf numFmtId="3" fontId="12" fillId="0" borderId="13" xfId="0" applyNumberFormat="1" applyFont="1" applyBorder="1" applyAlignment="1">
      <alignment horizontal="right"/>
    </xf>
    <xf numFmtId="3" fontId="12" fillId="4" borderId="13" xfId="0" applyNumberFormat="1" applyFont="1" applyFill="1" applyBorder="1" applyAlignment="1">
      <alignment/>
    </xf>
    <xf numFmtId="0" fontId="12" fillId="0" borderId="101" xfId="0" applyFont="1" applyBorder="1" applyAlignment="1">
      <alignment wrapText="1"/>
    </xf>
    <xf numFmtId="0" fontId="26" fillId="0" borderId="120" xfId="0" applyFont="1" applyBorder="1" applyAlignment="1">
      <alignment horizontal="left" wrapText="1"/>
    </xf>
    <xf numFmtId="0" fontId="12" fillId="0" borderId="120" xfId="0" applyFont="1" applyBorder="1" applyAlignment="1">
      <alignment/>
    </xf>
    <xf numFmtId="3" fontId="12" fillId="0" borderId="120" xfId="0" applyNumberFormat="1" applyFont="1" applyBorder="1" applyAlignment="1">
      <alignment horizontal="right"/>
    </xf>
    <xf numFmtId="0" fontId="12" fillId="0" borderId="121" xfId="0" applyFont="1" applyBorder="1" applyAlignment="1">
      <alignment wrapText="1"/>
    </xf>
    <xf numFmtId="0" fontId="12" fillId="0" borderId="101" xfId="0" applyFont="1" applyBorder="1" applyAlignment="1">
      <alignment/>
    </xf>
    <xf numFmtId="3" fontId="12" fillId="0" borderId="101" xfId="0" applyNumberFormat="1" applyFont="1" applyBorder="1" applyAlignment="1">
      <alignment horizontal="right"/>
    </xf>
    <xf numFmtId="0" fontId="12" fillId="0" borderId="120" xfId="0" applyFont="1" applyFill="1" applyBorder="1" applyAlignment="1">
      <alignment wrapText="1"/>
    </xf>
    <xf numFmtId="0" fontId="12" fillId="0" borderId="55" xfId="0" applyFont="1" applyFill="1" applyBorder="1" applyAlignment="1">
      <alignment wrapText="1"/>
    </xf>
    <xf numFmtId="0" fontId="12" fillId="0" borderId="121" xfId="0" applyFont="1" applyFill="1" applyBorder="1" applyAlignment="1">
      <alignment wrapText="1"/>
    </xf>
    <xf numFmtId="0" fontId="25" fillId="0" borderId="55" xfId="0" applyFont="1" applyFill="1" applyBorder="1" applyAlignment="1">
      <alignment wrapText="1"/>
    </xf>
    <xf numFmtId="0" fontId="26" fillId="0" borderId="55" xfId="0" applyFont="1" applyFill="1" applyBorder="1" applyAlignment="1">
      <alignment horizontal="left" wrapText="1"/>
    </xf>
    <xf numFmtId="0" fontId="26" fillId="0" borderId="120" xfId="0" applyFont="1" applyFill="1" applyBorder="1" applyAlignment="1">
      <alignment horizontal="left" wrapText="1"/>
    </xf>
    <xf numFmtId="3" fontId="12" fillId="3" borderId="15" xfId="0" applyNumberFormat="1" applyFont="1" applyFill="1" applyBorder="1" applyAlignment="1">
      <alignment horizontal="right"/>
    </xf>
    <xf numFmtId="0" fontId="0" fillId="3" borderId="15" xfId="0" applyFont="1" applyFill="1" applyBorder="1" applyAlignment="1">
      <alignment/>
    </xf>
    <xf numFmtId="0" fontId="0" fillId="3" borderId="15" xfId="0" applyFont="1" applyFill="1" applyBorder="1" applyAlignment="1">
      <alignment horizontal="left" wrapText="1"/>
    </xf>
    <xf numFmtId="3" fontId="0" fillId="3" borderId="15" xfId="0" applyNumberFormat="1" applyFont="1" applyFill="1" applyBorder="1" applyAlignment="1">
      <alignment horizontal="right" wrapText="1"/>
    </xf>
    <xf numFmtId="0" fontId="12" fillId="3" borderId="23" xfId="0" applyFont="1" applyFill="1" applyBorder="1" applyAlignment="1">
      <alignment/>
    </xf>
    <xf numFmtId="0" fontId="18" fillId="0" borderId="16" xfId="0" applyFont="1" applyBorder="1" applyAlignment="1">
      <alignment/>
    </xf>
    <xf numFmtId="0" fontId="12" fillId="0" borderId="112" xfId="0" applyFont="1" applyFill="1" applyBorder="1" applyAlignment="1">
      <alignment wrapText="1"/>
    </xf>
    <xf numFmtId="0" fontId="25" fillId="0" borderId="55" xfId="0" applyFont="1" applyBorder="1" applyAlignment="1">
      <alignment wrapText="1"/>
    </xf>
    <xf numFmtId="3" fontId="12" fillId="0" borderId="55" xfId="0" applyNumberFormat="1" applyFont="1" applyFill="1" applyBorder="1" applyAlignment="1">
      <alignment wrapText="1"/>
    </xf>
    <xf numFmtId="3" fontId="0" fillId="4" borderId="13" xfId="15" applyNumberFormat="1" applyFont="1" applyFill="1" applyBorder="1" applyAlignment="1">
      <alignment horizontal="right"/>
    </xf>
    <xf numFmtId="3" fontId="0" fillId="6" borderId="71" xfId="0" applyNumberFormat="1" applyFont="1" applyFill="1" applyBorder="1" applyAlignment="1">
      <alignment horizontal="left" vertical="center" wrapText="1"/>
    </xf>
    <xf numFmtId="3" fontId="0" fillId="4" borderId="41" xfId="0" applyNumberFormat="1" applyFont="1" applyFill="1" applyBorder="1" applyAlignment="1">
      <alignment/>
    </xf>
    <xf numFmtId="3" fontId="0" fillId="4" borderId="42" xfId="0" applyNumberFormat="1" applyFont="1" applyFill="1" applyBorder="1" applyAlignment="1">
      <alignment/>
    </xf>
    <xf numFmtId="3" fontId="0" fillId="4" borderId="41" xfId="15" applyNumberFormat="1" applyFont="1" applyFill="1" applyBorder="1" applyAlignment="1">
      <alignment horizontal="right"/>
    </xf>
    <xf numFmtId="3" fontId="0" fillId="4" borderId="13" xfId="15" applyNumberFormat="1" applyFont="1" applyFill="1" applyBorder="1" applyAlignment="1">
      <alignment horizontal="right"/>
    </xf>
    <xf numFmtId="3" fontId="0" fillId="4" borderId="23" xfId="15" applyNumberFormat="1" applyFont="1" applyFill="1" applyBorder="1" applyAlignment="1">
      <alignment horizontal="right"/>
    </xf>
    <xf numFmtId="0" fontId="12" fillId="0" borderId="112" xfId="0" applyFont="1" applyBorder="1" applyAlignment="1">
      <alignment wrapText="1"/>
    </xf>
    <xf numFmtId="3" fontId="0" fillId="4" borderId="122" xfId="0" applyNumberFormat="1" applyFont="1" applyFill="1" applyBorder="1" applyAlignment="1">
      <alignment horizontal="left" vertical="center" wrapText="1"/>
    </xf>
    <xf numFmtId="3" fontId="0" fillId="4" borderId="0" xfId="0" applyNumberFormat="1" applyFont="1" applyFill="1" applyBorder="1" applyAlignment="1">
      <alignment/>
    </xf>
    <xf numFmtId="0" fontId="12" fillId="0" borderId="54" xfId="0" applyFont="1" applyBorder="1" applyAlignment="1">
      <alignment/>
    </xf>
    <xf numFmtId="3" fontId="0" fillId="0" borderId="24" xfId="0" applyNumberFormat="1" applyFont="1" applyBorder="1" applyAlignment="1">
      <alignment horizontal="right"/>
    </xf>
    <xf numFmtId="0" fontId="3" fillId="0" borderId="24" xfId="0" applyFont="1" applyFill="1" applyBorder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6" fillId="0" borderId="15" xfId="0" applyNumberFormat="1" applyFont="1" applyBorder="1" applyAlignment="1">
      <alignment wrapText="1"/>
    </xf>
    <xf numFmtId="3" fontId="8" fillId="0" borderId="24" xfId="0" applyNumberFormat="1" applyFont="1" applyBorder="1" applyAlignment="1">
      <alignment wrapText="1"/>
    </xf>
    <xf numFmtId="3" fontId="12" fillId="0" borderId="13" xfId="0" applyNumberFormat="1" applyFont="1" applyBorder="1" applyAlignment="1">
      <alignment/>
    </xf>
    <xf numFmtId="0" fontId="12" fillId="0" borderId="17" xfId="0" applyFont="1" applyFill="1" applyBorder="1" applyAlignment="1">
      <alignment/>
    </xf>
    <xf numFmtId="0" fontId="12" fillId="3" borderId="17" xfId="0" applyFont="1" applyFill="1" applyBorder="1" applyAlignment="1">
      <alignment wrapText="1"/>
    </xf>
    <xf numFmtId="0" fontId="0" fillId="3" borderId="77" xfId="0" applyFont="1" applyFill="1" applyBorder="1" applyAlignment="1">
      <alignment/>
    </xf>
    <xf numFmtId="0" fontId="13" fillId="4" borderId="13" xfId="0" applyFont="1" applyFill="1" applyBorder="1" applyAlignment="1">
      <alignment/>
    </xf>
    <xf numFmtId="0" fontId="0" fillId="3" borderId="78" xfId="0" applyFont="1" applyFill="1" applyBorder="1" applyAlignment="1">
      <alignment/>
    </xf>
    <xf numFmtId="3" fontId="0" fillId="4" borderId="13" xfId="0" applyNumberFormat="1" applyFont="1" applyFill="1" applyBorder="1" applyAlignment="1">
      <alignment/>
    </xf>
    <xf numFmtId="3" fontId="0" fillId="0" borderId="77" xfId="0" applyNumberFormat="1" applyFont="1" applyFill="1" applyBorder="1" applyAlignment="1">
      <alignment horizontal="right"/>
    </xf>
    <xf numFmtId="0" fontId="12" fillId="3" borderId="15" xfId="0" applyFont="1" applyFill="1" applyBorder="1" applyAlignment="1">
      <alignment wrapText="1"/>
    </xf>
    <xf numFmtId="0" fontId="12" fillId="0" borderId="13" xfId="0" applyFont="1" applyBorder="1" applyAlignment="1">
      <alignment wrapText="1"/>
    </xf>
    <xf numFmtId="3" fontId="12" fillId="4" borderId="15" xfId="0" applyNumberFormat="1" applyFont="1" applyFill="1" applyBorder="1" applyAlignment="1">
      <alignment/>
    </xf>
    <xf numFmtId="0" fontId="12" fillId="3" borderId="55" xfId="0" applyFont="1" applyFill="1" applyBorder="1" applyAlignment="1">
      <alignment wrapText="1"/>
    </xf>
    <xf numFmtId="3" fontId="12" fillId="0" borderId="15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3" fontId="0" fillId="0" borderId="1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right" wrapText="1"/>
    </xf>
    <xf numFmtId="0" fontId="12" fillId="0" borderId="54" xfId="0" applyFont="1" applyFill="1" applyBorder="1" applyAlignment="1">
      <alignment wrapText="1"/>
    </xf>
    <xf numFmtId="3" fontId="12" fillId="0" borderId="112" xfId="0" applyNumberFormat="1" applyFont="1" applyFill="1" applyBorder="1" applyAlignment="1">
      <alignment horizontal="right"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3" borderId="23" xfId="0" applyFont="1" applyFill="1" applyBorder="1" applyAlignment="1">
      <alignment/>
    </xf>
    <xf numFmtId="3" fontId="12" fillId="0" borderId="24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 wrapText="1"/>
    </xf>
    <xf numFmtId="0" fontId="15" fillId="0" borderId="31" xfId="0" applyFont="1" applyBorder="1" applyAlignment="1">
      <alignment/>
    </xf>
    <xf numFmtId="3" fontId="15" fillId="0" borderId="31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0" fontId="0" fillId="0" borderId="25" xfId="0" applyFont="1" applyBorder="1" applyAlignment="1">
      <alignment wrapText="1"/>
    </xf>
    <xf numFmtId="3" fontId="24" fillId="0" borderId="51" xfId="18" applyNumberFormat="1" applyFont="1" applyFill="1" applyBorder="1" applyAlignment="1">
      <alignment/>
      <protection/>
    </xf>
    <xf numFmtId="3" fontId="12" fillId="0" borderId="24" xfId="0" applyNumberFormat="1" applyFont="1" applyBorder="1" applyAlignment="1">
      <alignment horizontal="right"/>
    </xf>
    <xf numFmtId="3" fontId="12" fillId="0" borderId="112" xfId="0" applyNumberFormat="1" applyFont="1" applyBorder="1" applyAlignment="1">
      <alignment horizontal="right"/>
    </xf>
    <xf numFmtId="0" fontId="12" fillId="0" borderId="101" xfId="0" applyFont="1" applyFill="1" applyBorder="1" applyAlignment="1">
      <alignment wrapText="1"/>
    </xf>
    <xf numFmtId="3" fontId="12" fillId="0" borderId="24" xfId="0" applyNumberFormat="1" applyFont="1" applyBorder="1" applyAlignment="1">
      <alignment horizontal="right"/>
    </xf>
    <xf numFmtId="0" fontId="12" fillId="0" borderId="17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7" xfId="0" applyFont="1" applyBorder="1" applyAlignment="1">
      <alignment wrapText="1"/>
    </xf>
    <xf numFmtId="0" fontId="0" fillId="3" borderId="24" xfId="0" applyFont="1" applyFill="1" applyBorder="1" applyAlignment="1">
      <alignment/>
    </xf>
    <xf numFmtId="0" fontId="12" fillId="3" borderId="15" xfId="0" applyFont="1" applyFill="1" applyBorder="1" applyAlignment="1">
      <alignment wrapText="1"/>
    </xf>
    <xf numFmtId="3" fontId="0" fillId="0" borderId="29" xfId="0" applyNumberFormat="1" applyFont="1" applyBorder="1" applyAlignment="1">
      <alignment wrapText="1"/>
    </xf>
    <xf numFmtId="3" fontId="0" fillId="0" borderId="82" xfId="0" applyNumberFormat="1" applyFont="1" applyBorder="1" applyAlignment="1">
      <alignment wrapText="1"/>
    </xf>
    <xf numFmtId="3" fontId="0" fillId="0" borderId="83" xfId="0" applyNumberFormat="1" applyFont="1" applyBorder="1" applyAlignment="1">
      <alignment wrapText="1"/>
    </xf>
    <xf numFmtId="3" fontId="0" fillId="0" borderId="17" xfId="0" applyNumberFormat="1" applyFont="1" applyBorder="1" applyAlignment="1">
      <alignment wrapText="1"/>
    </xf>
    <xf numFmtId="3" fontId="0" fillId="0" borderId="53" xfId="0" applyNumberFormat="1" applyFont="1" applyBorder="1" applyAlignment="1">
      <alignment wrapText="1"/>
    </xf>
    <xf numFmtId="0" fontId="3" fillId="3" borderId="17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3" fontId="15" fillId="0" borderId="13" xfId="0" applyNumberFormat="1" applyFont="1" applyFill="1" applyBorder="1" applyAlignment="1">
      <alignment horizontal="right"/>
    </xf>
    <xf numFmtId="3" fontId="13" fillId="2" borderId="66" xfId="0" applyNumberFormat="1" applyFont="1" applyFill="1" applyBorder="1" applyAlignment="1">
      <alignment horizontal="right" wrapText="1"/>
    </xf>
    <xf numFmtId="0" fontId="13" fillId="2" borderId="34" xfId="0" applyFont="1" applyFill="1" applyBorder="1" applyAlignment="1">
      <alignment wrapText="1"/>
    </xf>
    <xf numFmtId="0" fontId="0" fillId="0" borderId="41" xfId="0" applyFont="1" applyFill="1" applyBorder="1" applyAlignment="1">
      <alignment wrapText="1"/>
    </xf>
    <xf numFmtId="3" fontId="24" fillId="0" borderId="45" xfId="18" applyNumberFormat="1" applyFont="1" applyFill="1" applyBorder="1" applyAlignment="1">
      <alignment/>
      <protection/>
    </xf>
    <xf numFmtId="3" fontId="24" fillId="0" borderId="45" xfId="18" applyNumberFormat="1" applyFont="1" applyFill="1" applyBorder="1" applyAlignment="1">
      <alignment horizontal="center"/>
      <protection/>
    </xf>
    <xf numFmtId="3" fontId="24" fillId="0" borderId="45" xfId="18" applyNumberFormat="1" applyFont="1" applyFill="1" applyBorder="1" applyAlignment="1">
      <alignment horizontal="right"/>
      <protection/>
    </xf>
    <xf numFmtId="3" fontId="24" fillId="0" borderId="41" xfId="18" applyNumberFormat="1" applyFont="1" applyFill="1" applyBorder="1" applyAlignment="1">
      <alignment horizontal="right"/>
      <protection/>
    </xf>
    <xf numFmtId="0" fontId="0" fillId="0" borderId="112" xfId="0" applyFont="1" applyBorder="1" applyAlignment="1">
      <alignment/>
    </xf>
    <xf numFmtId="0" fontId="12" fillId="3" borderId="25" xfId="0" applyFont="1" applyFill="1" applyBorder="1" applyAlignment="1">
      <alignment wrapText="1"/>
    </xf>
    <xf numFmtId="0" fontId="12" fillId="0" borderId="25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right" wrapText="1"/>
    </xf>
    <xf numFmtId="0" fontId="12" fillId="0" borderId="13" xfId="0" applyFont="1" applyBorder="1" applyAlignment="1">
      <alignment wrapText="1"/>
    </xf>
    <xf numFmtId="3" fontId="12" fillId="0" borderId="13" xfId="0" applyNumberFormat="1" applyFont="1" applyFill="1" applyBorder="1" applyAlignment="1">
      <alignment horizontal="right" wrapText="1"/>
    </xf>
    <xf numFmtId="0" fontId="12" fillId="0" borderId="17" xfId="0" applyFont="1" applyBorder="1" applyAlignment="1">
      <alignment wrapText="1"/>
    </xf>
    <xf numFmtId="0" fontId="13" fillId="0" borderId="27" xfId="0" applyFont="1" applyBorder="1" applyAlignment="1">
      <alignment wrapText="1"/>
    </xf>
    <xf numFmtId="3" fontId="13" fillId="2" borderId="15" xfId="0" applyNumberFormat="1" applyFont="1" applyFill="1" applyBorder="1" applyAlignment="1">
      <alignment horizontal="right" wrapText="1"/>
    </xf>
    <xf numFmtId="3" fontId="0" fillId="0" borderId="22" xfId="0" applyNumberFormat="1" applyFont="1" applyBorder="1" applyAlignment="1">
      <alignment wrapText="1"/>
    </xf>
    <xf numFmtId="0" fontId="13" fillId="3" borderId="27" xfId="0" applyFont="1" applyFill="1" applyBorder="1" applyAlignment="1">
      <alignment wrapText="1"/>
    </xf>
    <xf numFmtId="0" fontId="15" fillId="0" borderId="13" xfId="0" applyFont="1" applyBorder="1" applyAlignment="1">
      <alignment wrapText="1"/>
    </xf>
    <xf numFmtId="3" fontId="15" fillId="0" borderId="13" xfId="0" applyNumberFormat="1" applyFont="1" applyBorder="1" applyAlignment="1">
      <alignment wrapText="1"/>
    </xf>
    <xf numFmtId="3" fontId="13" fillId="2" borderId="34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3" fontId="30" fillId="0" borderId="17" xfId="0" applyNumberFormat="1" applyFont="1" applyFill="1" applyBorder="1" applyAlignment="1">
      <alignment/>
    </xf>
    <xf numFmtId="0" fontId="0" fillId="0" borderId="24" xfId="0" applyFont="1" applyFill="1" applyBorder="1" applyAlignment="1">
      <alignment wrapText="1"/>
    </xf>
    <xf numFmtId="3" fontId="12" fillId="0" borderId="25" xfId="0" applyNumberFormat="1" applyFont="1" applyFill="1" applyBorder="1" applyAlignment="1">
      <alignment wrapText="1"/>
    </xf>
    <xf numFmtId="0" fontId="12" fillId="0" borderId="25" xfId="0" applyFont="1" applyBorder="1" applyAlignment="1">
      <alignment/>
    </xf>
    <xf numFmtId="0" fontId="12" fillId="0" borderId="13" xfId="0" applyFont="1" applyFill="1" applyBorder="1" applyAlignment="1">
      <alignment wrapText="1"/>
    </xf>
    <xf numFmtId="3" fontId="12" fillId="0" borderId="13" xfId="0" applyNumberFormat="1" applyFont="1" applyFill="1" applyBorder="1" applyAlignment="1">
      <alignment horizontal="right" wrapText="1"/>
    </xf>
    <xf numFmtId="0" fontId="12" fillId="0" borderId="113" xfId="0" applyFont="1" applyFill="1" applyBorder="1" applyAlignment="1">
      <alignment wrapText="1"/>
    </xf>
    <xf numFmtId="0" fontId="12" fillId="0" borderId="101" xfId="0" applyFont="1" applyFill="1" applyBorder="1" applyAlignment="1">
      <alignment wrapText="1"/>
    </xf>
    <xf numFmtId="3" fontId="12" fillId="0" borderId="101" xfId="0" applyNumberFormat="1" applyFont="1" applyFill="1" applyBorder="1" applyAlignment="1">
      <alignment horizontal="right" wrapText="1"/>
    </xf>
    <xf numFmtId="3" fontId="5" fillId="0" borderId="9" xfId="0" applyNumberFormat="1" applyFont="1" applyFill="1" applyBorder="1" applyAlignment="1">
      <alignment horizontal="center" vertical="top" wrapText="1"/>
    </xf>
    <xf numFmtId="3" fontId="0" fillId="4" borderId="23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 vertical="center"/>
    </xf>
    <xf numFmtId="3" fontId="0" fillId="4" borderId="123" xfId="0" applyNumberFormat="1" applyFont="1" applyFill="1" applyBorder="1" applyAlignment="1">
      <alignment horizontal="left" vertical="center" wrapText="1"/>
    </xf>
    <xf numFmtId="3" fontId="0" fillId="4" borderId="60" xfId="0" applyNumberFormat="1" applyFont="1" applyFill="1" applyBorder="1" applyAlignment="1">
      <alignment/>
    </xf>
    <xf numFmtId="3" fontId="0" fillId="4" borderId="61" xfId="0" applyNumberFormat="1" applyFont="1" applyFill="1" applyBorder="1" applyAlignment="1">
      <alignment/>
    </xf>
    <xf numFmtId="3" fontId="0" fillId="4" borderId="60" xfId="15" applyNumberFormat="1" applyFont="1" applyFill="1" applyBorder="1" applyAlignment="1">
      <alignment horizontal="right"/>
    </xf>
    <xf numFmtId="3" fontId="0" fillId="4" borderId="122" xfId="0" applyNumberFormat="1" applyFont="1" applyFill="1" applyBorder="1" applyAlignment="1">
      <alignment vertical="center" wrapText="1"/>
    </xf>
    <xf numFmtId="3" fontId="0" fillId="4" borderId="23" xfId="0" applyNumberFormat="1" applyFont="1" applyFill="1" applyBorder="1" applyAlignment="1">
      <alignment/>
    </xf>
    <xf numFmtId="3" fontId="0" fillId="4" borderId="122" xfId="0" applyNumberFormat="1" applyFont="1" applyFill="1" applyBorder="1" applyAlignment="1">
      <alignment horizontal="left" vertical="center" wrapText="1"/>
    </xf>
    <xf numFmtId="0" fontId="13" fillId="4" borderId="15" xfId="0" applyFont="1" applyFill="1" applyBorder="1" applyAlignment="1">
      <alignment/>
    </xf>
    <xf numFmtId="0" fontId="0" fillId="4" borderId="13" xfId="0" applyFont="1" applyFill="1" applyBorder="1" applyAlignment="1">
      <alignment horizontal="left" wrapText="1"/>
    </xf>
    <xf numFmtId="0" fontId="12" fillId="0" borderId="55" xfId="0" applyFont="1" applyBorder="1" applyAlignment="1">
      <alignment/>
    </xf>
    <xf numFmtId="3" fontId="13" fillId="0" borderId="29" xfId="0" applyNumberFormat="1" applyFont="1" applyBorder="1" applyAlignment="1">
      <alignment wrapText="1"/>
    </xf>
    <xf numFmtId="3" fontId="13" fillId="0" borderId="82" xfId="0" applyNumberFormat="1" applyFont="1" applyBorder="1" applyAlignment="1">
      <alignment wrapText="1"/>
    </xf>
    <xf numFmtId="3" fontId="13" fillId="0" borderId="83" xfId="0" applyNumberFormat="1" applyFont="1" applyBorder="1" applyAlignment="1">
      <alignment wrapText="1"/>
    </xf>
    <xf numFmtId="3" fontId="13" fillId="0" borderId="53" xfId="0" applyNumberFormat="1" applyFont="1" applyBorder="1" applyAlignment="1">
      <alignment wrapText="1"/>
    </xf>
    <xf numFmtId="3" fontId="0" fillId="0" borderId="23" xfId="0" applyNumberFormat="1" applyFont="1" applyBorder="1" applyAlignment="1">
      <alignment wrapText="1"/>
    </xf>
    <xf numFmtId="3" fontId="0" fillId="0" borderId="6" xfId="0" applyNumberFormat="1" applyFont="1" applyBorder="1" applyAlignment="1">
      <alignment wrapText="1"/>
    </xf>
    <xf numFmtId="3" fontId="0" fillId="0" borderId="46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3" fontId="0" fillId="0" borderId="14" xfId="0" applyNumberFormat="1" applyFont="1" applyBorder="1" applyAlignment="1">
      <alignment wrapText="1"/>
    </xf>
    <xf numFmtId="3" fontId="0" fillId="0" borderId="110" xfId="0" applyNumberFormat="1" applyFont="1" applyBorder="1" applyAlignment="1">
      <alignment wrapText="1"/>
    </xf>
    <xf numFmtId="3" fontId="0" fillId="0" borderId="38" xfId="0" applyNumberFormat="1" applyFont="1" applyBorder="1" applyAlignment="1">
      <alignment wrapText="1"/>
    </xf>
    <xf numFmtId="3" fontId="0" fillId="0" borderId="39" xfId="0" applyNumberFormat="1" applyFont="1" applyBorder="1" applyAlignment="1">
      <alignment wrapText="1"/>
    </xf>
    <xf numFmtId="3" fontId="0" fillId="0" borderId="24" xfId="0" applyNumberFormat="1" applyFont="1" applyBorder="1" applyAlignment="1">
      <alignment wrapText="1"/>
    </xf>
    <xf numFmtId="3" fontId="0" fillId="0" borderId="26" xfId="0" applyNumberFormat="1" applyFont="1" applyBorder="1" applyAlignment="1">
      <alignment wrapText="1"/>
    </xf>
    <xf numFmtId="3" fontId="10" fillId="0" borderId="52" xfId="0" applyNumberFormat="1" applyFont="1" applyFill="1" applyBorder="1" applyAlignment="1">
      <alignment horizontal="left" wrapText="1"/>
    </xf>
    <xf numFmtId="0" fontId="13" fillId="4" borderId="124" xfId="0" applyFont="1" applyFill="1" applyBorder="1" applyAlignment="1">
      <alignment vertical="center" wrapText="1"/>
    </xf>
    <xf numFmtId="0" fontId="6" fillId="4" borderId="115" xfId="0" applyFont="1" applyFill="1" applyBorder="1" applyAlignment="1">
      <alignment horizontal="left" vertical="center" wrapText="1"/>
    </xf>
    <xf numFmtId="3" fontId="13" fillId="4" borderId="124" xfId="0" applyNumberFormat="1" applyFont="1" applyFill="1" applyBorder="1" applyAlignment="1">
      <alignment horizontal="left" vertical="center" wrapText="1"/>
    </xf>
    <xf numFmtId="0" fontId="0" fillId="3" borderId="78" xfId="0" applyFont="1" applyFill="1" applyBorder="1" applyAlignment="1">
      <alignment/>
    </xf>
    <xf numFmtId="0" fontId="12" fillId="0" borderId="125" xfId="0" applyFont="1" applyFill="1" applyBorder="1" applyAlignment="1">
      <alignment wrapText="1"/>
    </xf>
    <xf numFmtId="0" fontId="0" fillId="0" borderId="24" xfId="0" applyFont="1" applyBorder="1" applyAlignment="1">
      <alignment/>
    </xf>
    <xf numFmtId="0" fontId="12" fillId="0" borderId="23" xfId="0" applyFont="1" applyBorder="1" applyAlignment="1">
      <alignment wrapText="1"/>
    </xf>
    <xf numFmtId="3" fontId="12" fillId="4" borderId="13" xfId="0" applyNumberFormat="1" applyFont="1" applyFill="1" applyBorder="1" applyAlignment="1">
      <alignment wrapText="1"/>
    </xf>
    <xf numFmtId="0" fontId="15" fillId="4" borderId="52" xfId="0" applyFont="1" applyFill="1" applyBorder="1" applyAlignment="1">
      <alignment horizontal="left" wrapText="1"/>
    </xf>
    <xf numFmtId="3" fontId="15" fillId="0" borderId="52" xfId="0" applyNumberFormat="1" applyFont="1" applyFill="1" applyBorder="1" applyAlignment="1">
      <alignment horizontal="right"/>
    </xf>
    <xf numFmtId="3" fontId="15" fillId="4" borderId="52" xfId="0" applyNumberFormat="1" applyFont="1" applyFill="1" applyBorder="1" applyAlignment="1">
      <alignment horizontal="right"/>
    </xf>
    <xf numFmtId="3" fontId="13" fillId="2" borderId="34" xfId="0" applyNumberFormat="1" applyFont="1" applyFill="1" applyBorder="1" applyAlignment="1">
      <alignment horizontal="left"/>
    </xf>
    <xf numFmtId="0" fontId="12" fillId="0" borderId="24" xfId="0" applyFont="1" applyFill="1" applyBorder="1" applyAlignment="1">
      <alignment/>
    </xf>
    <xf numFmtId="3" fontId="12" fillId="0" borderId="113" xfId="0" applyNumberFormat="1" applyFont="1" applyFill="1" applyBorder="1" applyAlignment="1">
      <alignment/>
    </xf>
    <xf numFmtId="0" fontId="15" fillId="0" borderId="23" xfId="0" applyFont="1" applyFill="1" applyBorder="1" applyAlignment="1">
      <alignment/>
    </xf>
    <xf numFmtId="0" fontId="13" fillId="0" borderId="24" xfId="0" applyFont="1" applyBorder="1" applyAlignment="1">
      <alignment wrapText="1"/>
    </xf>
    <xf numFmtId="0" fontId="0" fillId="3" borderId="21" xfId="0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0" fontId="13" fillId="4" borderId="15" xfId="0" applyFont="1" applyFill="1" applyBorder="1" applyAlignment="1">
      <alignment horizontal="left" wrapText="1"/>
    </xf>
    <xf numFmtId="0" fontId="0" fillId="4" borderId="15" xfId="0" applyFont="1" applyFill="1" applyBorder="1" applyAlignment="1">
      <alignment horizontal="left" wrapText="1"/>
    </xf>
    <xf numFmtId="0" fontId="0" fillId="3" borderId="22" xfId="0" applyFont="1" applyFill="1" applyBorder="1" applyAlignment="1">
      <alignment wrapText="1"/>
    </xf>
    <xf numFmtId="0" fontId="0" fillId="3" borderId="24" xfId="0" applyFont="1" applyFill="1" applyBorder="1" applyAlignment="1">
      <alignment wrapText="1"/>
    </xf>
    <xf numFmtId="3" fontId="8" fillId="0" borderId="25" xfId="0" applyNumberFormat="1" applyFont="1" applyBorder="1" applyAlignment="1">
      <alignment wrapText="1"/>
    </xf>
    <xf numFmtId="0" fontId="17" fillId="0" borderId="25" xfId="0" applyFont="1" applyBorder="1" applyAlignment="1">
      <alignment horizontal="center" wrapText="1"/>
    </xf>
    <xf numFmtId="0" fontId="8" fillId="0" borderId="25" xfId="0" applyFont="1" applyBorder="1" applyAlignment="1">
      <alignment wrapText="1"/>
    </xf>
    <xf numFmtId="0" fontId="8" fillId="0" borderId="25" xfId="0" applyFont="1" applyBorder="1" applyAlignment="1">
      <alignment horizontal="center" wrapText="1"/>
    </xf>
    <xf numFmtId="3" fontId="8" fillId="0" borderId="25" xfId="0" applyNumberFormat="1" applyFont="1" applyBorder="1" applyAlignment="1">
      <alignment/>
    </xf>
    <xf numFmtId="3" fontId="12" fillId="4" borderId="121" xfId="0" applyNumberFormat="1" applyFont="1" applyFill="1" applyBorder="1" applyAlignment="1">
      <alignment/>
    </xf>
    <xf numFmtId="0" fontId="15" fillId="0" borderId="101" xfId="0" applyFont="1" applyBorder="1" applyAlignment="1">
      <alignment wrapText="1"/>
    </xf>
    <xf numFmtId="0" fontId="15" fillId="0" borderId="101" xfId="0" applyFont="1" applyBorder="1" applyAlignment="1">
      <alignment/>
    </xf>
    <xf numFmtId="3" fontId="12" fillId="0" borderId="101" xfId="0" applyNumberFormat="1" applyFont="1" applyBorder="1" applyAlignment="1">
      <alignment/>
    </xf>
    <xf numFmtId="3" fontId="12" fillId="0" borderId="54" xfId="0" applyNumberFormat="1" applyFont="1" applyFill="1" applyBorder="1" applyAlignment="1">
      <alignment wrapText="1"/>
    </xf>
    <xf numFmtId="3" fontId="12" fillId="0" borderId="13" xfId="0" applyNumberFormat="1" applyFont="1" applyFill="1" applyBorder="1" applyAlignment="1">
      <alignment wrapText="1"/>
    </xf>
    <xf numFmtId="3" fontId="12" fillId="0" borderId="55" xfId="0" applyNumberFormat="1" applyFont="1" applyFill="1" applyBorder="1" applyAlignment="1">
      <alignment wrapText="1"/>
    </xf>
    <xf numFmtId="0" fontId="12" fillId="0" borderId="101" xfId="0" applyFont="1" applyFill="1" applyBorder="1" applyAlignment="1">
      <alignment/>
    </xf>
    <xf numFmtId="3" fontId="12" fillId="0" borderId="55" xfId="0" applyNumberFormat="1" applyFont="1" applyFill="1" applyBorder="1" applyAlignment="1">
      <alignment/>
    </xf>
    <xf numFmtId="0" fontId="12" fillId="0" borderId="120" xfId="0" applyFont="1" applyBorder="1" applyAlignment="1">
      <alignment/>
    </xf>
    <xf numFmtId="3" fontId="12" fillId="0" borderId="120" xfId="0" applyNumberFormat="1" applyFont="1" applyFill="1" applyBorder="1" applyAlignment="1">
      <alignment horizontal="right"/>
    </xf>
    <xf numFmtId="3" fontId="12" fillId="0" borderId="120" xfId="0" applyNumberFormat="1" applyFont="1" applyBorder="1" applyAlignment="1">
      <alignment horizontal="right"/>
    </xf>
    <xf numFmtId="0" fontId="12" fillId="0" borderId="120" xfId="0" applyFont="1" applyBorder="1" applyAlignment="1">
      <alignment/>
    </xf>
    <xf numFmtId="3" fontId="0" fillId="0" borderId="55" xfId="0" applyNumberFormat="1" applyFont="1" applyFill="1" applyBorder="1" applyAlignment="1">
      <alignment wrapText="1"/>
    </xf>
    <xf numFmtId="3" fontId="8" fillId="0" borderId="22" xfId="0" applyNumberFormat="1" applyFont="1" applyBorder="1" applyAlignment="1">
      <alignment wrapText="1"/>
    </xf>
    <xf numFmtId="3" fontId="0" fillId="0" borderId="24" xfId="0" applyNumberFormat="1" applyFont="1" applyBorder="1" applyAlignment="1">
      <alignment wrapText="1"/>
    </xf>
    <xf numFmtId="3" fontId="0" fillId="0" borderId="110" xfId="0" applyNumberFormat="1" applyFont="1" applyBorder="1" applyAlignment="1">
      <alignment wrapText="1"/>
    </xf>
    <xf numFmtId="3" fontId="0" fillId="0" borderId="38" xfId="0" applyNumberFormat="1" applyFont="1" applyBorder="1" applyAlignment="1">
      <alignment wrapText="1"/>
    </xf>
    <xf numFmtId="3" fontId="0" fillId="0" borderId="39" xfId="0" applyNumberFormat="1" applyFont="1" applyBorder="1" applyAlignment="1">
      <alignment wrapText="1"/>
    </xf>
    <xf numFmtId="3" fontId="0" fillId="0" borderId="26" xfId="0" applyNumberFormat="1" applyFont="1" applyBorder="1" applyAlignment="1">
      <alignment wrapText="1"/>
    </xf>
    <xf numFmtId="3" fontId="0" fillId="0" borderId="25" xfId="0" applyNumberFormat="1" applyFont="1" applyBorder="1" applyAlignment="1">
      <alignment wrapText="1"/>
    </xf>
    <xf numFmtId="3" fontId="0" fillId="0" borderId="49" xfId="0" applyNumberFormat="1" applyFont="1" applyBorder="1" applyAlignment="1">
      <alignment wrapText="1"/>
    </xf>
    <xf numFmtId="3" fontId="0" fillId="0" borderId="50" xfId="0" applyNumberFormat="1" applyFont="1" applyBorder="1" applyAlignment="1">
      <alignment wrapText="1"/>
    </xf>
    <xf numFmtId="3" fontId="0" fillId="0" borderId="100" xfId="0" applyNumberFormat="1" applyFont="1" applyBorder="1" applyAlignment="1">
      <alignment wrapText="1"/>
    </xf>
    <xf numFmtId="3" fontId="0" fillId="0" borderId="51" xfId="0" applyNumberFormat="1" applyFont="1" applyBorder="1" applyAlignment="1">
      <alignment wrapText="1"/>
    </xf>
    <xf numFmtId="3" fontId="0" fillId="0" borderId="112" xfId="0" applyNumberFormat="1" applyFont="1" applyBorder="1" applyAlignment="1">
      <alignment wrapText="1"/>
    </xf>
    <xf numFmtId="3" fontId="0" fillId="0" borderId="126" xfId="0" applyNumberFormat="1" applyFont="1" applyBorder="1" applyAlignment="1">
      <alignment wrapText="1"/>
    </xf>
    <xf numFmtId="3" fontId="0" fillId="0" borderId="127" xfId="0" applyNumberFormat="1" applyFont="1" applyBorder="1" applyAlignment="1">
      <alignment wrapText="1"/>
    </xf>
    <xf numFmtId="3" fontId="0" fillId="0" borderId="128" xfId="0" applyNumberFormat="1" applyFont="1" applyBorder="1" applyAlignment="1">
      <alignment wrapText="1"/>
    </xf>
    <xf numFmtId="3" fontId="0" fillId="0" borderId="129" xfId="0" applyNumberFormat="1" applyFont="1" applyBorder="1" applyAlignment="1">
      <alignment wrapText="1"/>
    </xf>
    <xf numFmtId="3" fontId="8" fillId="0" borderId="112" xfId="0" applyNumberFormat="1" applyFont="1" applyBorder="1" applyAlignment="1">
      <alignment wrapText="1"/>
    </xf>
    <xf numFmtId="3" fontId="8" fillId="0" borderId="17" xfId="0" applyNumberFormat="1" applyFont="1" applyBorder="1" applyAlignment="1">
      <alignment/>
    </xf>
    <xf numFmtId="3" fontId="0" fillId="0" borderId="130" xfId="0" applyNumberFormat="1" applyFont="1" applyBorder="1" applyAlignment="1">
      <alignment wrapText="1"/>
    </xf>
    <xf numFmtId="0" fontId="17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3" fontId="8" fillId="0" borderId="15" xfId="0" applyNumberFormat="1" applyFont="1" applyBorder="1" applyAlignment="1">
      <alignment horizontal="right" wrapText="1"/>
    </xf>
    <xf numFmtId="0" fontId="0" fillId="0" borderId="112" xfId="0" applyFont="1" applyBorder="1" applyAlignment="1">
      <alignment wrapText="1"/>
    </xf>
    <xf numFmtId="3" fontId="44" fillId="4" borderId="41" xfId="0" applyNumberFormat="1" applyFont="1" applyFill="1" applyBorder="1" applyAlignment="1">
      <alignment horizontal="right"/>
    </xf>
    <xf numFmtId="3" fontId="44" fillId="4" borderId="13" xfId="0" applyNumberFormat="1" applyFont="1" applyFill="1" applyBorder="1" applyAlignment="1">
      <alignment horizontal="right"/>
    </xf>
    <xf numFmtId="0" fontId="0" fillId="0" borderId="79" xfId="0" applyFont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12" fillId="0" borderId="15" xfId="0" applyFont="1" applyBorder="1" applyAlignment="1">
      <alignment horizontal="left" wrapText="1"/>
    </xf>
    <xf numFmtId="3" fontId="45" fillId="0" borderId="0" xfId="0" applyNumberFormat="1" applyFont="1" applyFill="1" applyAlignment="1">
      <alignment/>
    </xf>
    <xf numFmtId="0" fontId="15" fillId="0" borderId="16" xfId="0" applyFont="1" applyBorder="1" applyAlignment="1">
      <alignment wrapText="1"/>
    </xf>
    <xf numFmtId="3" fontId="0" fillId="0" borderId="13" xfId="0" applyNumberFormat="1" applyFont="1" applyFill="1" applyBorder="1" applyAlignment="1">
      <alignment wrapText="1"/>
    </xf>
    <xf numFmtId="3" fontId="0" fillId="0" borderId="23" xfId="0" applyNumberFormat="1" applyFont="1" applyFill="1" applyBorder="1" applyAlignment="1">
      <alignment wrapText="1"/>
    </xf>
    <xf numFmtId="3" fontId="0" fillId="0" borderId="6" xfId="0" applyNumberFormat="1" applyFont="1" applyFill="1" applyBorder="1" applyAlignment="1">
      <alignment wrapText="1"/>
    </xf>
    <xf numFmtId="3" fontId="0" fillId="0" borderId="46" xfId="0" applyNumberFormat="1" applyFont="1" applyFill="1" applyBorder="1" applyAlignment="1">
      <alignment wrapText="1"/>
    </xf>
    <xf numFmtId="3" fontId="0" fillId="0" borderId="14" xfId="0" applyNumberFormat="1" applyFont="1" applyFill="1" applyBorder="1" applyAlignment="1">
      <alignment wrapText="1"/>
    </xf>
    <xf numFmtId="3" fontId="0" fillId="0" borderId="79" xfId="0" applyNumberFormat="1" applyFont="1" applyFill="1" applyBorder="1" applyAlignment="1">
      <alignment wrapText="1"/>
    </xf>
    <xf numFmtId="3" fontId="0" fillId="0" borderId="25" xfId="0" applyNumberFormat="1" applyFont="1" applyFill="1" applyBorder="1" applyAlignment="1">
      <alignment wrapText="1"/>
    </xf>
    <xf numFmtId="3" fontId="0" fillId="0" borderId="49" xfId="0" applyNumberFormat="1" applyFont="1" applyFill="1" applyBorder="1" applyAlignment="1">
      <alignment wrapText="1"/>
    </xf>
    <xf numFmtId="3" fontId="0" fillId="0" borderId="50" xfId="0" applyNumberFormat="1" applyFont="1" applyFill="1" applyBorder="1" applyAlignment="1">
      <alignment wrapText="1"/>
    </xf>
    <xf numFmtId="3" fontId="0" fillId="0" borderId="100" xfId="0" applyNumberFormat="1" applyFont="1" applyFill="1" applyBorder="1" applyAlignment="1">
      <alignment wrapText="1"/>
    </xf>
    <xf numFmtId="3" fontId="0" fillId="0" borderId="51" xfId="0" applyNumberFormat="1" applyFont="1" applyFill="1" applyBorder="1" applyAlignment="1">
      <alignment wrapText="1"/>
    </xf>
    <xf numFmtId="3" fontId="8" fillId="0" borderId="17" xfId="0" applyNumberFormat="1" applyFont="1" applyBorder="1" applyAlignment="1">
      <alignment wrapText="1"/>
    </xf>
    <xf numFmtId="3" fontId="12" fillId="0" borderId="125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>
      <alignment/>
    </xf>
    <xf numFmtId="0" fontId="8" fillId="0" borderId="17" xfId="0" applyFont="1" applyBorder="1" applyAlignment="1">
      <alignment wrapText="1"/>
    </xf>
    <xf numFmtId="3" fontId="8" fillId="0" borderId="17" xfId="0" applyNumberFormat="1" applyFont="1" applyBorder="1" applyAlignment="1">
      <alignment horizontal="center" wrapText="1"/>
    </xf>
    <xf numFmtId="3" fontId="0" fillId="0" borderId="110" xfId="0" applyNumberFormat="1" applyFont="1" applyFill="1" applyBorder="1" applyAlignment="1">
      <alignment wrapText="1"/>
    </xf>
    <xf numFmtId="3" fontId="0" fillId="0" borderId="38" xfId="0" applyNumberFormat="1" applyFont="1" applyFill="1" applyBorder="1" applyAlignment="1">
      <alignment wrapText="1"/>
    </xf>
    <xf numFmtId="3" fontId="0" fillId="0" borderId="39" xfId="0" applyNumberFormat="1" applyFont="1" applyFill="1" applyBorder="1" applyAlignment="1">
      <alignment wrapText="1"/>
    </xf>
    <xf numFmtId="3" fontId="0" fillId="0" borderId="24" xfId="0" applyNumberFormat="1" applyFont="1" applyFill="1" applyBorder="1" applyAlignment="1">
      <alignment wrapText="1"/>
    </xf>
    <xf numFmtId="3" fontId="0" fillId="0" borderId="26" xfId="0" applyNumberFormat="1" applyFont="1" applyFill="1" applyBorder="1" applyAlignment="1">
      <alignment wrapText="1"/>
    </xf>
    <xf numFmtId="1" fontId="15" fillId="3" borderId="13" xfId="0" applyNumberFormat="1" applyFont="1" applyFill="1" applyBorder="1" applyAlignment="1">
      <alignment/>
    </xf>
    <xf numFmtId="1" fontId="15" fillId="0" borderId="13" xfId="0" applyNumberFormat="1" applyFont="1" applyFill="1" applyBorder="1" applyAlignment="1">
      <alignment/>
    </xf>
    <xf numFmtId="3" fontId="15" fillId="0" borderId="52" xfId="0" applyNumberFormat="1" applyFont="1" applyBorder="1" applyAlignment="1">
      <alignment wrapText="1"/>
    </xf>
    <xf numFmtId="3" fontId="15" fillId="0" borderId="131" xfId="0" applyNumberFormat="1" applyFont="1" applyBorder="1" applyAlignment="1">
      <alignment wrapText="1"/>
    </xf>
    <xf numFmtId="3" fontId="15" fillId="0" borderId="19" xfId="0" applyNumberFormat="1" applyFont="1" applyBorder="1" applyAlignment="1">
      <alignment wrapText="1"/>
    </xf>
    <xf numFmtId="3" fontId="15" fillId="0" borderId="132" xfId="0" applyNumberFormat="1" applyFont="1" applyBorder="1" applyAlignment="1">
      <alignment wrapText="1"/>
    </xf>
    <xf numFmtId="3" fontId="15" fillId="0" borderId="133" xfId="0" applyNumberFormat="1" applyFont="1" applyBorder="1" applyAlignment="1">
      <alignment wrapText="1"/>
    </xf>
    <xf numFmtId="1" fontId="13" fillId="0" borderId="15" xfId="0" applyNumberFormat="1" applyFont="1" applyBorder="1" applyAlignment="1">
      <alignment/>
    </xf>
    <xf numFmtId="1" fontId="13" fillId="3" borderId="134" xfId="0" applyNumberFormat="1" applyFont="1" applyFill="1" applyBorder="1" applyAlignment="1">
      <alignment/>
    </xf>
    <xf numFmtId="1" fontId="0" fillId="0" borderId="134" xfId="0" applyNumberFormat="1" applyFont="1" applyFill="1" applyBorder="1" applyAlignment="1">
      <alignment/>
    </xf>
    <xf numFmtId="3" fontId="0" fillId="0" borderId="134" xfId="0" applyNumberFormat="1" applyFont="1" applyBorder="1" applyAlignment="1">
      <alignment wrapText="1"/>
    </xf>
    <xf numFmtId="1" fontId="13" fillId="3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wrapText="1"/>
    </xf>
    <xf numFmtId="0" fontId="12" fillId="0" borderId="15" xfId="0" applyFont="1" applyFill="1" applyBorder="1" applyAlignment="1">
      <alignment/>
    </xf>
    <xf numFmtId="0" fontId="12" fillId="0" borderId="54" xfId="0" applyFont="1" applyFill="1" applyBorder="1" applyAlignment="1">
      <alignment wrapText="1"/>
    </xf>
    <xf numFmtId="3" fontId="12" fillId="0" borderId="113" xfId="0" applyNumberFormat="1" applyFont="1" applyFill="1" applyBorder="1" applyAlignment="1">
      <alignment horizontal="right"/>
    </xf>
    <xf numFmtId="0" fontId="12" fillId="0" borderId="25" xfId="0" applyFont="1" applyBorder="1" applyAlignment="1">
      <alignment wrapText="1"/>
    </xf>
    <xf numFmtId="0" fontId="12" fillId="0" borderId="54" xfId="0" applyFont="1" applyFill="1" applyBorder="1" applyAlignment="1">
      <alignment/>
    </xf>
    <xf numFmtId="3" fontId="12" fillId="0" borderId="54" xfId="0" applyNumberFormat="1" applyFont="1" applyFill="1" applyBorder="1" applyAlignment="1">
      <alignment/>
    </xf>
    <xf numFmtId="0" fontId="12" fillId="0" borderId="112" xfId="0" applyFont="1" applyFill="1" applyBorder="1" applyAlignment="1">
      <alignment/>
    </xf>
    <xf numFmtId="0" fontId="12" fillId="0" borderId="5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3" borderId="15" xfId="0" applyFont="1" applyFill="1" applyBorder="1" applyAlignment="1">
      <alignment horizontal="right"/>
    </xf>
    <xf numFmtId="0" fontId="0" fillId="0" borderId="15" xfId="0" applyFont="1" applyBorder="1" applyAlignment="1">
      <alignment wrapText="1"/>
    </xf>
    <xf numFmtId="3" fontId="0" fillId="3" borderId="29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>
      <alignment wrapText="1"/>
    </xf>
    <xf numFmtId="0" fontId="0" fillId="3" borderId="17" xfId="0" applyFont="1" applyFill="1" applyBorder="1" applyAlignment="1">
      <alignment wrapText="1"/>
    </xf>
    <xf numFmtId="0" fontId="0" fillId="3" borderId="29" xfId="0" applyFont="1" applyFill="1" applyBorder="1" applyAlignment="1">
      <alignment horizontal="left" wrapText="1"/>
    </xf>
    <xf numFmtId="3" fontId="0" fillId="0" borderId="17" xfId="0" applyNumberFormat="1" applyFont="1" applyFill="1" applyBorder="1" applyAlignment="1">
      <alignment horizontal="right" wrapText="1"/>
    </xf>
    <xf numFmtId="0" fontId="0" fillId="3" borderId="24" xfId="0" applyFont="1" applyFill="1" applyBorder="1" applyAlignment="1">
      <alignment wrapText="1"/>
    </xf>
    <xf numFmtId="3" fontId="0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13" fillId="3" borderId="27" xfId="0" applyFont="1" applyFill="1" applyBorder="1" applyAlignment="1">
      <alignment horizontal="left" wrapText="1"/>
    </xf>
    <xf numFmtId="0" fontId="0" fillId="0" borderId="25" xfId="0" applyFont="1" applyBorder="1" applyAlignment="1">
      <alignment/>
    </xf>
    <xf numFmtId="3" fontId="0" fillId="0" borderId="17" xfId="0" applyNumberFormat="1" applyFont="1" applyFill="1" applyBorder="1" applyAlignment="1">
      <alignment horizontal="right"/>
    </xf>
    <xf numFmtId="0" fontId="0" fillId="0" borderId="25" xfId="0" applyFont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0" fontId="0" fillId="0" borderId="15" xfId="0" applyFont="1" applyBorder="1" applyAlignment="1">
      <alignment wrapText="1"/>
    </xf>
    <xf numFmtId="3" fontId="0" fillId="0" borderId="25" xfId="0" applyNumberFormat="1" applyFont="1" applyFill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3" borderId="15" xfId="0" applyFont="1" applyFill="1" applyBorder="1" applyAlignment="1">
      <alignment wrapText="1"/>
    </xf>
    <xf numFmtId="3" fontId="0" fillId="0" borderId="15" xfId="0" applyNumberFormat="1" applyFont="1" applyFill="1" applyBorder="1" applyAlignment="1">
      <alignment horizontal="right"/>
    </xf>
    <xf numFmtId="0" fontId="0" fillId="3" borderId="112" xfId="0" applyFont="1" applyFill="1" applyBorder="1" applyAlignment="1">
      <alignment wrapText="1"/>
    </xf>
    <xf numFmtId="3" fontId="0" fillId="0" borderId="112" xfId="0" applyNumberFormat="1" applyFont="1" applyFill="1" applyBorder="1" applyAlignment="1">
      <alignment horizontal="right"/>
    </xf>
    <xf numFmtId="0" fontId="0" fillId="0" borderId="25" xfId="0" applyFont="1" applyBorder="1" applyAlignment="1">
      <alignment wrapText="1"/>
    </xf>
    <xf numFmtId="3" fontId="0" fillId="0" borderId="25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0" fillId="0" borderId="79" xfId="0" applyFont="1" applyBorder="1" applyAlignment="1">
      <alignment/>
    </xf>
    <xf numFmtId="3" fontId="0" fillId="0" borderId="79" xfId="0" applyNumberFormat="1" applyFont="1" applyFill="1" applyBorder="1" applyAlignment="1">
      <alignment horizontal="right"/>
    </xf>
    <xf numFmtId="0" fontId="0" fillId="0" borderId="25" xfId="0" applyFont="1" applyBorder="1" applyAlignment="1">
      <alignment/>
    </xf>
    <xf numFmtId="3" fontId="8" fillId="0" borderId="17" xfId="0" applyNumberFormat="1" applyFont="1" applyFill="1" applyBorder="1" applyAlignment="1">
      <alignment/>
    </xf>
    <xf numFmtId="0" fontId="0" fillId="0" borderId="101" xfId="0" applyFont="1" applyBorder="1" applyAlignment="1">
      <alignment/>
    </xf>
    <xf numFmtId="3" fontId="0" fillId="0" borderId="101" xfId="0" applyNumberFormat="1" applyFont="1" applyFill="1" applyBorder="1" applyAlignment="1">
      <alignment horizontal="right"/>
    </xf>
    <xf numFmtId="3" fontId="8" fillId="0" borderId="25" xfId="0" applyNumberFormat="1" applyFont="1" applyBorder="1" applyAlignment="1">
      <alignment horizontal="right" wrapText="1"/>
    </xf>
    <xf numFmtId="3" fontId="8" fillId="0" borderId="17" xfId="0" applyNumberFormat="1" applyFont="1" applyBorder="1" applyAlignment="1">
      <alignment horizontal="right" wrapText="1"/>
    </xf>
    <xf numFmtId="0" fontId="13" fillId="4" borderId="105" xfId="0" applyFont="1" applyFill="1" applyBorder="1" applyAlignment="1">
      <alignment horizontal="center" vertical="center" wrapText="1"/>
    </xf>
    <xf numFmtId="3" fontId="6" fillId="4" borderId="95" xfId="0" applyNumberFormat="1" applyFont="1" applyFill="1" applyBorder="1" applyAlignment="1">
      <alignment horizontal="right"/>
    </xf>
    <xf numFmtId="3" fontId="6" fillId="2" borderId="48" xfId="0" applyNumberFormat="1" applyFont="1" applyFill="1" applyBorder="1" applyAlignment="1">
      <alignment horizontal="right"/>
    </xf>
    <xf numFmtId="3" fontId="6" fillId="0" borderId="53" xfId="0" applyNumberFormat="1" applyFont="1" applyBorder="1" applyAlignment="1">
      <alignment horizontal="right" wrapText="1"/>
    </xf>
    <xf numFmtId="3" fontId="8" fillId="0" borderId="99" xfId="0" applyNumberFormat="1" applyFont="1" applyBorder="1" applyAlignment="1">
      <alignment/>
    </xf>
    <xf numFmtId="3" fontId="6" fillId="0" borderId="26" xfId="0" applyNumberFormat="1" applyFont="1" applyBorder="1" applyAlignment="1">
      <alignment horizontal="right" wrapText="1"/>
    </xf>
    <xf numFmtId="3" fontId="8" fillId="0" borderId="53" xfId="0" applyNumberFormat="1" applyFont="1" applyBorder="1" applyAlignment="1">
      <alignment/>
    </xf>
    <xf numFmtId="0" fontId="13" fillId="4" borderId="46" xfId="0" applyFont="1" applyFill="1" applyBorder="1" applyAlignment="1">
      <alignment horizontal="center" vertical="top" wrapText="1"/>
    </xf>
    <xf numFmtId="0" fontId="7" fillId="0" borderId="135" xfId="0" applyFont="1" applyBorder="1" applyAlignment="1">
      <alignment horizontal="center" vertical="center" wrapText="1"/>
    </xf>
    <xf numFmtId="3" fontId="6" fillId="4" borderId="92" xfId="0" applyNumberFormat="1" applyFont="1" applyFill="1" applyBorder="1" applyAlignment="1">
      <alignment horizontal="right"/>
    </xf>
    <xf numFmtId="3" fontId="6" fillId="2" borderId="27" xfId="0" applyNumberFormat="1" applyFont="1" applyFill="1" applyBorder="1" applyAlignment="1">
      <alignment horizontal="right"/>
    </xf>
    <xf numFmtId="3" fontId="6" fillId="0" borderId="29" xfId="0" applyNumberFormat="1" applyFont="1" applyBorder="1" applyAlignment="1">
      <alignment horizontal="right" wrapText="1"/>
    </xf>
    <xf numFmtId="3" fontId="8" fillId="0" borderId="56" xfId="0" applyNumberFormat="1" applyFont="1" applyBorder="1" applyAlignment="1">
      <alignment horizontal="right" wrapText="1"/>
    </xf>
    <xf numFmtId="3" fontId="8" fillId="0" borderId="27" xfId="0" applyNumberFormat="1" applyFont="1" applyBorder="1" applyAlignment="1">
      <alignment horizontal="right" wrapText="1"/>
    </xf>
    <xf numFmtId="3" fontId="8" fillId="0" borderId="49" xfId="0" applyNumberFormat="1" applyFont="1" applyBorder="1" applyAlignment="1">
      <alignment horizontal="right" wrapText="1"/>
    </xf>
    <xf numFmtId="3" fontId="8" fillId="0" borderId="29" xfId="0" applyNumberFormat="1" applyFont="1" applyBorder="1" applyAlignment="1">
      <alignment horizontal="right" wrapText="1"/>
    </xf>
    <xf numFmtId="3" fontId="8" fillId="0" borderId="51" xfId="0" applyNumberFormat="1" applyFont="1" applyBorder="1" applyAlignment="1">
      <alignment/>
    </xf>
    <xf numFmtId="0" fontId="13" fillId="4" borderId="20" xfId="0" applyFont="1" applyFill="1" applyBorder="1" applyAlignment="1">
      <alignment horizontal="center" vertical="center" wrapText="1"/>
    </xf>
    <xf numFmtId="0" fontId="13" fillId="4" borderId="136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36" xfId="0" applyFont="1" applyBorder="1" applyAlignment="1">
      <alignment horizontal="center" vertical="center"/>
    </xf>
    <xf numFmtId="3" fontId="6" fillId="4" borderId="114" xfId="0" applyNumberFormat="1" applyFont="1" applyFill="1" applyBorder="1" applyAlignment="1">
      <alignment horizontal="right"/>
    </xf>
    <xf numFmtId="3" fontId="6" fillId="2" borderId="137" xfId="0" applyNumberFormat="1" applyFont="1" applyFill="1" applyBorder="1" applyAlignment="1">
      <alignment/>
    </xf>
    <xf numFmtId="3" fontId="6" fillId="0" borderId="138" xfId="0" applyNumberFormat="1" applyFont="1" applyBorder="1" applyAlignment="1">
      <alignment horizontal="right" wrapText="1"/>
    </xf>
    <xf numFmtId="3" fontId="8" fillId="0" borderId="139" xfId="0" applyNumberFormat="1" applyFont="1" applyBorder="1" applyAlignment="1">
      <alignment/>
    </xf>
    <xf numFmtId="3" fontId="6" fillId="0" borderId="139" xfId="0" applyNumberFormat="1" applyFont="1" applyBorder="1" applyAlignment="1">
      <alignment horizontal="right" wrapText="1"/>
    </xf>
    <xf numFmtId="3" fontId="8" fillId="0" borderId="140" xfId="0" applyNumberFormat="1" applyFont="1" applyBorder="1" applyAlignment="1">
      <alignment/>
    </xf>
    <xf numFmtId="3" fontId="8" fillId="0" borderId="141" xfId="0" applyNumberFormat="1" applyFont="1" applyBorder="1" applyAlignment="1">
      <alignment/>
    </xf>
    <xf numFmtId="3" fontId="36" fillId="0" borderId="41" xfId="0" applyNumberFormat="1" applyFont="1" applyFill="1" applyBorder="1" applyAlignment="1">
      <alignment horizontal="right"/>
    </xf>
    <xf numFmtId="0" fontId="0" fillId="0" borderId="13" xfId="0" applyFont="1" applyBorder="1" applyAlignment="1">
      <alignment wrapText="1"/>
    </xf>
    <xf numFmtId="0" fontId="0" fillId="0" borderId="79" xfId="0" applyFont="1" applyFill="1" applyBorder="1" applyAlignment="1">
      <alignment wrapText="1"/>
    </xf>
    <xf numFmtId="0" fontId="0" fillId="3" borderId="15" xfId="0" applyFont="1" applyFill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Font="1" applyFill="1" applyBorder="1" applyAlignment="1">
      <alignment horizontal="right" wrapText="1"/>
    </xf>
    <xf numFmtId="0" fontId="0" fillId="0" borderId="25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24" xfId="0" applyFont="1" applyFill="1" applyBorder="1" applyAlignment="1">
      <alignment wrapText="1"/>
    </xf>
    <xf numFmtId="0" fontId="0" fillId="3" borderId="134" xfId="0" applyFont="1" applyFill="1" applyBorder="1" applyAlignment="1">
      <alignment horizontal="right"/>
    </xf>
    <xf numFmtId="0" fontId="13" fillId="3" borderId="134" xfId="0" applyFont="1" applyFill="1" applyBorder="1" applyAlignment="1">
      <alignment/>
    </xf>
    <xf numFmtId="0" fontId="0" fillId="0" borderId="134" xfId="0" applyFont="1" applyBorder="1" applyAlignment="1">
      <alignment wrapText="1"/>
    </xf>
    <xf numFmtId="3" fontId="0" fillId="3" borderId="134" xfId="0" applyNumberFormat="1" applyFont="1" applyFill="1" applyBorder="1" applyAlignment="1">
      <alignment horizontal="right" wrapText="1"/>
    </xf>
    <xf numFmtId="1" fontId="0" fillId="4" borderId="73" xfId="0" applyNumberFormat="1" applyFont="1" applyFill="1" applyBorder="1" applyAlignment="1">
      <alignment vertical="center" wrapText="1"/>
    </xf>
    <xf numFmtId="3" fontId="0" fillId="4" borderId="25" xfId="0" applyNumberFormat="1" applyFont="1" applyFill="1" applyBorder="1" applyAlignment="1">
      <alignment wrapText="1"/>
    </xf>
    <xf numFmtId="3" fontId="24" fillId="0" borderId="25" xfId="18" applyNumberFormat="1" applyFont="1" applyFill="1" applyBorder="1" applyAlignment="1">
      <alignment/>
      <protection/>
    </xf>
    <xf numFmtId="3" fontId="24" fillId="0" borderId="25" xfId="18" applyNumberFormat="1" applyFont="1" applyFill="1" applyBorder="1" applyAlignment="1">
      <alignment horizontal="center"/>
      <protection/>
    </xf>
    <xf numFmtId="3" fontId="0" fillId="4" borderId="134" xfId="0" applyNumberFormat="1" applyFont="1" applyFill="1" applyBorder="1" applyAlignment="1">
      <alignment vertical="center"/>
    </xf>
    <xf numFmtId="3" fontId="0" fillId="4" borderId="134" xfId="15" applyNumberFormat="1" applyFont="1" applyFill="1" applyBorder="1" applyAlignment="1">
      <alignment horizontal="right"/>
    </xf>
    <xf numFmtId="3" fontId="0" fillId="4" borderId="134" xfId="15" applyNumberFormat="1" applyFont="1" applyFill="1" applyBorder="1" applyAlignment="1">
      <alignment horizontal="right"/>
    </xf>
    <xf numFmtId="3" fontId="12" fillId="0" borderId="13" xfId="0" applyNumberFormat="1" applyFont="1" applyBorder="1" applyAlignment="1">
      <alignment horizontal="right" wrapText="1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3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3" fontId="12" fillId="0" borderId="0" xfId="0" applyNumberFormat="1" applyFont="1" applyFill="1" applyBorder="1" applyAlignment="1">
      <alignment horizontal="right" wrapText="1"/>
    </xf>
    <xf numFmtId="0" fontId="26" fillId="0" borderId="101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3" fontId="12" fillId="4" borderId="0" xfId="0" applyNumberFormat="1" applyFont="1" applyFill="1" applyBorder="1" applyAlignment="1">
      <alignment/>
    </xf>
    <xf numFmtId="0" fontId="12" fillId="3" borderId="27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2" fillId="0" borderId="134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13" xfId="0" applyFont="1" applyFill="1" applyBorder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3" fontId="12" fillId="0" borderId="0" xfId="0" applyNumberFormat="1" applyFont="1" applyBorder="1" applyAlignment="1">
      <alignment horizontal="right"/>
    </xf>
    <xf numFmtId="0" fontId="0" fillId="3" borderId="134" xfId="0" applyFont="1" applyFill="1" applyBorder="1" applyAlignment="1">
      <alignment/>
    </xf>
    <xf numFmtId="0" fontId="0" fillId="0" borderId="134" xfId="0" applyFont="1" applyBorder="1" applyAlignment="1">
      <alignment/>
    </xf>
    <xf numFmtId="0" fontId="12" fillId="0" borderId="134" xfId="0" applyFont="1" applyBorder="1" applyAlignment="1">
      <alignment/>
    </xf>
    <xf numFmtId="0" fontId="12" fillId="0" borderId="134" xfId="0" applyFont="1" applyBorder="1" applyAlignment="1">
      <alignment wrapText="1"/>
    </xf>
    <xf numFmtId="3" fontId="12" fillId="0" borderId="15" xfId="0" applyNumberFormat="1" applyFont="1" applyBorder="1" applyAlignment="1">
      <alignment wrapText="1"/>
    </xf>
    <xf numFmtId="0" fontId="0" fillId="3" borderId="13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12" fillId="0" borderId="121" xfId="0" applyNumberFormat="1" applyFont="1" applyFill="1" applyBorder="1" applyAlignment="1">
      <alignment horizontal="right"/>
    </xf>
    <xf numFmtId="3" fontId="12" fillId="0" borderId="112" xfId="0" applyNumberFormat="1" applyFont="1" applyBorder="1" applyAlignment="1">
      <alignment horizontal="right"/>
    </xf>
    <xf numFmtId="3" fontId="12" fillId="4" borderId="55" xfId="0" applyNumberFormat="1" applyFont="1" applyFill="1" applyBorder="1" applyAlignment="1">
      <alignment/>
    </xf>
    <xf numFmtId="3" fontId="12" fillId="4" borderId="101" xfId="0" applyNumberFormat="1" applyFont="1" applyFill="1" applyBorder="1" applyAlignment="1">
      <alignment/>
    </xf>
    <xf numFmtId="0" fontId="12" fillId="4" borderId="55" xfId="0" applyFont="1" applyFill="1" applyBorder="1" applyAlignment="1">
      <alignment horizontal="left"/>
    </xf>
    <xf numFmtId="0" fontId="12" fillId="4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3" fontId="12" fillId="0" borderId="120" xfId="0" applyNumberFormat="1" applyFont="1" applyFill="1" applyBorder="1" applyAlignment="1">
      <alignment horizontal="right" wrapText="1"/>
    </xf>
    <xf numFmtId="0" fontId="12" fillId="3" borderId="134" xfId="0" applyFont="1" applyFill="1" applyBorder="1" applyAlignment="1">
      <alignment/>
    </xf>
    <xf numFmtId="0" fontId="12" fillId="0" borderId="134" xfId="0" applyFont="1" applyBorder="1" applyAlignment="1">
      <alignment/>
    </xf>
    <xf numFmtId="3" fontId="12" fillId="0" borderId="134" xfId="0" applyNumberFormat="1" applyFont="1" applyFill="1" applyBorder="1" applyAlignment="1">
      <alignment horizontal="right"/>
    </xf>
    <xf numFmtId="3" fontId="12" fillId="0" borderId="134" xfId="0" applyNumberFormat="1" applyFont="1" applyBorder="1" applyAlignment="1">
      <alignment horizontal="right"/>
    </xf>
    <xf numFmtId="0" fontId="12" fillId="0" borderId="0" xfId="0" applyFont="1" applyBorder="1" applyAlignment="1">
      <alignment wrapText="1"/>
    </xf>
    <xf numFmtId="3" fontId="15" fillId="0" borderId="15" xfId="0" applyNumberFormat="1" applyFont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wrapText="1"/>
    </xf>
    <xf numFmtId="3" fontId="13" fillId="0" borderId="17" xfId="0" applyNumberFormat="1" applyFont="1" applyFill="1" applyBorder="1" applyAlignment="1">
      <alignment horizontal="right"/>
    </xf>
    <xf numFmtId="3" fontId="13" fillId="0" borderId="17" xfId="0" applyNumberFormat="1" applyFont="1" applyBorder="1" applyAlignment="1">
      <alignment horizontal="right"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0" fillId="3" borderId="1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21" xfId="0" applyNumberFormat="1" applyFont="1" applyFill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0" fillId="0" borderId="21" xfId="0" applyFont="1" applyBorder="1" applyAlignment="1">
      <alignment wrapText="1"/>
    </xf>
    <xf numFmtId="3" fontId="13" fillId="3" borderId="15" xfId="0" applyNumberFormat="1" applyFont="1" applyFill="1" applyBorder="1" applyAlignment="1">
      <alignment horizontal="right"/>
    </xf>
    <xf numFmtId="3" fontId="12" fillId="3" borderId="0" xfId="0" applyNumberFormat="1" applyFont="1" applyFill="1" applyBorder="1" applyAlignment="1">
      <alignment horizontal="right"/>
    </xf>
    <xf numFmtId="0" fontId="0" fillId="0" borderId="21" xfId="0" applyFont="1" applyBorder="1" applyAlignment="1">
      <alignment/>
    </xf>
    <xf numFmtId="3" fontId="0" fillId="0" borderId="22" xfId="0" applyNumberFormat="1" applyFont="1" applyFill="1" applyBorder="1" applyAlignment="1">
      <alignment horizontal="right" wrapText="1"/>
    </xf>
    <xf numFmtId="0" fontId="0" fillId="0" borderId="79" xfId="0" applyFont="1" applyBorder="1" applyAlignment="1">
      <alignment/>
    </xf>
    <xf numFmtId="0" fontId="13" fillId="0" borderId="15" xfId="0" applyFont="1" applyFill="1" applyBorder="1" applyAlignment="1">
      <alignment wrapText="1"/>
    </xf>
    <xf numFmtId="3" fontId="13" fillId="0" borderId="15" xfId="0" applyNumberFormat="1" applyFont="1" applyFill="1" applyBorder="1" applyAlignment="1">
      <alignment horizontal="right"/>
    </xf>
    <xf numFmtId="3" fontId="13" fillId="0" borderId="15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10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9" xfId="0" applyFont="1" applyFill="1" applyBorder="1" applyAlignment="1">
      <alignment/>
    </xf>
    <xf numFmtId="3" fontId="46" fillId="0" borderId="0" xfId="0" applyNumberFormat="1" applyFont="1" applyFill="1" applyAlignment="1">
      <alignment/>
    </xf>
    <xf numFmtId="0" fontId="25" fillId="0" borderId="17" xfId="0" applyFont="1" applyBorder="1" applyAlignment="1">
      <alignment/>
    </xf>
    <xf numFmtId="0" fontId="25" fillId="0" borderId="17" xfId="0" applyFont="1" applyBorder="1" applyAlignment="1">
      <alignment/>
    </xf>
    <xf numFmtId="0" fontId="13" fillId="4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4" borderId="142" xfId="0" applyFont="1" applyFill="1" applyBorder="1" applyAlignment="1">
      <alignment horizontal="left" vertical="center" wrapText="1"/>
    </xf>
    <xf numFmtId="0" fontId="0" fillId="0" borderId="135" xfId="0" applyBorder="1" applyAlignment="1">
      <alignment horizontal="left" wrapText="1"/>
    </xf>
    <xf numFmtId="0" fontId="0" fillId="0" borderId="105" xfId="0" applyBorder="1" applyAlignment="1">
      <alignment horizontal="left" wrapText="1"/>
    </xf>
    <xf numFmtId="0" fontId="5" fillId="4" borderId="142" xfId="0" applyFont="1" applyFill="1" applyBorder="1" applyAlignment="1">
      <alignment horizontal="left" vertical="center" wrapText="1"/>
    </xf>
    <xf numFmtId="0" fontId="5" fillId="4" borderId="135" xfId="0" applyFont="1" applyFill="1" applyBorder="1" applyAlignment="1">
      <alignment horizontal="left" vertical="center" wrapText="1"/>
    </xf>
    <xf numFmtId="0" fontId="5" fillId="4" borderId="105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left" wrapText="1"/>
    </xf>
    <xf numFmtId="0" fontId="39" fillId="0" borderId="0" xfId="0" applyFont="1" applyAlignment="1">
      <alignment/>
    </xf>
    <xf numFmtId="0" fontId="40" fillId="0" borderId="0" xfId="0" applyFont="1" applyAlignment="1">
      <alignment horizontal="left" wrapText="1"/>
    </xf>
    <xf numFmtId="0" fontId="13" fillId="4" borderId="143" xfId="0" applyFont="1" applyFill="1" applyBorder="1" applyAlignment="1">
      <alignment horizontal="left" vertical="center" wrapText="1"/>
    </xf>
    <xf numFmtId="0" fontId="13" fillId="4" borderId="135" xfId="0" applyFont="1" applyFill="1" applyBorder="1" applyAlignment="1">
      <alignment horizontal="left" vertical="center" wrapText="1"/>
    </xf>
    <xf numFmtId="0" fontId="13" fillId="4" borderId="105" xfId="0" applyFont="1" applyFill="1" applyBorder="1" applyAlignment="1">
      <alignment horizontal="left" vertical="center" wrapText="1"/>
    </xf>
    <xf numFmtId="0" fontId="13" fillId="4" borderId="144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center" vertical="center" wrapText="1"/>
    </xf>
    <xf numFmtId="3" fontId="13" fillId="3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3" borderId="85" xfId="0" applyFont="1" applyFill="1" applyBorder="1" applyAlignment="1">
      <alignment horizontal="center" vertical="center"/>
    </xf>
    <xf numFmtId="0" fontId="0" fillId="0" borderId="145" xfId="0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3" fontId="13" fillId="4" borderId="142" xfId="15" applyNumberFormat="1" applyFont="1" applyFill="1" applyBorder="1" applyAlignment="1">
      <alignment horizontal="center"/>
    </xf>
    <xf numFmtId="0" fontId="0" fillId="0" borderId="135" xfId="0" applyBorder="1" applyAlignment="1">
      <alignment horizontal="center"/>
    </xf>
    <xf numFmtId="0" fontId="0" fillId="0" borderId="105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/>
    </xf>
    <xf numFmtId="0" fontId="13" fillId="0" borderId="1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center" wrapText="1"/>
    </xf>
    <xf numFmtId="0" fontId="47" fillId="0" borderId="0" xfId="0" applyFont="1" applyAlignment="1">
      <alignment horizontal="left" indent="3"/>
    </xf>
    <xf numFmtId="0" fontId="47" fillId="0" borderId="0" xfId="0" applyFont="1" applyAlignment="1">
      <alignment horizontal="left" indent="15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Normalny_Zmniejszenia-zwiększenia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2457450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0" y="0"/>
          <a:ext cx="2457450" cy="0"/>
        </a:xfrm>
        <a:prstGeom prst="lin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4" name="Line 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5" name="Line 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6" name="Line 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7" name="Line 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8" name="Line 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9" name="Line 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0" name="Line 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1" name="Line 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2" name="Line 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3" name="Line 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4" name="Line 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5" name="Line 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6" name="Line 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7" name="Line 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8" name="Line 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9" name="Line 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0" name="Line 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1" name="Line 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2" name="Line 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3" name="Line 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4" name="Line 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5" name="Line 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6" name="Line 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7" name="Line 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8" name="Line 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9" name="Line 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0" name="Line 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1" name="Line 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2" name="Line 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3" name="Line 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4" name="Line 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5" name="Line 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6" name="Line 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7" name="Line 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8" name="Line 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9" name="Line 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0" name="Line 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1" name="Line 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2" name="Line 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3" name="Line 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4" name="Line 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5" name="Line 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6" name="Line 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7" name="Line 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8" name="Line 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9" name="Line 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0" name="Line 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1" name="Line 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2" name="Line 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3" name="Line 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4" name="Line 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5" name="Line 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6" name="Line 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7" name="Line 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8" name="Line 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9" name="Line 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0" name="Line 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1" name="Line 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2" name="Line 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3" name="Line 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4" name="Line 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5" name="Line 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6" name="Line 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7" name="Line 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8" name="Line 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9" name="Line 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0" name="Line 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1" name="Line 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2" name="Line 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3" name="Line 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4" name="Line 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5" name="Line 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6" name="Line 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7" name="Line 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8" name="Line 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9" name="Line 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0" name="Line 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1" name="Line 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2" name="Line 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3" name="Line 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4" name="Line 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5" name="Line 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6" name="Line 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7" name="Line 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8" name="Line 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9" name="Line 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0" name="Line 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1" name="Line 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2" name="Line 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3" name="Line 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4" name="Line 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5" name="Line 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6" name="Line 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7" name="Line 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8" name="Line 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9" name="Line 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0" name="Line 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1" name="Line 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2" name="Line 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3" name="Line 1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4" name="Line 1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5" name="Line 1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6" name="Line 1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7" name="Line 1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8" name="Line 1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9" name="Line 1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0" name="Line 1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1" name="Line 1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2" name="Line 1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3" name="Line 1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4" name="Line 1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5" name="Line 1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6" name="Line 1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7" name="Line 1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8" name="Line 1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9" name="Line 1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0" name="Line 1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1" name="Line 1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2" name="Line 1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3" name="Line 1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4" name="Line 1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5" name="Line 1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6" name="Line 1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7" name="Line 1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8" name="Line 1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9" name="Line 1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0" name="Line 1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1" name="Line 1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2" name="Line 1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3" name="Line 1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4" name="Line 1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5" name="Line 1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6" name="Line 1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7" name="Line 1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8" name="Line 1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9" name="Line 1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0" name="Line 1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1" name="Line 1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2" name="Line 1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3" name="Line 1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4" name="Line 1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5" name="Line 1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6" name="Line 1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7" name="Line 1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8" name="Line 1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9" name="Line 1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0" name="Line 1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1" name="Line 1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2" name="Line 1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3" name="Line 1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4" name="Line 1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5" name="Line 1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6" name="Line 1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7" name="Line 1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8" name="Line 1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9" name="Line 1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0" name="Line 1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1" name="Line 1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2" name="Line 1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3" name="Line 1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4" name="Line 1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5" name="Line 1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6" name="Line 1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7" name="Line 1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8" name="Line 1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9" name="Line 1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0" name="Line 1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1" name="Line 1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2" name="Line 1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3" name="Line 1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4" name="Line 1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5" name="Line 1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6" name="Line 1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7" name="Line 1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8" name="Line 1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9" name="Line 1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0" name="Line 1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1" name="Line 1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2" name="Line 1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3" name="Line 1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4" name="Line 1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5" name="Line 1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6" name="Line 1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7" name="Line 1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8" name="Line 1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9" name="Line 1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0" name="Line 1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1" name="Line 1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2" name="Line 1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3" name="Line 1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4" name="Line 1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5" name="Line 1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6" name="Line 1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7" name="Line 1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8" name="Line 1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9" name="Line 1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0" name="Line 1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1" name="Line 1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2" name="Line 1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3" name="Line 2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4" name="Line 2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5" name="Line 2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6" name="Line 2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7" name="Line 2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8" name="Line 2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9" name="Line 2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0" name="Line 2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1" name="Line 2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2" name="Line 2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3" name="Line 2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4" name="Line 2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5" name="Line 2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6" name="Line 2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7" name="Line 2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8" name="Line 2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9" name="Line 2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0" name="Line 2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1" name="Line 2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2" name="Line 2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3" name="Line 2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4" name="Line 2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5" name="Line 2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6" name="Line 2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7" name="Line 2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8" name="Line 2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9" name="Line 2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0" name="Line 2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1" name="Line 2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2" name="Line 2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3" name="Line 2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4" name="Line 2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5" name="Line 2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6" name="Line 2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7" name="Line 2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8" name="Line 2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9" name="Line 2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0" name="Line 2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1" name="Line 2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2" name="Line 2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3" name="Line 2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4" name="Line 2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5" name="Line 2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6" name="Line 2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7" name="Line 2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8" name="Line 2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9" name="Line 2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0" name="Line 2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1" name="Line 2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2" name="Line 2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3" name="Line 2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4" name="Line 2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5" name="Line 2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6" name="Line 2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7" name="Line 2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8" name="Line 2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9" name="Line 2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0" name="Line 2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1" name="Line 2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2" name="Line 2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3" name="Line 2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4" name="Line 2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5" name="Line 2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6" name="Line 2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7" name="Line 2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8" name="Line 2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9" name="Line 2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0" name="Line 2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1" name="Line 2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2" name="Line 2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3" name="Line 2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4" name="Line 2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5" name="Line 2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6" name="Line 2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7" name="Line 2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8" name="Line 2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9" name="Line 2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0" name="Line 2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1" name="Line 2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2" name="Line 2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3" name="Line 2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4" name="Line 2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5" name="Line 2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6" name="Line 2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7" name="Line 2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8" name="Line 2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9" name="Line 2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0" name="Line 2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1" name="Line 2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2" name="Line 2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3" name="Line 2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4" name="Line 2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5" name="Line 2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6" name="Line 2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7" name="Line 2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8" name="Line 2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9" name="Line 2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0" name="Line 2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1" name="Line 2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2" name="Line 2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3" name="Line 3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4" name="Line 3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5" name="Line 3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6" name="Line 3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7" name="Line 3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8" name="Line 3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9" name="Line 3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0" name="Line 3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1" name="Line 3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2" name="Line 3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3" name="Line 3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4" name="Line 3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5" name="Line 3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6" name="Line 3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7" name="Line 3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8" name="Line 3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9" name="Line 3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0" name="Line 3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1" name="Line 3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2" name="Line 3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3" name="Line 3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4" name="Line 3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5" name="Line 3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6" name="Line 3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7" name="Line 3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8" name="Line 3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9" name="Line 3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0" name="Line 3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1" name="Line 3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2" name="Line 3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3" name="Line 3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4" name="Line 3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5" name="Line 3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6" name="Line 3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7" name="Line 3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8" name="Line 3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9" name="Line 3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0" name="Line 3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1" name="Line 3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2" name="Line 3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3" name="Line 3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4" name="Line 3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5" name="Line 3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6" name="Line 3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7" name="Line 3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8" name="Line 3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9" name="Line 3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0" name="Line 3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1" name="Line 3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2" name="Line 3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3" name="Line 3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4" name="Line 3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5" name="Line 3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6" name="Line 3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7" name="Line 3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8" name="Line 3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9" name="Line 3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0" name="Line 3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1" name="Line 3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2" name="Line 3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3" name="Line 3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4" name="Line 3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5" name="Line 3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6" name="Line 3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7" name="Line 3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8" name="Line 3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9" name="Line 3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0" name="Line 3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1" name="Line 3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2" name="Line 3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3" name="Line 3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4" name="Line 3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5" name="Line 3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6" name="Line 3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7" name="Line 3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8" name="Line 3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9" name="Line 3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0" name="Line 3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1" name="Line 3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2" name="Line 3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3" name="Line 3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4" name="Line 3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5" name="Line 3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6" name="Line 3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7" name="Line 3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8" name="Line 3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9" name="Line 3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0" name="Line 3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1" name="Line 3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2" name="Line 3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3" name="Line 3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4" name="Line 3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5" name="Line 3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6" name="Line 3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7" name="Line 3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8" name="Line 3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9" name="Line 3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0" name="Line 3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1" name="Line 3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2" name="Line 3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3" name="Line 4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4" name="Line 4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5" name="Line 4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6" name="Line 4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7" name="Line 4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8" name="Line 4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9" name="Line 4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0" name="Line 4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1" name="Line 4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2" name="Line 4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3" name="Line 4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4" name="Line 4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5" name="Line 4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6" name="Line 4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7" name="Line 4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8" name="Line 4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9" name="Line 4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0" name="Line 4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1" name="Line 4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2" name="Line 4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3" name="Line 4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4" name="Line 4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5" name="Line 4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6" name="Line 4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7" name="Line 4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8" name="Line 4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9" name="Line 4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0" name="Line 4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1" name="Line 4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2" name="Line 4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3" name="Line 4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4" name="Line 4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5" name="Line 4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6" name="Line 4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7" name="Line 4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8" name="Line 4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9" name="Line 4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0" name="Line 4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1" name="Line 4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2" name="Line 4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3" name="Line 4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4" name="Line 4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5" name="Line 4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6" name="Line 4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7" name="Line 4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8" name="Line 4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9" name="Line 4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0" name="Line 4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1" name="Line 4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2" name="Line 4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3" name="Line 4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4" name="Line 4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5" name="Line 4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6" name="Line 4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7" name="Line 4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8" name="Line 4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9" name="Line 4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0" name="Line 4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1" name="Line 4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2" name="Line 4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3" name="Line 4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4" name="Line 4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5" name="Line 4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6" name="Line 4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7" name="Line 4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8" name="Line 4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9" name="Line 4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0" name="Line 4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1" name="Line 4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2" name="Line 4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3" name="Line 4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4" name="Line 4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5" name="Line 4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6" name="Line 4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7" name="Line 4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8" name="Line 4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9" name="Line 4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0" name="Line 4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1" name="Line 4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2" name="Line 4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3" name="Line 4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4" name="Line 4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5" name="Line 4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6" name="Line 4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7" name="Line 4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8" name="Line 4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9" name="Line 4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0" name="Line 4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1" name="Line 4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2" name="Line 4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3" name="Line 4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4" name="Line 4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5" name="Line 4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6" name="Line 4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7" name="Line 4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8" name="Line 4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9" name="Line 4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0" name="Line 4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1" name="Line 4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2" name="Line 4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3" name="Line 5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4" name="Line 5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5" name="Line 5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6" name="Line 5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7" name="Line 5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8" name="Line 5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9" name="Line 5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0" name="Line 5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1" name="Line 5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2" name="Line 5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3" name="Line 5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4" name="Line 5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5" name="Line 5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6" name="Line 5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7" name="Line 5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8" name="Line 5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9" name="Line 5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0" name="Line 5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1" name="Line 5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2" name="Line 5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3" name="Line 5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4" name="Line 5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5" name="Line 5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6" name="Line 5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7" name="Line 5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8" name="Line 5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9" name="Line 5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0" name="Line 5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1" name="Line 5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2" name="Line 5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3" name="Line 5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4" name="Line 5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5" name="Line 5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6" name="Line 5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7" name="Line 5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8" name="Line 5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9" name="Line 5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0" name="Line 5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1" name="Line 5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2" name="Line 5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3" name="Line 5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4" name="Line 5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5" name="Line 5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6" name="Line 5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7" name="Line 5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8" name="Line 5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9" name="Line 5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0" name="Line 5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1" name="Line 5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2" name="Line 5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3" name="Line 5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4" name="Line 5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5" name="Line 5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6" name="Line 5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2457450</xdr:colOff>
      <xdr:row>0</xdr:row>
      <xdr:rowOff>0</xdr:rowOff>
    </xdr:to>
    <xdr:sp>
      <xdr:nvSpPr>
        <xdr:cNvPr id="1577" name="Line 554"/>
        <xdr:cNvSpPr>
          <a:spLocks/>
        </xdr:cNvSpPr>
      </xdr:nvSpPr>
      <xdr:spPr>
        <a:xfrm>
          <a:off x="0" y="0"/>
          <a:ext cx="2457450" cy="0"/>
        </a:xfrm>
        <a:prstGeom prst="lin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8" name="Line 5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9" name="Line 5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0" name="Line 5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1" name="Line 5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2" name="Line 5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3" name="Line 5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4" name="Line 5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5" name="Line 5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6" name="Line 5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7" name="Line 5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8" name="Line 5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9" name="Line 5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0" name="Line 5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1" name="Line 5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2" name="Line 5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3" name="Line 5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4" name="Line 5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5" name="Line 5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6" name="Line 5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7" name="Line 5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8" name="Line 5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9" name="Line 5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0" name="Line 5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1" name="Line 5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2" name="Line 5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3" name="Line 5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4" name="Line 5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5" name="Line 5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6" name="Line 5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7" name="Line 5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8" name="Line 5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9" name="Line 5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0" name="Line 5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1" name="Line 5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2" name="Line 5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3" name="Line 5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4" name="Line 5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5" name="Line 5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6" name="Line 5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7" name="Line 5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8" name="Line 5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9" name="Line 5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0" name="Line 5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1" name="Line 5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2" name="Line 5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3" name="Line 6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4" name="Line 6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5" name="Line 6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6" name="Line 6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7" name="Line 6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8" name="Line 6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9" name="Line 6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0" name="Line 6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1" name="Line 6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2" name="Line 6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3" name="Line 6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4" name="Line 6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5" name="Line 6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6" name="Line 6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7" name="Line 6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8" name="Line 6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9" name="Line 6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0" name="Line 6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1" name="Line 6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2" name="Line 6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3" name="Line 6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4" name="Line 6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5" name="Line 6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6" name="Line 6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7" name="Line 6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8" name="Line 6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9" name="Line 6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0" name="Line 6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1" name="Line 6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2" name="Line 6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3" name="Line 6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4" name="Line 6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5" name="Line 6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6" name="Line 6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7" name="Line 6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8" name="Line 6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9" name="Line 6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0" name="Line 6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1" name="Line 6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2" name="Line 6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3" name="Line 6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4" name="Line 6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5" name="Line 6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6" name="Line 6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7" name="Line 6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8" name="Line 6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9" name="Line 6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0" name="Line 6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1" name="Line 6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2" name="Line 6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3" name="Line 6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4" name="Line 6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5" name="Line 6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6" name="Line 6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7" name="Line 6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8" name="Line 6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9" name="Line 6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0" name="Line 6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1" name="Line 6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2" name="Line 6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3" name="Line 6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4" name="Line 6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5" name="Line 6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6" name="Line 6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7" name="Line 6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8" name="Line 6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9" name="Line 6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0" name="Line 6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1" name="Line 6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2" name="Line 6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3" name="Line 6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4" name="Line 6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5" name="Line 6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6" name="Line 6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7" name="Line 6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8" name="Line 6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9" name="Line 6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0" name="Line 6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1" name="Line 6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2" name="Line 6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3" name="Line 6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4" name="Line 6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5" name="Line 6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6" name="Line 6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7" name="Line 6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8" name="Line 6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9" name="Line 6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0" name="Line 6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1" name="Line 6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2" name="Line 6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3" name="Line 6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4" name="Line 6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5" name="Line 6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6" name="Line 6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7" name="Line 6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8" name="Line 6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9" name="Line 6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0" name="Line 6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1" name="Line 6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2" name="Line 6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3" name="Line 7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4" name="Line 7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5" name="Line 7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6" name="Line 7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7" name="Line 7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8" name="Line 7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9" name="Line 7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0" name="Line 7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1" name="Line 7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2" name="Line 7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3" name="Line 7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4" name="Line 7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5" name="Line 7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6" name="Line 7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7" name="Line 7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8" name="Line 7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9" name="Line 7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0" name="Line 7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1" name="Line 7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2" name="Line 7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3" name="Line 7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4" name="Line 7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5" name="Line 7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6" name="Line 7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7" name="Line 7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8" name="Line 7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9" name="Line 7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0" name="Line 7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1" name="Line 7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2" name="Line 7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3" name="Line 7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4" name="Line 7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5" name="Line 7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6" name="Line 7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7" name="Line 7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8" name="Line 7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9" name="Line 7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0" name="Line 7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1" name="Line 7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2" name="Line 7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3" name="Line 7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4" name="Line 7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5" name="Line 7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6" name="Line 7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7" name="Line 7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8" name="Line 7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9" name="Line 7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0" name="Line 7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1" name="Line 7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2" name="Line 7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3" name="Line 7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4" name="Line 7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5" name="Line 7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6" name="Line 7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7" name="Line 7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8" name="Line 7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9" name="Line 7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0" name="Line 7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1" name="Line 7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2" name="Line 7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3" name="Line 7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4" name="Line 7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5" name="Line 7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6" name="Line 7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7" name="Line 7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8" name="Line 7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9" name="Line 7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0" name="Line 7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1" name="Line 7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2" name="Line 7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3" name="Line 7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4" name="Line 7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5" name="Line 7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6" name="Line 7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7" name="Line 7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8" name="Line 7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9" name="Line 7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0" name="Line 7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1" name="Line 7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2" name="Line 7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3" name="Line 7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4" name="Line 7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5" name="Line 7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6" name="Line 7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7" name="Line 7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8" name="Line 7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9" name="Line 7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0" name="Line 7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1" name="Line 7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2" name="Line 7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3" name="Line 7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4" name="Line 7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5" name="Line 7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6" name="Line 7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7" name="Line 7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8" name="Line 7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9" name="Line 7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0" name="Line 7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1" name="Line 7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2" name="Line 7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3" name="Line 8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4" name="Line 8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5" name="Line 8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6" name="Line 8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7" name="Line 8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8" name="Line 8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9" name="Line 8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0" name="Line 8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1" name="Line 8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2" name="Line 8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3" name="Line 8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4" name="Line 8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5" name="Line 8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6" name="Line 8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7" name="Line 8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8" name="Line 8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9" name="Line 8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0" name="Line 8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1" name="Line 8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2" name="Line 8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3" name="Line 8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4" name="Line 8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5" name="Line 8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6" name="Line 8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7" name="Line 8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8" name="Line 8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9" name="Line 8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0" name="Line 8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1" name="Line 8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2" name="Line 8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3" name="Line 8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4" name="Line 8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5" name="Line 8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6" name="Line 8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7" name="Line 8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8" name="Line 8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9" name="Line 8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0" name="Line 8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1" name="Line 8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2" name="Line 8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3" name="Line 8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4" name="Line 8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5" name="Line 8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6" name="Line 8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7" name="Line 8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8" name="Line 8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9" name="Line 8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0" name="Line 8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1" name="Line 8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2" name="Line 8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3" name="Line 8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4" name="Line 8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5" name="Line 8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6" name="Line 8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7" name="Line 8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8" name="Line 8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9" name="Line 8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0" name="Line 8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1" name="Line 8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2" name="Line 8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3" name="Line 8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4" name="Line 8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5" name="Line 8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6" name="Line 8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7" name="Line 8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8" name="Line 8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9" name="Line 8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0" name="Line 8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1" name="Line 8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2" name="Line 8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3" name="Line 8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4" name="Line 8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5" name="Line 8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6" name="Line 8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7" name="Line 8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8" name="Line 8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9" name="Line 8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0" name="Line 8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1" name="Line 8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2" name="Line 8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3" name="Line 8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4" name="Line 8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5" name="Line 8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6" name="Line 8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7" name="Line 8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8" name="Line 8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9" name="Line 8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0" name="Line 8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1" name="Line 8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2" name="Line 8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3" name="Line 8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4" name="Line 8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5" name="Line 8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6" name="Line 8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7" name="Line 8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8" name="Line 8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9" name="Line 8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0" name="Line 8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1" name="Line 8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2" name="Line 8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3" name="Line 9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4" name="Line 9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5" name="Line 9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6" name="Line 9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7" name="Line 9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8" name="Line 9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9" name="Line 9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0" name="Line 9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1" name="Line 9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2" name="Line 9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3" name="Line 9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4" name="Line 9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5" name="Line 9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6" name="Line 9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7" name="Line 9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8" name="Line 9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9" name="Line 9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0" name="Line 9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1" name="Line 9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2" name="Line 9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3" name="Line 9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4" name="Line 9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5" name="Line 9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6" name="Line 9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7" name="Line 9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8" name="Line 9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9" name="Line 9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0" name="Line 9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1" name="Line 9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2" name="Line 9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3" name="Line 9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4" name="Line 9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5" name="Line 9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6" name="Line 9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7" name="Line 9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8" name="Line 9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9" name="Line 9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0" name="Line 9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1" name="Line 9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2" name="Line 9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3" name="Line 9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4" name="Line 9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5" name="Line 9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6" name="Line 9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7" name="Line 9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8" name="Line 9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9" name="Line 9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0" name="Line 9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1" name="Line 9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2" name="Line 9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3" name="Line 9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4" name="Line 9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5" name="Line 9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6" name="Line 9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7" name="Line 9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8" name="Line 9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9" name="Line 9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0" name="Line 9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1" name="Line 9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2" name="Line 9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3" name="Line 9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4" name="Line 9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5" name="Line 9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6" name="Line 9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7" name="Line 9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8" name="Line 9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9" name="Line 9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0" name="Line 9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1" name="Line 9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2" name="Line 9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3" name="Line 9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4" name="Line 9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5" name="Line 9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6" name="Line 9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7" name="Line 9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8" name="Line 9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9" name="Line 9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0" name="Line 9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1" name="Line 9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2" name="Line 9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3" name="Line 9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4" name="Line 9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5" name="Line 9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6" name="Line 9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7" name="Line 9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8" name="Line 9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9" name="Line 9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0" name="Line 9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1" name="Line 9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2" name="Line 9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3" name="Line 9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4" name="Line 9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5" name="Line 9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6" name="Line 9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7" name="Line 9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8" name="Line 9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9" name="Line 9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0" name="Line 9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1" name="Line 9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2" name="Line 9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3" name="Line 10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4" name="Line 10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5" name="Line 10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6" name="Line 10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7" name="Line 10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8" name="Line 10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9" name="Line 10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0" name="Line 10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1" name="Line 10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2" name="Line 10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3" name="Line 10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4" name="Line 10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5" name="Line 10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6" name="Line 10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7" name="Line 10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8" name="Line 10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9" name="Line 10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0" name="Line 10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1" name="Line 10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2" name="Line 10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3" name="Line 10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4" name="Line 10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5" name="Line 10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6" name="Line 10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7" name="Line 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048" name="Line 1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049" name="Line 2"/>
        <xdr:cNvSpPr>
          <a:spLocks/>
        </xdr:cNvSpPr>
      </xdr:nvSpPr>
      <xdr:spPr>
        <a:xfrm>
          <a:off x="38100" y="14154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50" name="Line 3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051" name="Line 4"/>
        <xdr:cNvSpPr>
          <a:spLocks/>
        </xdr:cNvSpPr>
      </xdr:nvSpPr>
      <xdr:spPr>
        <a:xfrm>
          <a:off x="38100" y="14154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2052" name="Line 5"/>
        <xdr:cNvSpPr>
          <a:spLocks/>
        </xdr:cNvSpPr>
      </xdr:nvSpPr>
      <xdr:spPr>
        <a:xfrm>
          <a:off x="38100" y="15297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53" name="Line 6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054" name="Line 7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55" name="Line 8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2056" name="Line 9"/>
        <xdr:cNvSpPr>
          <a:spLocks/>
        </xdr:cNvSpPr>
      </xdr:nvSpPr>
      <xdr:spPr>
        <a:xfrm>
          <a:off x="38100" y="15297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2057" name="Line 10"/>
        <xdr:cNvSpPr>
          <a:spLocks/>
        </xdr:cNvSpPr>
      </xdr:nvSpPr>
      <xdr:spPr>
        <a:xfrm>
          <a:off x="38100" y="15297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058" name="Line 11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059" name="Line 12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060" name="Line 13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061" name="Line 14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062" name="Line 15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063" name="Line 16"/>
        <xdr:cNvSpPr>
          <a:spLocks/>
        </xdr:cNvSpPr>
      </xdr:nvSpPr>
      <xdr:spPr>
        <a:xfrm>
          <a:off x="38100" y="299942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064" name="Line 17"/>
        <xdr:cNvSpPr>
          <a:spLocks/>
        </xdr:cNvSpPr>
      </xdr:nvSpPr>
      <xdr:spPr>
        <a:xfrm>
          <a:off x="38100" y="299942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065" name="Line 18"/>
        <xdr:cNvSpPr>
          <a:spLocks/>
        </xdr:cNvSpPr>
      </xdr:nvSpPr>
      <xdr:spPr>
        <a:xfrm>
          <a:off x="38100" y="299942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2066" name="Line 19"/>
        <xdr:cNvSpPr>
          <a:spLocks/>
        </xdr:cNvSpPr>
      </xdr:nvSpPr>
      <xdr:spPr>
        <a:xfrm>
          <a:off x="38100" y="32880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2067" name="Line 20"/>
        <xdr:cNvSpPr>
          <a:spLocks/>
        </xdr:cNvSpPr>
      </xdr:nvSpPr>
      <xdr:spPr>
        <a:xfrm>
          <a:off x="38100" y="32880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2068" name="Line 21"/>
        <xdr:cNvSpPr>
          <a:spLocks/>
        </xdr:cNvSpPr>
      </xdr:nvSpPr>
      <xdr:spPr>
        <a:xfrm>
          <a:off x="38100" y="32880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069" name="Line 22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070" name="Line 23"/>
        <xdr:cNvSpPr>
          <a:spLocks/>
        </xdr:cNvSpPr>
      </xdr:nvSpPr>
      <xdr:spPr>
        <a:xfrm>
          <a:off x="38100" y="14154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71" name="Line 24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072" name="Line 25"/>
        <xdr:cNvSpPr>
          <a:spLocks/>
        </xdr:cNvSpPr>
      </xdr:nvSpPr>
      <xdr:spPr>
        <a:xfrm>
          <a:off x="38100" y="14154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2073" name="Line 26"/>
        <xdr:cNvSpPr>
          <a:spLocks/>
        </xdr:cNvSpPr>
      </xdr:nvSpPr>
      <xdr:spPr>
        <a:xfrm>
          <a:off x="38100" y="15297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74" name="Line 27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075" name="Line 28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76" name="Line 29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2077" name="Line 30"/>
        <xdr:cNvSpPr>
          <a:spLocks/>
        </xdr:cNvSpPr>
      </xdr:nvSpPr>
      <xdr:spPr>
        <a:xfrm>
          <a:off x="38100" y="15297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2419350</xdr:colOff>
      <xdr:row>64</xdr:row>
      <xdr:rowOff>0</xdr:rowOff>
    </xdr:to>
    <xdr:sp>
      <xdr:nvSpPr>
        <xdr:cNvPr id="2078" name="Line 31"/>
        <xdr:cNvSpPr>
          <a:spLocks/>
        </xdr:cNvSpPr>
      </xdr:nvSpPr>
      <xdr:spPr>
        <a:xfrm>
          <a:off x="0" y="15297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079" name="Line 32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080" name="Line 33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081" name="Line 34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082" name="Line 35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083" name="Line 36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084" name="Line 37"/>
        <xdr:cNvSpPr>
          <a:spLocks/>
        </xdr:cNvSpPr>
      </xdr:nvSpPr>
      <xdr:spPr>
        <a:xfrm>
          <a:off x="38100" y="299942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085" name="Line 38"/>
        <xdr:cNvSpPr>
          <a:spLocks/>
        </xdr:cNvSpPr>
      </xdr:nvSpPr>
      <xdr:spPr>
        <a:xfrm>
          <a:off x="38100" y="299942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2086" name="Line 39"/>
        <xdr:cNvSpPr>
          <a:spLocks/>
        </xdr:cNvSpPr>
      </xdr:nvSpPr>
      <xdr:spPr>
        <a:xfrm>
          <a:off x="38100" y="299942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2087" name="Line 40"/>
        <xdr:cNvSpPr>
          <a:spLocks/>
        </xdr:cNvSpPr>
      </xdr:nvSpPr>
      <xdr:spPr>
        <a:xfrm>
          <a:off x="38100" y="32880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2088" name="Line 41"/>
        <xdr:cNvSpPr>
          <a:spLocks/>
        </xdr:cNvSpPr>
      </xdr:nvSpPr>
      <xdr:spPr>
        <a:xfrm>
          <a:off x="38100" y="32880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2089" name="Line 42"/>
        <xdr:cNvSpPr>
          <a:spLocks/>
        </xdr:cNvSpPr>
      </xdr:nvSpPr>
      <xdr:spPr>
        <a:xfrm>
          <a:off x="38100" y="32880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090" name="Line 43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1" name="Line 44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2" name="Line 45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3" name="Line 46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4" name="Line 47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5" name="Line 48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2096" name="Line 49"/>
        <xdr:cNvSpPr>
          <a:spLocks/>
        </xdr:cNvSpPr>
      </xdr:nvSpPr>
      <xdr:spPr>
        <a:xfrm>
          <a:off x="38100" y="183070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7" name="Line 50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8" name="Line 51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099" name="Line 52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2100" name="Line 53"/>
        <xdr:cNvSpPr>
          <a:spLocks/>
        </xdr:cNvSpPr>
      </xdr:nvSpPr>
      <xdr:spPr>
        <a:xfrm>
          <a:off x="38100" y="183070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2101" name="Line 54"/>
        <xdr:cNvSpPr>
          <a:spLocks/>
        </xdr:cNvSpPr>
      </xdr:nvSpPr>
      <xdr:spPr>
        <a:xfrm>
          <a:off x="38100" y="183070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02" name="Line 55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03" name="Line 56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04" name="Line 57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05" name="Line 58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06" name="Line 59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07" name="Line 60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08" name="Line 61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09" name="Line 62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10" name="Line 63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111" name="Line 64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2" name="Line 65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3" name="Line 66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4" name="Line 67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5" name="Line 68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6" name="Line 69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2117" name="Line 70"/>
        <xdr:cNvSpPr>
          <a:spLocks/>
        </xdr:cNvSpPr>
      </xdr:nvSpPr>
      <xdr:spPr>
        <a:xfrm>
          <a:off x="38100" y="183070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8" name="Line 71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19" name="Line 72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20" name="Line 73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2121" name="Line 74"/>
        <xdr:cNvSpPr>
          <a:spLocks/>
        </xdr:cNvSpPr>
      </xdr:nvSpPr>
      <xdr:spPr>
        <a:xfrm>
          <a:off x="38100" y="183070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2122" name="Line 75"/>
        <xdr:cNvSpPr>
          <a:spLocks/>
        </xdr:cNvSpPr>
      </xdr:nvSpPr>
      <xdr:spPr>
        <a:xfrm>
          <a:off x="38100" y="183070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23" name="Line 76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24" name="Line 77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25" name="Line 78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26" name="Line 79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27" name="Line 80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28" name="Line 81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29" name="Line 82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30" name="Line 83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31" name="Line 84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132" name="Line 85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33" name="Line 86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34" name="Line 87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35" name="Line 88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36" name="Line 89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37" name="Line 90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2138" name="Line 91"/>
        <xdr:cNvSpPr>
          <a:spLocks/>
        </xdr:cNvSpPr>
      </xdr:nvSpPr>
      <xdr:spPr>
        <a:xfrm>
          <a:off x="38100" y="183070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39" name="Line 92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40" name="Line 93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41" name="Line 94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2142" name="Line 95"/>
        <xdr:cNvSpPr>
          <a:spLocks/>
        </xdr:cNvSpPr>
      </xdr:nvSpPr>
      <xdr:spPr>
        <a:xfrm>
          <a:off x="38100" y="183070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2143" name="Line 96"/>
        <xdr:cNvSpPr>
          <a:spLocks/>
        </xdr:cNvSpPr>
      </xdr:nvSpPr>
      <xdr:spPr>
        <a:xfrm>
          <a:off x="38100" y="183070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44" name="Line 97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45" name="Line 98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46" name="Line 99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47" name="Line 100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48" name="Line 101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49" name="Line 102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50" name="Line 103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51" name="Line 104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52" name="Line 105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153" name="Line 106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54" name="Line 107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55" name="Line 108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56" name="Line 109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57" name="Line 110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58" name="Line 111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2159" name="Line 112"/>
        <xdr:cNvSpPr>
          <a:spLocks/>
        </xdr:cNvSpPr>
      </xdr:nvSpPr>
      <xdr:spPr>
        <a:xfrm>
          <a:off x="38100" y="183070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60" name="Line 113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61" name="Line 114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62" name="Line 115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2163" name="Line 116"/>
        <xdr:cNvSpPr>
          <a:spLocks/>
        </xdr:cNvSpPr>
      </xdr:nvSpPr>
      <xdr:spPr>
        <a:xfrm>
          <a:off x="38100" y="183070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2164" name="Line 117"/>
        <xdr:cNvSpPr>
          <a:spLocks/>
        </xdr:cNvSpPr>
      </xdr:nvSpPr>
      <xdr:spPr>
        <a:xfrm>
          <a:off x="38100" y="183070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65" name="Line 118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66" name="Line 119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67" name="Line 120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68" name="Line 121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69" name="Line 122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70" name="Line 123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71" name="Line 124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72" name="Line 125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73" name="Line 126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174" name="Line 127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75" name="Line 128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76" name="Line 129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77" name="Line 130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78" name="Line 131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79" name="Line 132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2180" name="Line 133"/>
        <xdr:cNvSpPr>
          <a:spLocks/>
        </xdr:cNvSpPr>
      </xdr:nvSpPr>
      <xdr:spPr>
        <a:xfrm>
          <a:off x="38100" y="183070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81" name="Line 134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82" name="Line 135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83" name="Line 136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2184" name="Line 137"/>
        <xdr:cNvSpPr>
          <a:spLocks/>
        </xdr:cNvSpPr>
      </xdr:nvSpPr>
      <xdr:spPr>
        <a:xfrm>
          <a:off x="38100" y="183070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2185" name="Line 138"/>
        <xdr:cNvSpPr>
          <a:spLocks/>
        </xdr:cNvSpPr>
      </xdr:nvSpPr>
      <xdr:spPr>
        <a:xfrm>
          <a:off x="38100" y="183070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86" name="Line 139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87" name="Line 140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88" name="Line 141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89" name="Line 142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90" name="Line 143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91" name="Line 144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92" name="Line 145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93" name="Line 146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94" name="Line 147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195" name="Line 148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96" name="Line 149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97" name="Line 150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198" name="Line 151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199" name="Line 152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00" name="Line 153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2201" name="Line 154"/>
        <xdr:cNvSpPr>
          <a:spLocks/>
        </xdr:cNvSpPr>
      </xdr:nvSpPr>
      <xdr:spPr>
        <a:xfrm>
          <a:off x="38100" y="46901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02" name="Line 155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203" name="Line 156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204" name="Line 157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2205" name="Line 158"/>
        <xdr:cNvSpPr>
          <a:spLocks/>
        </xdr:cNvSpPr>
      </xdr:nvSpPr>
      <xdr:spPr>
        <a:xfrm>
          <a:off x="38100" y="46901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2206" name="Line 159"/>
        <xdr:cNvSpPr>
          <a:spLocks/>
        </xdr:cNvSpPr>
      </xdr:nvSpPr>
      <xdr:spPr>
        <a:xfrm>
          <a:off x="38100" y="46901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2207" name="Line 160"/>
        <xdr:cNvSpPr>
          <a:spLocks/>
        </xdr:cNvSpPr>
      </xdr:nvSpPr>
      <xdr:spPr>
        <a:xfrm>
          <a:off x="38100" y="46901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2208" name="Line 161"/>
        <xdr:cNvSpPr>
          <a:spLocks/>
        </xdr:cNvSpPr>
      </xdr:nvSpPr>
      <xdr:spPr>
        <a:xfrm>
          <a:off x="38100" y="46901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2209" name="Line 162"/>
        <xdr:cNvSpPr>
          <a:spLocks/>
        </xdr:cNvSpPr>
      </xdr:nvSpPr>
      <xdr:spPr>
        <a:xfrm>
          <a:off x="38100" y="46901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10" name="Line 163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11" name="Line 164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12" name="Line 165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13" name="Line 166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14" name="Line 167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15" name="Line 168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216" name="Line 169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17" name="Line 170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18" name="Line 171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19" name="Line 172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220" name="Line 173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21" name="Line 174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2222" name="Line 175"/>
        <xdr:cNvSpPr>
          <a:spLocks/>
        </xdr:cNvSpPr>
      </xdr:nvSpPr>
      <xdr:spPr>
        <a:xfrm>
          <a:off x="38100" y="46901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23" name="Line 176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224" name="Line 177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225" name="Line 178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2226" name="Line 179"/>
        <xdr:cNvSpPr>
          <a:spLocks/>
        </xdr:cNvSpPr>
      </xdr:nvSpPr>
      <xdr:spPr>
        <a:xfrm>
          <a:off x="38100" y="46901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2227" name="Line 180"/>
        <xdr:cNvSpPr>
          <a:spLocks/>
        </xdr:cNvSpPr>
      </xdr:nvSpPr>
      <xdr:spPr>
        <a:xfrm>
          <a:off x="38100" y="46901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2228" name="Line 181"/>
        <xdr:cNvSpPr>
          <a:spLocks/>
        </xdr:cNvSpPr>
      </xdr:nvSpPr>
      <xdr:spPr>
        <a:xfrm>
          <a:off x="38100" y="46901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2229" name="Line 182"/>
        <xdr:cNvSpPr>
          <a:spLocks/>
        </xdr:cNvSpPr>
      </xdr:nvSpPr>
      <xdr:spPr>
        <a:xfrm>
          <a:off x="38100" y="46901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2230" name="Line 183"/>
        <xdr:cNvSpPr>
          <a:spLocks/>
        </xdr:cNvSpPr>
      </xdr:nvSpPr>
      <xdr:spPr>
        <a:xfrm>
          <a:off x="38100" y="46901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31" name="Line 184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32" name="Line 185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33" name="Line 186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34" name="Line 187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35" name="Line 188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36" name="Line 189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237" name="Line 190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38" name="Line 191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39" name="Line 192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40" name="Line 193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241" name="Line 194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42" name="Line 195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2243" name="Line 196"/>
        <xdr:cNvSpPr>
          <a:spLocks/>
        </xdr:cNvSpPr>
      </xdr:nvSpPr>
      <xdr:spPr>
        <a:xfrm>
          <a:off x="38100" y="46901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44" name="Line 197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245" name="Line 198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246" name="Line 199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2247" name="Line 200"/>
        <xdr:cNvSpPr>
          <a:spLocks/>
        </xdr:cNvSpPr>
      </xdr:nvSpPr>
      <xdr:spPr>
        <a:xfrm>
          <a:off x="38100" y="46901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2248" name="Line 201"/>
        <xdr:cNvSpPr>
          <a:spLocks/>
        </xdr:cNvSpPr>
      </xdr:nvSpPr>
      <xdr:spPr>
        <a:xfrm>
          <a:off x="38100" y="46901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2249" name="Line 202"/>
        <xdr:cNvSpPr>
          <a:spLocks/>
        </xdr:cNvSpPr>
      </xdr:nvSpPr>
      <xdr:spPr>
        <a:xfrm>
          <a:off x="38100" y="46901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2250" name="Line 203"/>
        <xdr:cNvSpPr>
          <a:spLocks/>
        </xdr:cNvSpPr>
      </xdr:nvSpPr>
      <xdr:spPr>
        <a:xfrm>
          <a:off x="38100" y="46901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2251" name="Line 204"/>
        <xdr:cNvSpPr>
          <a:spLocks/>
        </xdr:cNvSpPr>
      </xdr:nvSpPr>
      <xdr:spPr>
        <a:xfrm>
          <a:off x="38100" y="46901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52" name="Line 205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53" name="Line 206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54" name="Line 207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55" name="Line 208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56" name="Line 209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57" name="Line 210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258" name="Line 211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59" name="Line 212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60" name="Line 213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61" name="Line 214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262" name="Line 215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63" name="Line 216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2264" name="Line 217"/>
        <xdr:cNvSpPr>
          <a:spLocks/>
        </xdr:cNvSpPr>
      </xdr:nvSpPr>
      <xdr:spPr>
        <a:xfrm>
          <a:off x="38100" y="46901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65" name="Line 218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266" name="Line 219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267" name="Line 220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2268" name="Line 221"/>
        <xdr:cNvSpPr>
          <a:spLocks/>
        </xdr:cNvSpPr>
      </xdr:nvSpPr>
      <xdr:spPr>
        <a:xfrm>
          <a:off x="38100" y="46901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2269" name="Line 222"/>
        <xdr:cNvSpPr>
          <a:spLocks/>
        </xdr:cNvSpPr>
      </xdr:nvSpPr>
      <xdr:spPr>
        <a:xfrm>
          <a:off x="38100" y="46901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2270" name="Line 223"/>
        <xdr:cNvSpPr>
          <a:spLocks/>
        </xdr:cNvSpPr>
      </xdr:nvSpPr>
      <xdr:spPr>
        <a:xfrm>
          <a:off x="38100" y="46901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2271" name="Line 224"/>
        <xdr:cNvSpPr>
          <a:spLocks/>
        </xdr:cNvSpPr>
      </xdr:nvSpPr>
      <xdr:spPr>
        <a:xfrm>
          <a:off x="38100" y="46901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2272" name="Line 225"/>
        <xdr:cNvSpPr>
          <a:spLocks/>
        </xdr:cNvSpPr>
      </xdr:nvSpPr>
      <xdr:spPr>
        <a:xfrm>
          <a:off x="38100" y="46901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73" name="Line 226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74" name="Line 227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75" name="Line 228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76" name="Line 229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77" name="Line 230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78" name="Line 231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279" name="Line 232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80" name="Line 233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81" name="Line 234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82" name="Line 235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283" name="Line 236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84" name="Line 237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2285" name="Line 238"/>
        <xdr:cNvSpPr>
          <a:spLocks/>
        </xdr:cNvSpPr>
      </xdr:nvSpPr>
      <xdr:spPr>
        <a:xfrm>
          <a:off x="38100" y="46901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286" name="Line 239"/>
        <xdr:cNvSpPr>
          <a:spLocks/>
        </xdr:cNvSpPr>
      </xdr:nvSpPr>
      <xdr:spPr>
        <a:xfrm>
          <a:off x="38100" y="25908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287" name="Line 240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288" name="Line 241"/>
        <xdr:cNvSpPr>
          <a:spLocks/>
        </xdr:cNvSpPr>
      </xdr:nvSpPr>
      <xdr:spPr>
        <a:xfrm>
          <a:off x="38100" y="21193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2289" name="Line 242"/>
        <xdr:cNvSpPr>
          <a:spLocks/>
        </xdr:cNvSpPr>
      </xdr:nvSpPr>
      <xdr:spPr>
        <a:xfrm>
          <a:off x="38100" y="46901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2290" name="Line 243"/>
        <xdr:cNvSpPr>
          <a:spLocks/>
        </xdr:cNvSpPr>
      </xdr:nvSpPr>
      <xdr:spPr>
        <a:xfrm>
          <a:off x="38100" y="46901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2291" name="Line 244"/>
        <xdr:cNvSpPr>
          <a:spLocks/>
        </xdr:cNvSpPr>
      </xdr:nvSpPr>
      <xdr:spPr>
        <a:xfrm>
          <a:off x="38100" y="46901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2292" name="Line 245"/>
        <xdr:cNvSpPr>
          <a:spLocks/>
        </xdr:cNvSpPr>
      </xdr:nvSpPr>
      <xdr:spPr>
        <a:xfrm>
          <a:off x="38100" y="46901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2293" name="Line 246"/>
        <xdr:cNvSpPr>
          <a:spLocks/>
        </xdr:cNvSpPr>
      </xdr:nvSpPr>
      <xdr:spPr>
        <a:xfrm>
          <a:off x="38100" y="46901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94" name="Line 247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95" name="Line 248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96" name="Line 249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97" name="Line 250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98" name="Line 251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99" name="Line 252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300" name="Line 253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301" name="Line 254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302" name="Line 255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303" name="Line 256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304" name="Line 257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305" name="Line 258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306" name="Line 259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307" name="Line 260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308" name="Line 261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309" name="Line 262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310" name="Line 263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311" name="Line 264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312" name="Line 265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313" name="Line 266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314" name="Line 267"/>
        <xdr:cNvSpPr>
          <a:spLocks/>
        </xdr:cNvSpPr>
      </xdr:nvSpPr>
      <xdr:spPr>
        <a:xfrm>
          <a:off x="38100" y="471297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15" name="Line 268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16" name="Line 269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17" name="Line 270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18" name="Line 271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19" name="Line 272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20" name="Line 273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21" name="Line 274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22" name="Line 275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23" name="Line 276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24" name="Line 277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25" name="Line 278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26" name="Line 279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27" name="Line 280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28" name="Line 281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29" name="Line 282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30" name="Line 283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31" name="Line 284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32" name="Line 285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33" name="Line 286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34" name="Line 287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35" name="Line 288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36" name="Line 289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37" name="Line 290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38" name="Line 291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39" name="Line 292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40" name="Line 293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41" name="Line 294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42" name="Line 295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43" name="Line 296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44" name="Line 297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45" name="Line 298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46" name="Line 299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47" name="Line 300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48" name="Line 301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49" name="Line 302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50" name="Line 303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51" name="Line 304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52" name="Line 305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53" name="Line 306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54" name="Line 307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55" name="Line 308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56" name="Line 309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57" name="Line 310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58" name="Line 311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59" name="Line 312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60" name="Line 313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61" name="Line 314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62" name="Line 315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63" name="Line 316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64" name="Line 317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65" name="Line 318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66" name="Line 319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67" name="Line 320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68" name="Line 321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69" name="Line 322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70" name="Line 323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71" name="Line 324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72" name="Line 325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73" name="Line 326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74" name="Line 327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75" name="Line 328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76" name="Line 329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77" name="Line 330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78" name="Line 331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79" name="Line 332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80" name="Line 333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81" name="Line 334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82" name="Line 335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83" name="Line 336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84" name="Line 337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85" name="Line 338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86" name="Line 339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87" name="Line 340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88" name="Line 341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89" name="Line 342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0</xdr:colOff>
      <xdr:row>84</xdr:row>
      <xdr:rowOff>0</xdr:rowOff>
    </xdr:to>
    <xdr:sp>
      <xdr:nvSpPr>
        <xdr:cNvPr id="2390" name="Line 343"/>
        <xdr:cNvSpPr>
          <a:spLocks/>
        </xdr:cNvSpPr>
      </xdr:nvSpPr>
      <xdr:spPr>
        <a:xfrm>
          <a:off x="38100" y="214407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391" name="Line 434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392" name="Line 435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393" name="Line 436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394" name="Line 437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395" name="Line 438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396" name="Line 439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397" name="Line 440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398" name="Line 441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399" name="Line 442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00" name="Line 443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01" name="Line 444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02" name="Line 445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03" name="Line 446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04" name="Line 447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05" name="Line 448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06" name="Line 449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07" name="Line 450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08" name="Line 451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09" name="Line 452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10" name="Line 453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11" name="Line 454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12" name="Line 455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13" name="Line 456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14" name="Line 457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15" name="Line 458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16" name="Line 459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17" name="Line 460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18" name="Line 461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19" name="Line 462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20" name="Line 463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21" name="Line 464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22" name="Line 465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23" name="Line 466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24" name="Line 467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25" name="Line 468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26" name="Line 469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27" name="Line 470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28" name="Line 471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29" name="Line 472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30" name="Line 473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31" name="Line 474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32" name="Line 475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33" name="Line 476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34" name="Line 477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35" name="Line 478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36" name="Line 479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37" name="Line 480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38" name="Line 481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39" name="Line 482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40" name="Line 483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41" name="Line 484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42" name="Line 485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43" name="Line 486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44" name="Line 487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45" name="Line 488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46" name="Line 489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47" name="Line 490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48" name="Line 491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49" name="Line 492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50" name="Line 493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51" name="Line 494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52" name="Line 495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53" name="Line 496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54" name="Line 497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55" name="Line 498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56" name="Line 499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57" name="Line 500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58" name="Line 501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59" name="Line 502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60" name="Line 503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61" name="Line 504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62" name="Line 505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63" name="Line 506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64" name="Line 507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65" name="Line 508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66" name="Line 509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67" name="Line 510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68" name="Line 511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69" name="Line 512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70" name="Line 513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71" name="Line 514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72" name="Line 515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73" name="Line 516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74" name="Line 517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75" name="Line 518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76" name="Line 519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77" name="Line 520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78" name="Line 521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79" name="Line 522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480" name="Line 523"/>
        <xdr:cNvSpPr>
          <a:spLocks/>
        </xdr:cNvSpPr>
      </xdr:nvSpPr>
      <xdr:spPr>
        <a:xfrm>
          <a:off x="38100" y="23288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2481" name="Line 524"/>
        <xdr:cNvSpPr>
          <a:spLocks/>
        </xdr:cNvSpPr>
      </xdr:nvSpPr>
      <xdr:spPr>
        <a:xfrm>
          <a:off x="38100" y="4629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2482" name="Line 525"/>
        <xdr:cNvSpPr>
          <a:spLocks/>
        </xdr:cNvSpPr>
      </xdr:nvSpPr>
      <xdr:spPr>
        <a:xfrm>
          <a:off x="38100" y="4629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2483" name="Line 526"/>
        <xdr:cNvSpPr>
          <a:spLocks/>
        </xdr:cNvSpPr>
      </xdr:nvSpPr>
      <xdr:spPr>
        <a:xfrm>
          <a:off x="38100" y="4629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2484" name="Line 527"/>
        <xdr:cNvSpPr>
          <a:spLocks/>
        </xdr:cNvSpPr>
      </xdr:nvSpPr>
      <xdr:spPr>
        <a:xfrm>
          <a:off x="38100" y="4629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2485" name="Line 528"/>
        <xdr:cNvSpPr>
          <a:spLocks/>
        </xdr:cNvSpPr>
      </xdr:nvSpPr>
      <xdr:spPr>
        <a:xfrm>
          <a:off x="38100" y="4629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2486" name="Line 529"/>
        <xdr:cNvSpPr>
          <a:spLocks/>
        </xdr:cNvSpPr>
      </xdr:nvSpPr>
      <xdr:spPr>
        <a:xfrm>
          <a:off x="38100" y="4629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2487" name="Line 530"/>
        <xdr:cNvSpPr>
          <a:spLocks/>
        </xdr:cNvSpPr>
      </xdr:nvSpPr>
      <xdr:spPr>
        <a:xfrm>
          <a:off x="38100" y="4629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2488" name="Line 531"/>
        <xdr:cNvSpPr>
          <a:spLocks/>
        </xdr:cNvSpPr>
      </xdr:nvSpPr>
      <xdr:spPr>
        <a:xfrm>
          <a:off x="38100" y="4629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2489" name="Line 532"/>
        <xdr:cNvSpPr>
          <a:spLocks/>
        </xdr:cNvSpPr>
      </xdr:nvSpPr>
      <xdr:spPr>
        <a:xfrm>
          <a:off x="38100" y="4629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2490" name="Line 533"/>
        <xdr:cNvSpPr>
          <a:spLocks/>
        </xdr:cNvSpPr>
      </xdr:nvSpPr>
      <xdr:spPr>
        <a:xfrm>
          <a:off x="38100" y="4629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2491" name="Line 534"/>
        <xdr:cNvSpPr>
          <a:spLocks/>
        </xdr:cNvSpPr>
      </xdr:nvSpPr>
      <xdr:spPr>
        <a:xfrm>
          <a:off x="38100" y="4629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2492" name="Line 535"/>
        <xdr:cNvSpPr>
          <a:spLocks/>
        </xdr:cNvSpPr>
      </xdr:nvSpPr>
      <xdr:spPr>
        <a:xfrm>
          <a:off x="38100" y="4629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2493" name="Line 536"/>
        <xdr:cNvSpPr>
          <a:spLocks/>
        </xdr:cNvSpPr>
      </xdr:nvSpPr>
      <xdr:spPr>
        <a:xfrm>
          <a:off x="38100" y="4629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2494" name="Line 537"/>
        <xdr:cNvSpPr>
          <a:spLocks/>
        </xdr:cNvSpPr>
      </xdr:nvSpPr>
      <xdr:spPr>
        <a:xfrm>
          <a:off x="38100" y="4629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2495" name="Line 538"/>
        <xdr:cNvSpPr>
          <a:spLocks/>
        </xdr:cNvSpPr>
      </xdr:nvSpPr>
      <xdr:spPr>
        <a:xfrm>
          <a:off x="38100" y="4629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2496" name="Line 539"/>
        <xdr:cNvSpPr>
          <a:spLocks/>
        </xdr:cNvSpPr>
      </xdr:nvSpPr>
      <xdr:spPr>
        <a:xfrm>
          <a:off x="38100" y="4629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2497" name="Line 540"/>
        <xdr:cNvSpPr>
          <a:spLocks/>
        </xdr:cNvSpPr>
      </xdr:nvSpPr>
      <xdr:spPr>
        <a:xfrm>
          <a:off x="38100" y="4629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2498" name="Line 541"/>
        <xdr:cNvSpPr>
          <a:spLocks/>
        </xdr:cNvSpPr>
      </xdr:nvSpPr>
      <xdr:spPr>
        <a:xfrm>
          <a:off x="38100" y="4629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2499" name="Line 542"/>
        <xdr:cNvSpPr>
          <a:spLocks/>
        </xdr:cNvSpPr>
      </xdr:nvSpPr>
      <xdr:spPr>
        <a:xfrm>
          <a:off x="38100" y="4629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2500" name="Line 543"/>
        <xdr:cNvSpPr>
          <a:spLocks/>
        </xdr:cNvSpPr>
      </xdr:nvSpPr>
      <xdr:spPr>
        <a:xfrm>
          <a:off x="38100" y="4629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2501" name="Line 544"/>
        <xdr:cNvSpPr>
          <a:spLocks/>
        </xdr:cNvSpPr>
      </xdr:nvSpPr>
      <xdr:spPr>
        <a:xfrm>
          <a:off x="38100" y="4629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2502" name="Line 545"/>
        <xdr:cNvSpPr>
          <a:spLocks/>
        </xdr:cNvSpPr>
      </xdr:nvSpPr>
      <xdr:spPr>
        <a:xfrm>
          <a:off x="38100" y="4629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2503" name="Line 546"/>
        <xdr:cNvSpPr>
          <a:spLocks/>
        </xdr:cNvSpPr>
      </xdr:nvSpPr>
      <xdr:spPr>
        <a:xfrm>
          <a:off x="38100" y="4629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2504" name="Line 547"/>
        <xdr:cNvSpPr>
          <a:spLocks/>
        </xdr:cNvSpPr>
      </xdr:nvSpPr>
      <xdr:spPr>
        <a:xfrm>
          <a:off x="38100" y="4629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2505" name="Line 548"/>
        <xdr:cNvSpPr>
          <a:spLocks/>
        </xdr:cNvSpPr>
      </xdr:nvSpPr>
      <xdr:spPr>
        <a:xfrm>
          <a:off x="38100" y="4629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2506" name="Line 549"/>
        <xdr:cNvSpPr>
          <a:spLocks/>
        </xdr:cNvSpPr>
      </xdr:nvSpPr>
      <xdr:spPr>
        <a:xfrm>
          <a:off x="38100" y="4629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2507" name="Line 550"/>
        <xdr:cNvSpPr>
          <a:spLocks/>
        </xdr:cNvSpPr>
      </xdr:nvSpPr>
      <xdr:spPr>
        <a:xfrm>
          <a:off x="38100" y="4629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2508" name="Line 551"/>
        <xdr:cNvSpPr>
          <a:spLocks/>
        </xdr:cNvSpPr>
      </xdr:nvSpPr>
      <xdr:spPr>
        <a:xfrm>
          <a:off x="38100" y="4629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2509" name="Line 552"/>
        <xdr:cNvSpPr>
          <a:spLocks/>
        </xdr:cNvSpPr>
      </xdr:nvSpPr>
      <xdr:spPr>
        <a:xfrm>
          <a:off x="38100" y="4629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2510" name="Line 553"/>
        <xdr:cNvSpPr>
          <a:spLocks/>
        </xdr:cNvSpPr>
      </xdr:nvSpPr>
      <xdr:spPr>
        <a:xfrm>
          <a:off x="38100" y="462915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2511" name="Line 554"/>
        <xdr:cNvSpPr>
          <a:spLocks/>
        </xdr:cNvSpPr>
      </xdr:nvSpPr>
      <xdr:spPr>
        <a:xfrm>
          <a:off x="38100" y="15859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2512" name="Line 555"/>
        <xdr:cNvSpPr>
          <a:spLocks/>
        </xdr:cNvSpPr>
      </xdr:nvSpPr>
      <xdr:spPr>
        <a:xfrm>
          <a:off x="38100" y="15859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2513" name="Line 556"/>
        <xdr:cNvSpPr>
          <a:spLocks/>
        </xdr:cNvSpPr>
      </xdr:nvSpPr>
      <xdr:spPr>
        <a:xfrm>
          <a:off x="38100" y="15859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66</xdr:row>
      <xdr:rowOff>0</xdr:rowOff>
    </xdr:from>
    <xdr:to>
      <xdr:col>1</xdr:col>
      <xdr:colOff>0</xdr:colOff>
      <xdr:row>66</xdr:row>
      <xdr:rowOff>0</xdr:rowOff>
    </xdr:to>
    <xdr:sp>
      <xdr:nvSpPr>
        <xdr:cNvPr id="2514" name="Line 557"/>
        <xdr:cNvSpPr>
          <a:spLocks/>
        </xdr:cNvSpPr>
      </xdr:nvSpPr>
      <xdr:spPr>
        <a:xfrm>
          <a:off x="38100" y="158591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15" name="Line 558"/>
        <xdr:cNvSpPr>
          <a:spLocks/>
        </xdr:cNvSpPr>
      </xdr:nvSpPr>
      <xdr:spPr>
        <a:xfrm>
          <a:off x="38100" y="45681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16" name="Line 559"/>
        <xdr:cNvSpPr>
          <a:spLocks/>
        </xdr:cNvSpPr>
      </xdr:nvSpPr>
      <xdr:spPr>
        <a:xfrm>
          <a:off x="38100" y="45681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17" name="Line 560"/>
        <xdr:cNvSpPr>
          <a:spLocks/>
        </xdr:cNvSpPr>
      </xdr:nvSpPr>
      <xdr:spPr>
        <a:xfrm>
          <a:off x="38100" y="45681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18" name="Line 561"/>
        <xdr:cNvSpPr>
          <a:spLocks/>
        </xdr:cNvSpPr>
      </xdr:nvSpPr>
      <xdr:spPr>
        <a:xfrm>
          <a:off x="38100" y="45681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19" name="Line 562"/>
        <xdr:cNvSpPr>
          <a:spLocks/>
        </xdr:cNvSpPr>
      </xdr:nvSpPr>
      <xdr:spPr>
        <a:xfrm>
          <a:off x="38100" y="45681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20" name="Line 563"/>
        <xdr:cNvSpPr>
          <a:spLocks/>
        </xdr:cNvSpPr>
      </xdr:nvSpPr>
      <xdr:spPr>
        <a:xfrm>
          <a:off x="38100" y="45681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21" name="Line 564"/>
        <xdr:cNvSpPr>
          <a:spLocks/>
        </xdr:cNvSpPr>
      </xdr:nvSpPr>
      <xdr:spPr>
        <a:xfrm>
          <a:off x="38100" y="45681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22" name="Line 565"/>
        <xdr:cNvSpPr>
          <a:spLocks/>
        </xdr:cNvSpPr>
      </xdr:nvSpPr>
      <xdr:spPr>
        <a:xfrm>
          <a:off x="38100" y="45681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23" name="Line 566"/>
        <xdr:cNvSpPr>
          <a:spLocks/>
        </xdr:cNvSpPr>
      </xdr:nvSpPr>
      <xdr:spPr>
        <a:xfrm>
          <a:off x="38100" y="45681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24" name="Line 567"/>
        <xdr:cNvSpPr>
          <a:spLocks/>
        </xdr:cNvSpPr>
      </xdr:nvSpPr>
      <xdr:spPr>
        <a:xfrm>
          <a:off x="38100" y="45681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25" name="Line 568"/>
        <xdr:cNvSpPr>
          <a:spLocks/>
        </xdr:cNvSpPr>
      </xdr:nvSpPr>
      <xdr:spPr>
        <a:xfrm>
          <a:off x="38100" y="45681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26" name="Line 569"/>
        <xdr:cNvSpPr>
          <a:spLocks/>
        </xdr:cNvSpPr>
      </xdr:nvSpPr>
      <xdr:spPr>
        <a:xfrm>
          <a:off x="38100" y="45681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27" name="Line 570"/>
        <xdr:cNvSpPr>
          <a:spLocks/>
        </xdr:cNvSpPr>
      </xdr:nvSpPr>
      <xdr:spPr>
        <a:xfrm>
          <a:off x="38100" y="45681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28" name="Line 571"/>
        <xdr:cNvSpPr>
          <a:spLocks/>
        </xdr:cNvSpPr>
      </xdr:nvSpPr>
      <xdr:spPr>
        <a:xfrm>
          <a:off x="38100" y="45681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29" name="Line 572"/>
        <xdr:cNvSpPr>
          <a:spLocks/>
        </xdr:cNvSpPr>
      </xdr:nvSpPr>
      <xdr:spPr>
        <a:xfrm>
          <a:off x="38100" y="45681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30" name="Line 573"/>
        <xdr:cNvSpPr>
          <a:spLocks/>
        </xdr:cNvSpPr>
      </xdr:nvSpPr>
      <xdr:spPr>
        <a:xfrm>
          <a:off x="38100" y="45681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31" name="Line 574"/>
        <xdr:cNvSpPr>
          <a:spLocks/>
        </xdr:cNvSpPr>
      </xdr:nvSpPr>
      <xdr:spPr>
        <a:xfrm>
          <a:off x="38100" y="45681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32" name="Line 575"/>
        <xdr:cNvSpPr>
          <a:spLocks/>
        </xdr:cNvSpPr>
      </xdr:nvSpPr>
      <xdr:spPr>
        <a:xfrm>
          <a:off x="38100" y="45681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33" name="Line 576"/>
        <xdr:cNvSpPr>
          <a:spLocks/>
        </xdr:cNvSpPr>
      </xdr:nvSpPr>
      <xdr:spPr>
        <a:xfrm>
          <a:off x="38100" y="45681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34" name="Line 577"/>
        <xdr:cNvSpPr>
          <a:spLocks/>
        </xdr:cNvSpPr>
      </xdr:nvSpPr>
      <xdr:spPr>
        <a:xfrm>
          <a:off x="38100" y="45681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35" name="Line 578"/>
        <xdr:cNvSpPr>
          <a:spLocks/>
        </xdr:cNvSpPr>
      </xdr:nvSpPr>
      <xdr:spPr>
        <a:xfrm>
          <a:off x="38100" y="45681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36" name="Line 579"/>
        <xdr:cNvSpPr>
          <a:spLocks/>
        </xdr:cNvSpPr>
      </xdr:nvSpPr>
      <xdr:spPr>
        <a:xfrm>
          <a:off x="38100" y="45681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37" name="Line 580"/>
        <xdr:cNvSpPr>
          <a:spLocks/>
        </xdr:cNvSpPr>
      </xdr:nvSpPr>
      <xdr:spPr>
        <a:xfrm>
          <a:off x="38100" y="45681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38" name="Line 581"/>
        <xdr:cNvSpPr>
          <a:spLocks/>
        </xdr:cNvSpPr>
      </xdr:nvSpPr>
      <xdr:spPr>
        <a:xfrm>
          <a:off x="38100" y="45681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39" name="Line 582"/>
        <xdr:cNvSpPr>
          <a:spLocks/>
        </xdr:cNvSpPr>
      </xdr:nvSpPr>
      <xdr:spPr>
        <a:xfrm>
          <a:off x="38100" y="45681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40" name="Line 583"/>
        <xdr:cNvSpPr>
          <a:spLocks/>
        </xdr:cNvSpPr>
      </xdr:nvSpPr>
      <xdr:spPr>
        <a:xfrm>
          <a:off x="38100" y="45681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41" name="Line 584"/>
        <xdr:cNvSpPr>
          <a:spLocks/>
        </xdr:cNvSpPr>
      </xdr:nvSpPr>
      <xdr:spPr>
        <a:xfrm>
          <a:off x="38100" y="45681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42" name="Line 585"/>
        <xdr:cNvSpPr>
          <a:spLocks/>
        </xdr:cNvSpPr>
      </xdr:nvSpPr>
      <xdr:spPr>
        <a:xfrm>
          <a:off x="38100" y="45681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43" name="Line 586"/>
        <xdr:cNvSpPr>
          <a:spLocks/>
        </xdr:cNvSpPr>
      </xdr:nvSpPr>
      <xdr:spPr>
        <a:xfrm>
          <a:off x="38100" y="45681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164</xdr:row>
      <xdr:rowOff>0</xdr:rowOff>
    </xdr:from>
    <xdr:to>
      <xdr:col>1</xdr:col>
      <xdr:colOff>0</xdr:colOff>
      <xdr:row>164</xdr:row>
      <xdr:rowOff>0</xdr:rowOff>
    </xdr:to>
    <xdr:sp>
      <xdr:nvSpPr>
        <xdr:cNvPr id="2544" name="Line 587"/>
        <xdr:cNvSpPr>
          <a:spLocks/>
        </xdr:cNvSpPr>
      </xdr:nvSpPr>
      <xdr:spPr>
        <a:xfrm>
          <a:off x="38100" y="456819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98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6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7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8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9" name="Arc 129"/>
        <xdr:cNvSpPr>
          <a:spLocks/>
        </xdr:cNvSpPr>
      </xdr:nvSpPr>
      <xdr:spPr>
        <a:xfrm>
          <a:off x="1000125" y="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0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12</xdr:row>
      <xdr:rowOff>0</xdr:rowOff>
    </xdr:from>
    <xdr:to>
      <xdr:col>1</xdr:col>
      <xdr:colOff>523875</xdr:colOff>
      <xdr:row>12</xdr:row>
      <xdr:rowOff>0</xdr:rowOff>
    </xdr:to>
    <xdr:sp>
      <xdr:nvSpPr>
        <xdr:cNvPr id="131" name="Arc 131"/>
        <xdr:cNvSpPr>
          <a:spLocks/>
        </xdr:cNvSpPr>
      </xdr:nvSpPr>
      <xdr:spPr>
        <a:xfrm>
          <a:off x="1000125" y="29622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32" name="Rysowanie 11"/>
        <xdr:cNvSpPr>
          <a:spLocks/>
        </xdr:cNvSpPr>
      </xdr:nvSpPr>
      <xdr:spPr>
        <a:xfrm>
          <a:off x="1095375" y="29622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"/>
  <dimension ref="A1:I53"/>
  <sheetViews>
    <sheetView tabSelected="1" zoomScale="90" zoomScaleNormal="90" zoomScaleSheetLayoutView="75" workbookViewId="0" topLeftCell="A1">
      <selection activeCell="A1" sqref="A1"/>
    </sheetView>
  </sheetViews>
  <sheetFormatPr defaultColWidth="9.00390625" defaultRowHeight="12.75"/>
  <cols>
    <col min="1" max="1" width="5.375" style="22" customWidth="1"/>
    <col min="2" max="2" width="8.625" style="22" customWidth="1"/>
    <col min="3" max="3" width="66.625" style="22" customWidth="1"/>
    <col min="4" max="4" width="22.75390625" style="22" customWidth="1"/>
    <col min="5" max="5" width="19.00390625" style="22" customWidth="1"/>
    <col min="6" max="6" width="20.375" style="22" customWidth="1"/>
    <col min="7" max="7" width="12.00390625" style="22" customWidth="1"/>
    <col min="8" max="8" width="11.125" style="22" customWidth="1"/>
    <col min="9" max="9" width="15.25390625" style="22" customWidth="1"/>
    <col min="10" max="16384" width="9.125" style="22" customWidth="1"/>
  </cols>
  <sheetData>
    <row r="1" spans="2:5" ht="15" customHeight="1">
      <c r="B1" s="241"/>
      <c r="E1" s="50" t="s">
        <v>241</v>
      </c>
    </row>
    <row r="2" ht="15" customHeight="1">
      <c r="E2" s="22" t="s">
        <v>308</v>
      </c>
    </row>
    <row r="3" spans="3:5" ht="15" customHeight="1">
      <c r="C3" s="3" t="s">
        <v>72</v>
      </c>
      <c r="E3" s="22" t="s">
        <v>523</v>
      </c>
    </row>
    <row r="4" ht="15" customHeight="1">
      <c r="E4" s="22" t="s">
        <v>446</v>
      </c>
    </row>
    <row r="5" ht="17.25" customHeight="1" thickBot="1">
      <c r="F5" s="54" t="s">
        <v>524</v>
      </c>
    </row>
    <row r="6" spans="1:6" ht="67.5" customHeight="1" thickBot="1" thickTop="1">
      <c r="A6" s="242" t="s">
        <v>576</v>
      </c>
      <c r="B6" s="242" t="s">
        <v>529</v>
      </c>
      <c r="C6" s="118" t="s">
        <v>611</v>
      </c>
      <c r="D6" s="118" t="s">
        <v>74</v>
      </c>
      <c r="E6" s="118" t="s">
        <v>591</v>
      </c>
      <c r="F6" s="117" t="s">
        <v>579</v>
      </c>
    </row>
    <row r="7" spans="1:6" s="244" customFormat="1" ht="15.75" customHeight="1" thickBot="1" thickTop="1">
      <c r="A7" s="243">
        <v>1</v>
      </c>
      <c r="B7" s="243">
        <v>2</v>
      </c>
      <c r="C7" s="243">
        <v>3</v>
      </c>
      <c r="D7" s="243">
        <v>4</v>
      </c>
      <c r="E7" s="243">
        <v>5</v>
      </c>
      <c r="F7" s="212">
        <v>6</v>
      </c>
    </row>
    <row r="8" spans="1:9" ht="24" customHeight="1" thickBot="1" thickTop="1">
      <c r="A8" s="245"/>
      <c r="B8" s="245"/>
      <c r="C8" s="246" t="s">
        <v>75</v>
      </c>
      <c r="D8" s="267">
        <v>900893061</v>
      </c>
      <c r="E8" s="247">
        <f>E10+E28</f>
        <v>829070</v>
      </c>
      <c r="F8" s="247">
        <f>D8+E8</f>
        <v>901722131</v>
      </c>
      <c r="G8" s="47"/>
      <c r="H8" s="47"/>
      <c r="I8" s="47"/>
    </row>
    <row r="9" spans="1:6" ht="13.5" customHeight="1" thickTop="1">
      <c r="A9" s="67"/>
      <c r="B9" s="67"/>
      <c r="C9" s="67" t="s">
        <v>545</v>
      </c>
      <c r="D9" s="268"/>
      <c r="E9" s="248"/>
      <c r="F9" s="248"/>
    </row>
    <row r="10" spans="1:9" ht="19.5" customHeight="1" thickBot="1">
      <c r="A10" s="67"/>
      <c r="B10" s="67"/>
      <c r="C10" s="249" t="s">
        <v>83</v>
      </c>
      <c r="D10" s="269">
        <v>620071647</v>
      </c>
      <c r="E10" s="250">
        <f>E11+E12+E13+E17+E18</f>
        <v>-636294</v>
      </c>
      <c r="F10" s="250">
        <f aca="true" t="shared" si="0" ref="F10:F47">D10+E10</f>
        <v>619435353</v>
      </c>
      <c r="G10" s="47"/>
      <c r="I10" s="47"/>
    </row>
    <row r="11" spans="1:6" s="241" customFormat="1" ht="19.5" customHeight="1" thickBot="1">
      <c r="A11" s="85"/>
      <c r="B11" s="85"/>
      <c r="C11" s="251" t="s">
        <v>76</v>
      </c>
      <c r="D11" s="115">
        <v>403289173</v>
      </c>
      <c r="E11" s="71"/>
      <c r="F11" s="252">
        <f t="shared" si="0"/>
        <v>403289173</v>
      </c>
    </row>
    <row r="12" spans="1:6" s="241" customFormat="1" ht="19.5" customHeight="1" thickBot="1" thickTop="1">
      <c r="A12" s="85"/>
      <c r="B12" s="85"/>
      <c r="C12" s="253" t="s">
        <v>77</v>
      </c>
      <c r="D12" s="151">
        <v>107666934</v>
      </c>
      <c r="E12" s="254"/>
      <c r="F12" s="71">
        <f t="shared" si="0"/>
        <v>107666934</v>
      </c>
    </row>
    <row r="13" spans="1:6" s="241" customFormat="1" ht="19.5" customHeight="1" thickBot="1" thickTop="1">
      <c r="A13" s="85"/>
      <c r="B13" s="85"/>
      <c r="C13" s="253" t="s">
        <v>78</v>
      </c>
      <c r="D13" s="115">
        <v>31037811</v>
      </c>
      <c r="E13" s="71">
        <f>E14</f>
        <v>857</v>
      </c>
      <c r="F13" s="255">
        <f t="shared" si="0"/>
        <v>31038668</v>
      </c>
    </row>
    <row r="14" spans="1:6" ht="19.5" customHeight="1" thickTop="1">
      <c r="A14" s="184">
        <v>801</v>
      </c>
      <c r="B14" s="72"/>
      <c r="C14" s="233" t="s">
        <v>554</v>
      </c>
      <c r="D14" s="239">
        <v>1175290</v>
      </c>
      <c r="E14" s="257">
        <f>E15</f>
        <v>857</v>
      </c>
      <c r="F14" s="87">
        <f t="shared" si="0"/>
        <v>1176147</v>
      </c>
    </row>
    <row r="15" spans="1:6" ht="20.25" customHeight="1">
      <c r="A15" s="258"/>
      <c r="B15" s="227">
        <v>80101</v>
      </c>
      <c r="C15" s="492" t="s">
        <v>60</v>
      </c>
      <c r="D15" s="435">
        <v>1150543</v>
      </c>
      <c r="E15" s="260">
        <f>E16</f>
        <v>857</v>
      </c>
      <c r="F15" s="226">
        <f t="shared" si="0"/>
        <v>1151400</v>
      </c>
    </row>
    <row r="16" spans="1:6" ht="19.5" customHeight="1">
      <c r="A16" s="185"/>
      <c r="B16" s="76"/>
      <c r="C16" s="1278" t="s">
        <v>510</v>
      </c>
      <c r="D16" s="1279">
        <v>40743</v>
      </c>
      <c r="E16" s="1275">
        <v>857</v>
      </c>
      <c r="F16" s="634">
        <f t="shared" si="0"/>
        <v>41600</v>
      </c>
    </row>
    <row r="17" spans="1:6" s="241" customFormat="1" ht="29.25" customHeight="1" thickBot="1">
      <c r="A17" s="265"/>
      <c r="B17" s="265"/>
      <c r="C17" s="266" t="s">
        <v>79</v>
      </c>
      <c r="D17" s="115">
        <v>821200</v>
      </c>
      <c r="E17" s="71"/>
      <c r="F17" s="71">
        <f t="shared" si="0"/>
        <v>821200</v>
      </c>
    </row>
    <row r="18" spans="1:6" s="241" customFormat="1" ht="31.5" customHeight="1" thickBot="1" thickTop="1">
      <c r="A18" s="265"/>
      <c r="B18" s="265"/>
      <c r="C18" s="266" t="s">
        <v>80</v>
      </c>
      <c r="D18" s="115">
        <v>77256529</v>
      </c>
      <c r="E18" s="71">
        <f>E19+E22</f>
        <v>-637151</v>
      </c>
      <c r="F18" s="71">
        <f t="shared" si="0"/>
        <v>76619378</v>
      </c>
    </row>
    <row r="19" spans="1:6" ht="19.5" customHeight="1" thickTop="1">
      <c r="A19" s="184">
        <v>851</v>
      </c>
      <c r="B19" s="72"/>
      <c r="C19" s="233" t="s">
        <v>557</v>
      </c>
      <c r="D19" s="257">
        <v>1533</v>
      </c>
      <c r="E19" s="257">
        <f>E20</f>
        <v>2149</v>
      </c>
      <c r="F19" s="87">
        <f t="shared" si="0"/>
        <v>3682</v>
      </c>
    </row>
    <row r="20" spans="1:6" ht="19.5" customHeight="1">
      <c r="A20" s="258"/>
      <c r="B20" s="227">
        <v>85195</v>
      </c>
      <c r="C20" s="232" t="s">
        <v>553</v>
      </c>
      <c r="D20" s="260">
        <v>1533</v>
      </c>
      <c r="E20" s="260">
        <f>E21</f>
        <v>2149</v>
      </c>
      <c r="F20" s="226">
        <f t="shared" si="0"/>
        <v>3682</v>
      </c>
    </row>
    <row r="21" spans="1:6" ht="28.5" customHeight="1">
      <c r="A21" s="185"/>
      <c r="B21" s="76"/>
      <c r="C21" s="746" t="s">
        <v>64</v>
      </c>
      <c r="D21" s="1275">
        <v>1533</v>
      </c>
      <c r="E21" s="1275">
        <v>2149</v>
      </c>
      <c r="F21" s="634">
        <f t="shared" si="0"/>
        <v>3682</v>
      </c>
    </row>
    <row r="22" spans="1:6" ht="19.5" customHeight="1">
      <c r="A22" s="184">
        <v>852</v>
      </c>
      <c r="B22" s="72"/>
      <c r="C22" s="233" t="s">
        <v>555</v>
      </c>
      <c r="D22" s="257">
        <v>75651900</v>
      </c>
      <c r="E22" s="257">
        <f>E23+E25</f>
        <v>-639300</v>
      </c>
      <c r="F22" s="87">
        <f t="shared" si="0"/>
        <v>75012600</v>
      </c>
    </row>
    <row r="23" spans="1:6" ht="25.5">
      <c r="A23" s="258"/>
      <c r="B23" s="227">
        <v>85212</v>
      </c>
      <c r="C23" s="1115" t="s">
        <v>144</v>
      </c>
      <c r="D23" s="260">
        <v>64522000</v>
      </c>
      <c r="E23" s="260">
        <f>E24</f>
        <v>-600000</v>
      </c>
      <c r="F23" s="226">
        <f t="shared" si="0"/>
        <v>63922000</v>
      </c>
    </row>
    <row r="24" spans="1:6" ht="27.75" customHeight="1">
      <c r="A24" s="185"/>
      <c r="B24" s="186"/>
      <c r="C24" s="1277" t="s">
        <v>234</v>
      </c>
      <c r="D24" s="1275">
        <v>64522000</v>
      </c>
      <c r="E24" s="1275">
        <v>-600000</v>
      </c>
      <c r="F24" s="634">
        <f t="shared" si="0"/>
        <v>63922000</v>
      </c>
    </row>
    <row r="25" spans="1:6" ht="19.5" customHeight="1">
      <c r="A25" s="185"/>
      <c r="B25" s="227">
        <v>85228</v>
      </c>
      <c r="C25" s="1112" t="s">
        <v>142</v>
      </c>
      <c r="D25" s="260">
        <v>1317800</v>
      </c>
      <c r="E25" s="260">
        <f>E26</f>
        <v>-39300</v>
      </c>
      <c r="F25" s="226">
        <f t="shared" si="0"/>
        <v>1278500</v>
      </c>
    </row>
    <row r="26" spans="1:6" ht="18.75" customHeight="1">
      <c r="A26" s="1273"/>
      <c r="B26" s="227"/>
      <c r="C26" s="651" t="s">
        <v>143</v>
      </c>
      <c r="D26" s="1275">
        <v>1317800</v>
      </c>
      <c r="E26" s="634">
        <v>-39300</v>
      </c>
      <c r="F26" s="634">
        <f t="shared" si="0"/>
        <v>1278500</v>
      </c>
    </row>
    <row r="27" spans="1:6" ht="18.75" customHeight="1">
      <c r="A27" s="1346"/>
      <c r="B27" s="1347"/>
      <c r="C27" s="1348"/>
      <c r="D27" s="1349"/>
      <c r="E27" s="1349"/>
      <c r="F27" s="1349"/>
    </row>
    <row r="28" spans="1:6" s="241" customFormat="1" ht="20.25" customHeight="1" thickBot="1">
      <c r="A28" s="67"/>
      <c r="B28" s="67"/>
      <c r="C28" s="86" t="s">
        <v>208</v>
      </c>
      <c r="D28" s="269">
        <v>280821414</v>
      </c>
      <c r="E28" s="250">
        <f>E29+E30+E31+E37+E41</f>
        <v>1465364</v>
      </c>
      <c r="F28" s="250">
        <f t="shared" si="0"/>
        <v>282286778</v>
      </c>
    </row>
    <row r="29" spans="1:6" s="241" customFormat="1" ht="19.5" customHeight="1" thickBot="1">
      <c r="A29" s="85"/>
      <c r="B29" s="85"/>
      <c r="C29" s="653" t="s">
        <v>76</v>
      </c>
      <c r="D29" s="151">
        <v>72360210</v>
      </c>
      <c r="E29" s="654"/>
      <c r="F29" s="106">
        <f t="shared" si="0"/>
        <v>72360210</v>
      </c>
    </row>
    <row r="30" spans="1:6" s="241" customFormat="1" ht="20.25" customHeight="1" thickBot="1" thickTop="1">
      <c r="A30" s="85"/>
      <c r="B30" s="85"/>
      <c r="C30" s="655" t="s">
        <v>81</v>
      </c>
      <c r="D30" s="656">
        <v>134444797</v>
      </c>
      <c r="E30" s="657"/>
      <c r="F30" s="657">
        <f t="shared" si="0"/>
        <v>134444797</v>
      </c>
    </row>
    <row r="31" spans="1:6" s="241" customFormat="1" ht="18.75" customHeight="1" thickBot="1" thickTop="1">
      <c r="A31" s="85"/>
      <c r="B31" s="85"/>
      <c r="C31" s="253" t="s">
        <v>78</v>
      </c>
      <c r="D31" s="151">
        <v>47621705</v>
      </c>
      <c r="E31" s="106">
        <f>E32</f>
        <v>1313270</v>
      </c>
      <c r="F31" s="106">
        <f t="shared" si="0"/>
        <v>48934975</v>
      </c>
    </row>
    <row r="32" spans="1:6" ht="19.5" customHeight="1" thickTop="1">
      <c r="A32" s="184">
        <v>852</v>
      </c>
      <c r="B32" s="72"/>
      <c r="C32" s="1099" t="s">
        <v>555</v>
      </c>
      <c r="D32" s="1098">
        <v>8727100</v>
      </c>
      <c r="E32" s="1098">
        <f>E33+E35</f>
        <v>1313270</v>
      </c>
      <c r="F32" s="841">
        <f t="shared" si="0"/>
        <v>10040370</v>
      </c>
    </row>
    <row r="33" spans="1:6" ht="18" customHeight="1">
      <c r="A33" s="258"/>
      <c r="B33" s="227">
        <v>85201</v>
      </c>
      <c r="C33" s="77" t="s">
        <v>190</v>
      </c>
      <c r="D33" s="260">
        <v>15000</v>
      </c>
      <c r="E33" s="260">
        <f>E34</f>
        <v>795560</v>
      </c>
      <c r="F33" s="226">
        <f t="shared" si="0"/>
        <v>810560</v>
      </c>
    </row>
    <row r="34" spans="1:6" ht="29.25" customHeight="1">
      <c r="A34" s="185"/>
      <c r="B34" s="186"/>
      <c r="C34" s="1276" t="s">
        <v>67</v>
      </c>
      <c r="D34" s="634"/>
      <c r="E34" s="1275">
        <v>795560</v>
      </c>
      <c r="F34" s="634">
        <f t="shared" si="0"/>
        <v>795560</v>
      </c>
    </row>
    <row r="35" spans="1:6" ht="18" customHeight="1">
      <c r="A35" s="185"/>
      <c r="B35" s="227">
        <v>85202</v>
      </c>
      <c r="C35" s="78" t="s">
        <v>82</v>
      </c>
      <c r="D35" s="260">
        <v>8580100</v>
      </c>
      <c r="E35" s="260">
        <f>E36</f>
        <v>517710</v>
      </c>
      <c r="F35" s="226">
        <f t="shared" si="0"/>
        <v>9097810</v>
      </c>
    </row>
    <row r="36" spans="1:6" ht="29.25" customHeight="1">
      <c r="A36" s="185"/>
      <c r="B36" s="76"/>
      <c r="C36" s="1276" t="s">
        <v>67</v>
      </c>
      <c r="D36" s="1275"/>
      <c r="E36" s="1275">
        <v>517710</v>
      </c>
      <c r="F36" s="634">
        <f t="shared" si="0"/>
        <v>517710</v>
      </c>
    </row>
    <row r="37" spans="1:6" ht="28.5" customHeight="1" thickBot="1">
      <c r="A37" s="86"/>
      <c r="B37" s="86"/>
      <c r="C37" s="662" t="s">
        <v>79</v>
      </c>
      <c r="D37" s="1097">
        <v>4219025</v>
      </c>
      <c r="E37" s="663">
        <f>E38</f>
        <v>7000</v>
      </c>
      <c r="F37" s="663">
        <f t="shared" si="0"/>
        <v>4226025</v>
      </c>
    </row>
    <row r="38" spans="1:6" ht="19.5" customHeight="1" thickTop="1">
      <c r="A38" s="184">
        <v>754</v>
      </c>
      <c r="B38" s="72"/>
      <c r="C38" s="1099" t="s">
        <v>548</v>
      </c>
      <c r="D38" s="1098"/>
      <c r="E38" s="1098">
        <f>E39</f>
        <v>7000</v>
      </c>
      <c r="F38" s="841">
        <f t="shared" si="0"/>
        <v>7000</v>
      </c>
    </row>
    <row r="39" spans="1:6" ht="18" customHeight="1">
      <c r="A39" s="258"/>
      <c r="B39" s="227">
        <v>75411</v>
      </c>
      <c r="C39" s="77" t="s">
        <v>284</v>
      </c>
      <c r="D39" s="260"/>
      <c r="E39" s="260">
        <f>E40</f>
        <v>7000</v>
      </c>
      <c r="F39" s="226">
        <f t="shared" si="0"/>
        <v>7000</v>
      </c>
    </row>
    <row r="40" spans="1:6" ht="29.25" customHeight="1">
      <c r="A40" s="185"/>
      <c r="B40" s="76"/>
      <c r="C40" s="664" t="s">
        <v>242</v>
      </c>
      <c r="D40" s="261"/>
      <c r="E40" s="261">
        <v>7000</v>
      </c>
      <c r="F40" s="262">
        <f t="shared" si="0"/>
        <v>7000</v>
      </c>
    </row>
    <row r="41" spans="1:6" ht="30" customHeight="1" thickBot="1">
      <c r="A41" s="86"/>
      <c r="B41" s="86"/>
      <c r="C41" s="1165" t="s">
        <v>317</v>
      </c>
      <c r="D41" s="1166">
        <v>22175677</v>
      </c>
      <c r="E41" s="1167">
        <f>E42+E45</f>
        <v>145094</v>
      </c>
      <c r="F41" s="1167">
        <f t="shared" si="0"/>
        <v>22320771</v>
      </c>
    </row>
    <row r="42" spans="1:6" ht="19.5" customHeight="1" thickTop="1">
      <c r="A42" s="933">
        <v>851</v>
      </c>
      <c r="B42" s="439"/>
      <c r="C42" s="658" t="s">
        <v>557</v>
      </c>
      <c r="D42" s="257">
        <v>3187000</v>
      </c>
      <c r="E42" s="257">
        <f>E43</f>
        <v>120000</v>
      </c>
      <c r="F42" s="87">
        <f t="shared" si="0"/>
        <v>3307000</v>
      </c>
    </row>
    <row r="43" spans="1:6" ht="18" customHeight="1">
      <c r="A43" s="258"/>
      <c r="B43" s="227">
        <v>85141</v>
      </c>
      <c r="C43" s="232" t="s">
        <v>451</v>
      </c>
      <c r="D43" s="260"/>
      <c r="E43" s="260">
        <f>E44</f>
        <v>120000</v>
      </c>
      <c r="F43" s="226">
        <f t="shared" si="0"/>
        <v>120000</v>
      </c>
    </row>
    <row r="44" spans="1:6" ht="26.25" customHeight="1">
      <c r="A44" s="185"/>
      <c r="B44" s="76"/>
      <c r="C44" s="1000" t="s">
        <v>454</v>
      </c>
      <c r="D44" s="1275"/>
      <c r="E44" s="1275">
        <v>120000</v>
      </c>
      <c r="F44" s="634">
        <f t="shared" si="0"/>
        <v>120000</v>
      </c>
    </row>
    <row r="45" spans="1:6" ht="19.5" customHeight="1">
      <c r="A45" s="184">
        <v>853</v>
      </c>
      <c r="B45" s="72"/>
      <c r="C45" s="233" t="s">
        <v>598</v>
      </c>
      <c r="D45" s="257">
        <v>591560</v>
      </c>
      <c r="E45" s="257">
        <f>E46</f>
        <v>25094</v>
      </c>
      <c r="F45" s="87">
        <f t="shared" si="0"/>
        <v>616654</v>
      </c>
    </row>
    <row r="46" spans="1:6" ht="19.5" customHeight="1">
      <c r="A46" s="258"/>
      <c r="B46" s="227">
        <v>85334</v>
      </c>
      <c r="C46" s="232" t="s">
        <v>222</v>
      </c>
      <c r="D46" s="260">
        <v>39560</v>
      </c>
      <c r="E46" s="260">
        <f>E47</f>
        <v>25094</v>
      </c>
      <c r="F46" s="226">
        <f t="shared" si="0"/>
        <v>64654</v>
      </c>
    </row>
    <row r="47" spans="1:6" ht="19.5" customHeight="1">
      <c r="A47" s="1273"/>
      <c r="B47" s="227"/>
      <c r="C47" s="1274" t="s">
        <v>224</v>
      </c>
      <c r="D47" s="1275">
        <v>39560</v>
      </c>
      <c r="E47" s="1275">
        <v>25094</v>
      </c>
      <c r="F47" s="634">
        <f t="shared" si="0"/>
        <v>64654</v>
      </c>
    </row>
    <row r="51" spans="3:7" ht="14.25">
      <c r="C51" s="1475" t="s">
        <v>117</v>
      </c>
      <c r="D51" s="1478" t="s">
        <v>118</v>
      </c>
      <c r="E51"/>
      <c r="F51"/>
      <c r="G51" s="1475"/>
    </row>
    <row r="52" spans="3:7" ht="14.25">
      <c r="C52" s="1475" t="s">
        <v>119</v>
      </c>
      <c r="D52" s="1477" t="s">
        <v>120</v>
      </c>
      <c r="E52"/>
      <c r="F52"/>
      <c r="G52" s="1475"/>
    </row>
    <row r="53" spans="3:7" ht="14.25">
      <c r="C53" s="1476"/>
      <c r="D53" s="1477" t="s">
        <v>121</v>
      </c>
      <c r="E53"/>
      <c r="F53"/>
      <c r="G53"/>
    </row>
  </sheetData>
  <printOptions horizontalCentered="1"/>
  <pageMargins left="0.4724409448818898" right="0.4724409448818898" top="0.6692913385826772" bottom="0.5905511811023623" header="0.5118110236220472" footer="0.3937007874015748"/>
  <pageSetup firstPageNumber="6" useFirstPageNumber="1" horizontalDpi="300" verticalDpi="300" orientation="landscape" paperSize="9" scale="85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W319"/>
  <sheetViews>
    <sheetView zoomScale="70" zoomScaleNormal="70" workbookViewId="0" topLeftCell="A80">
      <pane ySplit="2025" topLeftCell="BM205" activePane="bottomLeft" state="split"/>
      <selection pane="topLeft" activeCell="J1" sqref="J1:J16384"/>
      <selection pane="bottomLeft" activeCell="F216" sqref="F216"/>
    </sheetView>
  </sheetViews>
  <sheetFormatPr defaultColWidth="9.00390625" defaultRowHeight="12.75"/>
  <cols>
    <col min="1" max="1" width="32.25390625" style="497" customWidth="1"/>
    <col min="2" max="2" width="12.375" style="497" customWidth="1"/>
    <col min="3" max="3" width="10.125" style="497" bestFit="1" customWidth="1"/>
    <col min="4" max="4" width="9.75390625" style="497" customWidth="1"/>
    <col min="5" max="5" width="11.875" style="497" customWidth="1"/>
    <col min="6" max="7" width="12.00390625" style="497" customWidth="1"/>
    <col min="8" max="8" width="10.875" style="497" customWidth="1"/>
    <col min="9" max="9" width="9.00390625" style="499" customWidth="1"/>
    <col min="10" max="10" width="10.625" style="497" customWidth="1"/>
    <col min="11" max="11" width="11.75390625" style="497" customWidth="1"/>
    <col min="12" max="12" width="12.125" style="497" customWidth="1"/>
    <col min="13" max="13" width="9.625" style="497" customWidth="1"/>
    <col min="14" max="15" width="10.875" style="497" customWidth="1"/>
    <col min="16" max="16" width="10.625" style="497" customWidth="1"/>
    <col min="17" max="17" width="8.125" style="497" customWidth="1"/>
    <col min="18" max="19" width="7.875" style="497" customWidth="1"/>
    <col min="20" max="20" width="13.375" style="497" customWidth="1"/>
    <col min="21" max="21" width="10.00390625" style="500" customWidth="1"/>
    <col min="22" max="22" width="11.75390625" style="501" customWidth="1"/>
    <col min="23" max="16384" width="9.125" style="501" customWidth="1"/>
  </cols>
  <sheetData>
    <row r="1" spans="1:21" ht="15.75" customHeight="1">
      <c r="A1" s="610" t="s">
        <v>624</v>
      </c>
      <c r="D1" s="498"/>
      <c r="E1" s="498"/>
      <c r="F1" s="498"/>
      <c r="G1" s="498"/>
      <c r="J1" s="498"/>
      <c r="K1" s="498"/>
      <c r="U1" s="497"/>
    </row>
    <row r="2" ht="13.5" thickBot="1">
      <c r="U2" s="611" t="s">
        <v>524</v>
      </c>
    </row>
    <row r="3" spans="1:21" ht="14.25" customHeight="1" thickBot="1" thickTop="1">
      <c r="A3" s="502"/>
      <c r="B3" s="1463" t="s">
        <v>772</v>
      </c>
      <c r="C3" s="1464"/>
      <c r="D3" s="1465"/>
      <c r="E3" s="612" t="s">
        <v>626</v>
      </c>
      <c r="F3" s="613"/>
      <c r="G3" s="824"/>
      <c r="H3" s="504"/>
      <c r="I3" s="504"/>
      <c r="J3" s="503" t="s">
        <v>627</v>
      </c>
      <c r="K3" s="504"/>
      <c r="L3" s="504"/>
      <c r="M3" s="504"/>
      <c r="N3" s="504"/>
      <c r="O3" s="504"/>
      <c r="P3" s="504"/>
      <c r="Q3" s="504"/>
      <c r="R3" s="504"/>
      <c r="S3" s="622"/>
      <c r="T3" s="505" t="s">
        <v>625</v>
      </c>
      <c r="U3" s="506"/>
    </row>
    <row r="4" spans="1:21" s="509" customFormat="1" ht="13.5" thickTop="1">
      <c r="A4" s="507" t="s">
        <v>773</v>
      </c>
      <c r="B4" s="508" t="s">
        <v>260</v>
      </c>
      <c r="C4" s="508" t="s">
        <v>774</v>
      </c>
      <c r="D4" s="614" t="s">
        <v>775</v>
      </c>
      <c r="E4" s="509" t="s">
        <v>776</v>
      </c>
      <c r="F4" s="614" t="s">
        <v>777</v>
      </c>
      <c r="G4" s="825" t="s">
        <v>264</v>
      </c>
      <c r="H4" s="509" t="s">
        <v>778</v>
      </c>
      <c r="I4" s="508" t="s">
        <v>779</v>
      </c>
      <c r="J4" s="508" t="s">
        <v>780</v>
      </c>
      <c r="K4" s="508" t="s">
        <v>781</v>
      </c>
      <c r="L4" s="508" t="s">
        <v>782</v>
      </c>
      <c r="M4" s="508" t="s">
        <v>783</v>
      </c>
      <c r="N4" s="508" t="s">
        <v>784</v>
      </c>
      <c r="O4" s="508" t="s">
        <v>421</v>
      </c>
      <c r="P4" s="508" t="s">
        <v>785</v>
      </c>
      <c r="Q4" s="508" t="s">
        <v>0</v>
      </c>
      <c r="R4" s="624" t="s">
        <v>1</v>
      </c>
      <c r="S4" s="828" t="s">
        <v>269</v>
      </c>
      <c r="T4" s="619" t="s">
        <v>608</v>
      </c>
      <c r="U4" s="607"/>
    </row>
    <row r="5" spans="1:21" s="509" customFormat="1" ht="12.75">
      <c r="A5" s="510" t="s">
        <v>2</v>
      </c>
      <c r="B5" s="511" t="s">
        <v>261</v>
      </c>
      <c r="C5" s="508" t="s">
        <v>3</v>
      </c>
      <c r="D5" s="615" t="s">
        <v>4</v>
      </c>
      <c r="E5" s="574" t="s">
        <v>5</v>
      </c>
      <c r="F5" s="615" t="s">
        <v>6</v>
      </c>
      <c r="G5" s="826" t="s">
        <v>565</v>
      </c>
      <c r="H5" s="574" t="s">
        <v>7</v>
      </c>
      <c r="I5" s="511" t="s">
        <v>8</v>
      </c>
      <c r="J5" s="511" t="s">
        <v>9</v>
      </c>
      <c r="K5" s="508" t="s">
        <v>10</v>
      </c>
      <c r="L5" s="511" t="s">
        <v>10</v>
      </c>
      <c r="M5" s="508" t="s">
        <v>10</v>
      </c>
      <c r="N5" s="508" t="s">
        <v>10</v>
      </c>
      <c r="O5" s="508" t="s">
        <v>10</v>
      </c>
      <c r="P5" s="508" t="s">
        <v>10</v>
      </c>
      <c r="Q5" s="508" t="s">
        <v>628</v>
      </c>
      <c r="R5" s="829" t="s">
        <v>629</v>
      </c>
      <c r="S5" s="830" t="s">
        <v>270</v>
      </c>
      <c r="T5" s="620" t="s">
        <v>565</v>
      </c>
      <c r="U5" s="608"/>
    </row>
    <row r="6" spans="1:21" s="509" customFormat="1" ht="12.75">
      <c r="A6" s="510"/>
      <c r="B6" s="511" t="s">
        <v>262</v>
      </c>
      <c r="C6" s="508" t="s">
        <v>11</v>
      </c>
      <c r="D6" s="615" t="s">
        <v>12</v>
      </c>
      <c r="E6" s="574" t="s">
        <v>13</v>
      </c>
      <c r="F6" s="615" t="s">
        <v>14</v>
      </c>
      <c r="G6" s="826" t="s">
        <v>262</v>
      </c>
      <c r="H6" s="574" t="s">
        <v>15</v>
      </c>
      <c r="I6" s="511" t="s">
        <v>16</v>
      </c>
      <c r="J6" s="511" t="s">
        <v>17</v>
      </c>
      <c r="K6" s="508" t="s">
        <v>18</v>
      </c>
      <c r="L6" s="511" t="s">
        <v>16</v>
      </c>
      <c r="M6" s="508" t="s">
        <v>19</v>
      </c>
      <c r="N6" s="508" t="s">
        <v>20</v>
      </c>
      <c r="O6" s="508" t="s">
        <v>20</v>
      </c>
      <c r="P6" s="508" t="s">
        <v>21</v>
      </c>
      <c r="Q6" s="508" t="s">
        <v>630</v>
      </c>
      <c r="R6" s="829" t="s">
        <v>631</v>
      </c>
      <c r="S6" s="830" t="s">
        <v>268</v>
      </c>
      <c r="T6" s="620" t="s">
        <v>609</v>
      </c>
      <c r="U6" s="608"/>
    </row>
    <row r="7" spans="1:21" s="509" customFormat="1" ht="12.75">
      <c r="A7" s="510"/>
      <c r="B7" s="511" t="s">
        <v>263</v>
      </c>
      <c r="C7" s="508" t="s">
        <v>22</v>
      </c>
      <c r="D7" s="615" t="s">
        <v>23</v>
      </c>
      <c r="E7" s="574" t="s">
        <v>24</v>
      </c>
      <c r="F7" s="615" t="s">
        <v>25</v>
      </c>
      <c r="G7" s="826" t="s">
        <v>265</v>
      </c>
      <c r="H7" s="574" t="s">
        <v>26</v>
      </c>
      <c r="I7" s="513" t="s">
        <v>27</v>
      </c>
      <c r="J7" s="511" t="s">
        <v>25</v>
      </c>
      <c r="K7" s="508" t="s">
        <v>28</v>
      </c>
      <c r="L7" s="511" t="s">
        <v>29</v>
      </c>
      <c r="M7" s="508"/>
      <c r="N7" s="511" t="s">
        <v>30</v>
      </c>
      <c r="O7" s="511" t="s">
        <v>422</v>
      </c>
      <c r="P7" s="508" t="s">
        <v>31</v>
      </c>
      <c r="Q7" s="508" t="s">
        <v>632</v>
      </c>
      <c r="R7" s="829" t="s">
        <v>633</v>
      </c>
      <c r="S7" s="830" t="s">
        <v>271</v>
      </c>
      <c r="T7" s="620" t="s">
        <v>604</v>
      </c>
      <c r="U7" s="607" t="s">
        <v>32</v>
      </c>
    </row>
    <row r="8" spans="1:21" s="509" customFormat="1" ht="12.75">
      <c r="A8" s="514" t="s">
        <v>773</v>
      </c>
      <c r="B8" s="508"/>
      <c r="C8" s="508"/>
      <c r="D8" s="616"/>
      <c r="F8" s="615" t="s">
        <v>33</v>
      </c>
      <c r="G8" s="826" t="s">
        <v>266</v>
      </c>
      <c r="H8" s="521"/>
      <c r="I8" s="513" t="s">
        <v>26</v>
      </c>
      <c r="J8" s="511" t="s">
        <v>34</v>
      </c>
      <c r="K8" s="508" t="s">
        <v>35</v>
      </c>
      <c r="L8" s="511" t="s">
        <v>36</v>
      </c>
      <c r="M8" s="508"/>
      <c r="N8" s="508"/>
      <c r="O8" s="508"/>
      <c r="P8" s="508"/>
      <c r="Q8" s="508"/>
      <c r="R8" s="829"/>
      <c r="S8" s="830" t="s">
        <v>272</v>
      </c>
      <c r="T8" s="620" t="s">
        <v>605</v>
      </c>
      <c r="U8" s="608"/>
    </row>
    <row r="9" spans="1:21" s="509" customFormat="1" ht="12.75">
      <c r="A9" s="514"/>
      <c r="B9" s="508"/>
      <c r="C9" s="508"/>
      <c r="D9" s="616"/>
      <c r="F9" s="615"/>
      <c r="G9" s="826" t="s">
        <v>267</v>
      </c>
      <c r="H9" s="521"/>
      <c r="I9" s="513"/>
      <c r="J9" s="511" t="s">
        <v>37</v>
      </c>
      <c r="K9" s="508"/>
      <c r="L9" s="513" t="s">
        <v>38</v>
      </c>
      <c r="M9" s="508"/>
      <c r="N9" s="508"/>
      <c r="O9" s="508"/>
      <c r="P9" s="508"/>
      <c r="Q9" s="508"/>
      <c r="R9" s="829"/>
      <c r="S9" s="830" t="s">
        <v>273</v>
      </c>
      <c r="T9" s="620" t="s">
        <v>606</v>
      </c>
      <c r="U9" s="608"/>
    </row>
    <row r="10" spans="1:21" s="509" customFormat="1" ht="12" customHeight="1">
      <c r="A10" s="514" t="s">
        <v>39</v>
      </c>
      <c r="B10" s="515"/>
      <c r="C10" s="515"/>
      <c r="D10" s="617"/>
      <c r="E10" s="575"/>
      <c r="F10" s="618"/>
      <c r="G10" s="827"/>
      <c r="H10" s="625"/>
      <c r="I10" s="517"/>
      <c r="J10" s="516" t="s">
        <v>40</v>
      </c>
      <c r="K10" s="515"/>
      <c r="L10" s="518"/>
      <c r="M10" s="515"/>
      <c r="N10" s="515"/>
      <c r="O10" s="515"/>
      <c r="P10" s="515"/>
      <c r="Q10" s="515"/>
      <c r="R10" s="518"/>
      <c r="S10" s="831" t="s">
        <v>274</v>
      </c>
      <c r="T10" s="621"/>
      <c r="U10" s="609"/>
    </row>
    <row r="11" spans="1:21" s="521" customFormat="1" ht="11.25">
      <c r="A11" s="519">
        <v>1</v>
      </c>
      <c r="B11" s="520">
        <v>2</v>
      </c>
      <c r="C11" s="520">
        <v>3</v>
      </c>
      <c r="D11" s="520">
        <v>4</v>
      </c>
      <c r="E11" s="520">
        <v>5</v>
      </c>
      <c r="F11" s="520">
        <v>6</v>
      </c>
      <c r="G11" s="520">
        <v>7</v>
      </c>
      <c r="H11" s="520">
        <v>8</v>
      </c>
      <c r="I11" s="520">
        <v>9</v>
      </c>
      <c r="J11" s="520">
        <v>10</v>
      </c>
      <c r="K11" s="520">
        <v>11</v>
      </c>
      <c r="L11" s="520">
        <v>12</v>
      </c>
      <c r="M11" s="520">
        <v>13</v>
      </c>
      <c r="N11" s="520">
        <v>14</v>
      </c>
      <c r="O11" s="520">
        <v>15</v>
      </c>
      <c r="P11" s="520">
        <v>16</v>
      </c>
      <c r="Q11" s="520">
        <v>17</v>
      </c>
      <c r="R11" s="520">
        <v>18</v>
      </c>
      <c r="S11" s="520">
        <v>19</v>
      </c>
      <c r="T11" s="520">
        <v>20</v>
      </c>
      <c r="U11" s="520">
        <v>21</v>
      </c>
    </row>
    <row r="12" spans="1:21" s="509" customFormat="1" ht="18" customHeight="1" thickBot="1">
      <c r="A12" s="522" t="s">
        <v>634</v>
      </c>
      <c r="B12" s="680">
        <f>B13</f>
        <v>22000</v>
      </c>
      <c r="C12" s="680">
        <f aca="true" t="shared" si="0" ref="C12:T12">C13</f>
        <v>-12000</v>
      </c>
      <c r="D12" s="680">
        <f t="shared" si="0"/>
        <v>292833</v>
      </c>
      <c r="E12" s="680">
        <f t="shared" si="0"/>
        <v>64683</v>
      </c>
      <c r="F12" s="680">
        <f t="shared" si="0"/>
        <v>7656</v>
      </c>
      <c r="G12" s="680">
        <f t="shared" si="0"/>
        <v>5650</v>
      </c>
      <c r="H12" s="680">
        <f t="shared" si="0"/>
        <v>96320</v>
      </c>
      <c r="I12" s="680">
        <f t="shared" si="0"/>
        <v>560</v>
      </c>
      <c r="J12" s="680">
        <f t="shared" si="0"/>
        <v>0</v>
      </c>
      <c r="K12" s="680">
        <f t="shared" si="0"/>
        <v>118221</v>
      </c>
      <c r="L12" s="680">
        <f t="shared" si="0"/>
        <v>4627</v>
      </c>
      <c r="M12" s="680">
        <f t="shared" si="0"/>
        <v>132400</v>
      </c>
      <c r="N12" s="680">
        <f t="shared" si="0"/>
        <v>600018</v>
      </c>
      <c r="O12" s="680">
        <f t="shared" si="0"/>
        <v>1336</v>
      </c>
      <c r="P12" s="680">
        <f t="shared" si="0"/>
        <v>57002</v>
      </c>
      <c r="Q12" s="680">
        <f t="shared" si="0"/>
        <v>213</v>
      </c>
      <c r="R12" s="680">
        <f t="shared" si="0"/>
        <v>70300</v>
      </c>
      <c r="S12" s="680">
        <f t="shared" si="0"/>
        <v>13479</v>
      </c>
      <c r="T12" s="680">
        <f t="shared" si="0"/>
        <v>-3570</v>
      </c>
      <c r="U12" s="681">
        <f aca="true" t="shared" si="1" ref="U12:U74">SUM(B12:T12)</f>
        <v>1471728</v>
      </c>
    </row>
    <row r="13" spans="1:23" s="524" customFormat="1" ht="18" customHeight="1">
      <c r="A13" s="523" t="s">
        <v>547</v>
      </c>
      <c r="B13" s="682">
        <f aca="true" t="shared" si="2" ref="B13:T13">B14+B93+B104+B173</f>
        <v>22000</v>
      </c>
      <c r="C13" s="682">
        <f t="shared" si="2"/>
        <v>-12000</v>
      </c>
      <c r="D13" s="682">
        <f t="shared" si="2"/>
        <v>292833</v>
      </c>
      <c r="E13" s="682">
        <f t="shared" si="2"/>
        <v>64683</v>
      </c>
      <c r="F13" s="682">
        <f t="shared" si="2"/>
        <v>7656</v>
      </c>
      <c r="G13" s="682">
        <f t="shared" si="2"/>
        <v>5650</v>
      </c>
      <c r="H13" s="682">
        <f t="shared" si="2"/>
        <v>96320</v>
      </c>
      <c r="I13" s="682">
        <f t="shared" si="2"/>
        <v>560</v>
      </c>
      <c r="J13" s="682">
        <f t="shared" si="2"/>
        <v>0</v>
      </c>
      <c r="K13" s="682">
        <f t="shared" si="2"/>
        <v>118221</v>
      </c>
      <c r="L13" s="682">
        <f t="shared" si="2"/>
        <v>4627</v>
      </c>
      <c r="M13" s="682">
        <f t="shared" si="2"/>
        <v>132400</v>
      </c>
      <c r="N13" s="682">
        <f t="shared" si="2"/>
        <v>600018</v>
      </c>
      <c r="O13" s="682">
        <f t="shared" si="2"/>
        <v>1336</v>
      </c>
      <c r="P13" s="682">
        <f t="shared" si="2"/>
        <v>57002</v>
      </c>
      <c r="Q13" s="682">
        <f t="shared" si="2"/>
        <v>213</v>
      </c>
      <c r="R13" s="682">
        <f t="shared" si="2"/>
        <v>70300</v>
      </c>
      <c r="S13" s="682">
        <f t="shared" si="2"/>
        <v>13479</v>
      </c>
      <c r="T13" s="682">
        <f t="shared" si="2"/>
        <v>-3570</v>
      </c>
      <c r="U13" s="682">
        <f t="shared" si="1"/>
        <v>1471728</v>
      </c>
      <c r="W13" s="524" t="s">
        <v>207</v>
      </c>
    </row>
    <row r="14" spans="1:21" s="509" customFormat="1" ht="24" customHeight="1" thickBot="1">
      <c r="A14" s="949" t="s">
        <v>41</v>
      </c>
      <c r="B14" s="950">
        <f aca="true" t="shared" si="3" ref="B14:T14">B15+B28+B31+B36+B38+B59+B66+B68+B76+B78+B81+B86+B88</f>
        <v>22000</v>
      </c>
      <c r="C14" s="950">
        <f t="shared" si="3"/>
        <v>-12000</v>
      </c>
      <c r="D14" s="950">
        <f t="shared" si="3"/>
        <v>-900</v>
      </c>
      <c r="E14" s="950">
        <f t="shared" si="3"/>
        <v>13730</v>
      </c>
      <c r="F14" s="950">
        <f t="shared" si="3"/>
        <v>500</v>
      </c>
      <c r="G14" s="950">
        <f t="shared" si="3"/>
        <v>5150</v>
      </c>
      <c r="H14" s="950">
        <f t="shared" si="3"/>
        <v>0</v>
      </c>
      <c r="I14" s="950">
        <f t="shared" si="3"/>
        <v>0</v>
      </c>
      <c r="J14" s="950">
        <f t="shared" si="3"/>
        <v>0</v>
      </c>
      <c r="K14" s="950">
        <f t="shared" si="3"/>
        <v>117921</v>
      </c>
      <c r="L14" s="950">
        <f t="shared" si="3"/>
        <v>4127</v>
      </c>
      <c r="M14" s="950">
        <f t="shared" si="3"/>
        <v>118000</v>
      </c>
      <c r="N14" s="950">
        <f t="shared" si="3"/>
        <v>565357</v>
      </c>
      <c r="O14" s="950">
        <f t="shared" si="3"/>
        <v>1336</v>
      </c>
      <c r="P14" s="950">
        <f t="shared" si="3"/>
        <v>51924</v>
      </c>
      <c r="Q14" s="950">
        <f t="shared" si="3"/>
        <v>213</v>
      </c>
      <c r="R14" s="950">
        <f t="shared" si="3"/>
        <v>70300</v>
      </c>
      <c r="S14" s="950">
        <f t="shared" si="3"/>
        <v>12979</v>
      </c>
      <c r="T14" s="950">
        <f t="shared" si="3"/>
        <v>-3570</v>
      </c>
      <c r="U14" s="951">
        <f t="shared" si="1"/>
        <v>967067</v>
      </c>
    </row>
    <row r="15" spans="1:21" ht="27.75" customHeight="1" thickBot="1" thickTop="1">
      <c r="A15" s="1159" t="s">
        <v>204</v>
      </c>
      <c r="B15" s="683"/>
      <c r="C15" s="683"/>
      <c r="D15" s="683"/>
      <c r="E15" s="683"/>
      <c r="F15" s="683"/>
      <c r="G15" s="683"/>
      <c r="H15" s="683"/>
      <c r="I15" s="683"/>
      <c r="J15" s="683"/>
      <c r="K15" s="683"/>
      <c r="L15" s="683"/>
      <c r="M15" s="683">
        <f>SUM(M16:M27)</f>
        <v>40000</v>
      </c>
      <c r="N15" s="683">
        <f aca="true" t="shared" si="4" ref="N15:S15">SUM(N16:N27)</f>
        <v>202100</v>
      </c>
      <c r="O15" s="683"/>
      <c r="P15" s="683">
        <f t="shared" si="4"/>
        <v>5000</v>
      </c>
      <c r="Q15" s="683"/>
      <c r="R15" s="683"/>
      <c r="S15" s="683">
        <f t="shared" si="4"/>
        <v>1029</v>
      </c>
      <c r="T15" s="948"/>
      <c r="U15" s="929">
        <f t="shared" si="1"/>
        <v>248129</v>
      </c>
    </row>
    <row r="16" spans="1:21" ht="18" customHeight="1">
      <c r="A16" s="529" t="s">
        <v>644</v>
      </c>
      <c r="B16" s="526"/>
      <c r="C16" s="526"/>
      <c r="D16" s="526"/>
      <c r="E16" s="526"/>
      <c r="F16" s="526"/>
      <c r="G16" s="526"/>
      <c r="H16" s="526"/>
      <c r="I16" s="526"/>
      <c r="J16" s="526"/>
      <c r="K16" s="526"/>
      <c r="L16" s="526"/>
      <c r="M16" s="526">
        <v>20000</v>
      </c>
      <c r="N16" s="526"/>
      <c r="O16" s="526"/>
      <c r="P16" s="526"/>
      <c r="Q16" s="526"/>
      <c r="R16" s="526"/>
      <c r="S16" s="685"/>
      <c r="T16" s="685"/>
      <c r="U16" s="679">
        <f t="shared" si="1"/>
        <v>20000</v>
      </c>
    </row>
    <row r="17" spans="1:21" ht="18" customHeight="1">
      <c r="A17" s="529" t="s">
        <v>646</v>
      </c>
      <c r="B17" s="686"/>
      <c r="C17" s="686"/>
      <c r="D17" s="686"/>
      <c r="E17" s="686"/>
      <c r="F17" s="686"/>
      <c r="G17" s="686"/>
      <c r="H17" s="686"/>
      <c r="I17" s="686"/>
      <c r="J17" s="686"/>
      <c r="K17" s="686"/>
      <c r="L17" s="686"/>
      <c r="M17" s="686"/>
      <c r="N17" s="686">
        <v>60000</v>
      </c>
      <c r="O17" s="686"/>
      <c r="P17" s="686"/>
      <c r="Q17" s="686"/>
      <c r="R17" s="686"/>
      <c r="S17" s="685"/>
      <c r="T17" s="685"/>
      <c r="U17" s="679">
        <f t="shared" si="1"/>
        <v>60000</v>
      </c>
    </row>
    <row r="18" spans="1:21" ht="25.5">
      <c r="A18" s="529" t="s">
        <v>151</v>
      </c>
      <c r="B18" s="686"/>
      <c r="C18" s="686"/>
      <c r="D18" s="686"/>
      <c r="E18" s="686"/>
      <c r="F18" s="686"/>
      <c r="G18" s="686"/>
      <c r="H18" s="686"/>
      <c r="I18" s="686"/>
      <c r="J18" s="686"/>
      <c r="K18" s="686"/>
      <c r="L18" s="686"/>
      <c r="M18" s="686"/>
      <c r="N18" s="686">
        <v>4300</v>
      </c>
      <c r="O18" s="686"/>
      <c r="P18" s="686"/>
      <c r="Q18" s="686"/>
      <c r="R18" s="686"/>
      <c r="S18" s="685"/>
      <c r="T18" s="685"/>
      <c r="U18" s="679">
        <f t="shared" si="1"/>
        <v>4300</v>
      </c>
    </row>
    <row r="19" spans="1:21" ht="18.75" customHeight="1">
      <c r="A19" s="529" t="s">
        <v>648</v>
      </c>
      <c r="B19" s="686"/>
      <c r="C19" s="686"/>
      <c r="D19" s="686"/>
      <c r="E19" s="686"/>
      <c r="F19" s="686"/>
      <c r="G19" s="686"/>
      <c r="H19" s="686"/>
      <c r="I19" s="686"/>
      <c r="J19" s="686"/>
      <c r="K19" s="686"/>
      <c r="L19" s="686"/>
      <c r="M19" s="686"/>
      <c r="N19" s="686">
        <v>20000</v>
      </c>
      <c r="O19" s="686"/>
      <c r="P19" s="686"/>
      <c r="Q19" s="686"/>
      <c r="R19" s="686"/>
      <c r="S19" s="685"/>
      <c r="T19" s="685"/>
      <c r="U19" s="679">
        <f t="shared" si="1"/>
        <v>20000</v>
      </c>
    </row>
    <row r="20" spans="1:21" ht="18" customHeight="1">
      <c r="A20" s="529" t="s">
        <v>678</v>
      </c>
      <c r="B20" s="686"/>
      <c r="C20" s="686"/>
      <c r="D20" s="686"/>
      <c r="E20" s="686"/>
      <c r="F20" s="686"/>
      <c r="G20" s="686"/>
      <c r="H20" s="686"/>
      <c r="I20" s="686"/>
      <c r="J20" s="686"/>
      <c r="K20" s="686"/>
      <c r="L20" s="686"/>
      <c r="M20" s="686"/>
      <c r="N20" s="686">
        <v>2000</v>
      </c>
      <c r="O20" s="686"/>
      <c r="P20" s="686"/>
      <c r="Q20" s="686"/>
      <c r="R20" s="686"/>
      <c r="S20" s="685"/>
      <c r="T20" s="685"/>
      <c r="U20" s="679">
        <f t="shared" si="1"/>
        <v>2000</v>
      </c>
    </row>
    <row r="21" spans="1:21" ht="18" customHeight="1">
      <c r="A21" s="529" t="s">
        <v>679</v>
      </c>
      <c r="B21" s="686"/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>
        <v>20000</v>
      </c>
      <c r="N21" s="686"/>
      <c r="O21" s="686"/>
      <c r="P21" s="686"/>
      <c r="Q21" s="686"/>
      <c r="R21" s="686"/>
      <c r="S21" s="685"/>
      <c r="T21" s="685"/>
      <c r="U21" s="679">
        <f t="shared" si="1"/>
        <v>20000</v>
      </c>
    </row>
    <row r="22" spans="1:21" ht="18" customHeight="1">
      <c r="A22" s="529" t="s">
        <v>683</v>
      </c>
      <c r="B22" s="686"/>
      <c r="C22" s="686"/>
      <c r="D22" s="686"/>
      <c r="E22" s="686"/>
      <c r="F22" s="686"/>
      <c r="G22" s="686"/>
      <c r="H22" s="686"/>
      <c r="I22" s="686"/>
      <c r="J22" s="686"/>
      <c r="K22" s="686"/>
      <c r="L22" s="686"/>
      <c r="M22" s="686"/>
      <c r="N22" s="686">
        <v>30000</v>
      </c>
      <c r="O22" s="686"/>
      <c r="P22" s="686"/>
      <c r="Q22" s="686"/>
      <c r="R22" s="686"/>
      <c r="S22" s="685"/>
      <c r="T22" s="685"/>
      <c r="U22" s="679">
        <f t="shared" si="1"/>
        <v>30000</v>
      </c>
    </row>
    <row r="23" spans="1:21" ht="18" customHeight="1">
      <c r="A23" s="529" t="s">
        <v>428</v>
      </c>
      <c r="B23" s="686"/>
      <c r="C23" s="686"/>
      <c r="D23" s="686"/>
      <c r="E23" s="686"/>
      <c r="F23" s="686"/>
      <c r="G23" s="686"/>
      <c r="H23" s="686"/>
      <c r="I23" s="686"/>
      <c r="J23" s="686"/>
      <c r="K23" s="686"/>
      <c r="L23" s="686"/>
      <c r="M23" s="686"/>
      <c r="N23" s="686">
        <v>32000</v>
      </c>
      <c r="O23" s="686"/>
      <c r="P23" s="686"/>
      <c r="Q23" s="686"/>
      <c r="R23" s="686"/>
      <c r="S23" s="685"/>
      <c r="T23" s="685"/>
      <c r="U23" s="679">
        <f t="shared" si="1"/>
        <v>32000</v>
      </c>
    </row>
    <row r="24" spans="1:21" ht="18" customHeight="1">
      <c r="A24" s="529" t="s">
        <v>686</v>
      </c>
      <c r="B24" s="686"/>
      <c r="C24" s="686"/>
      <c r="D24" s="686"/>
      <c r="E24" s="686"/>
      <c r="F24" s="686"/>
      <c r="G24" s="686"/>
      <c r="H24" s="686"/>
      <c r="I24" s="686"/>
      <c r="J24" s="686"/>
      <c r="K24" s="686"/>
      <c r="L24" s="686"/>
      <c r="M24" s="686"/>
      <c r="N24" s="686">
        <v>32000</v>
      </c>
      <c r="O24" s="686"/>
      <c r="P24" s="686"/>
      <c r="Q24" s="686"/>
      <c r="R24" s="686"/>
      <c r="S24" s="685"/>
      <c r="T24" s="685"/>
      <c r="U24" s="679">
        <f t="shared" si="1"/>
        <v>32000</v>
      </c>
    </row>
    <row r="25" spans="1:21" ht="25.5">
      <c r="A25" s="529" t="s">
        <v>413</v>
      </c>
      <c r="B25" s="686"/>
      <c r="C25" s="686"/>
      <c r="D25" s="686"/>
      <c r="E25" s="686"/>
      <c r="F25" s="686"/>
      <c r="G25" s="686"/>
      <c r="H25" s="686"/>
      <c r="I25" s="686"/>
      <c r="J25" s="686"/>
      <c r="K25" s="686"/>
      <c r="L25" s="686"/>
      <c r="M25" s="686"/>
      <c r="N25" s="686">
        <v>4000</v>
      </c>
      <c r="O25" s="686"/>
      <c r="P25" s="686"/>
      <c r="Q25" s="686"/>
      <c r="R25" s="686"/>
      <c r="S25" s="685"/>
      <c r="T25" s="685"/>
      <c r="U25" s="679">
        <f t="shared" si="1"/>
        <v>4000</v>
      </c>
    </row>
    <row r="26" spans="1:21" ht="18" customHeight="1">
      <c r="A26" s="529" t="s">
        <v>412</v>
      </c>
      <c r="B26" s="686"/>
      <c r="C26" s="686"/>
      <c r="D26" s="686"/>
      <c r="E26" s="686"/>
      <c r="F26" s="686"/>
      <c r="G26" s="686"/>
      <c r="H26" s="686"/>
      <c r="I26" s="686"/>
      <c r="J26" s="686"/>
      <c r="K26" s="686"/>
      <c r="L26" s="686"/>
      <c r="M26" s="686"/>
      <c r="N26" s="686">
        <v>7800</v>
      </c>
      <c r="O26" s="686"/>
      <c r="P26" s="686">
        <v>5000</v>
      </c>
      <c r="Q26" s="686"/>
      <c r="R26" s="686"/>
      <c r="S26" s="685"/>
      <c r="T26" s="685"/>
      <c r="U26" s="679">
        <f t="shared" si="1"/>
        <v>12800</v>
      </c>
    </row>
    <row r="27" spans="1:21" ht="18" customHeight="1" thickBot="1">
      <c r="A27" s="529" t="s">
        <v>732</v>
      </c>
      <c r="B27" s="686"/>
      <c r="C27" s="686"/>
      <c r="D27" s="686"/>
      <c r="E27" s="686"/>
      <c r="F27" s="686"/>
      <c r="G27" s="686"/>
      <c r="H27" s="686"/>
      <c r="I27" s="686"/>
      <c r="J27" s="686"/>
      <c r="K27" s="686"/>
      <c r="L27" s="686"/>
      <c r="M27" s="686"/>
      <c r="N27" s="686">
        <v>10000</v>
      </c>
      <c r="O27" s="686"/>
      <c r="P27" s="686"/>
      <c r="Q27" s="686"/>
      <c r="R27" s="686"/>
      <c r="S27" s="685">
        <v>1029</v>
      </c>
      <c r="T27" s="685"/>
      <c r="U27" s="679">
        <f t="shared" si="1"/>
        <v>11029</v>
      </c>
    </row>
    <row r="28" spans="1:21" ht="42" customHeight="1" thickBot="1">
      <c r="A28" s="533" t="s">
        <v>275</v>
      </c>
      <c r="B28" s="687"/>
      <c r="C28" s="687"/>
      <c r="D28" s="687"/>
      <c r="E28" s="687"/>
      <c r="F28" s="687"/>
      <c r="G28" s="687">
        <f>SUM(G29:G30)</f>
        <v>1650</v>
      </c>
      <c r="H28" s="687"/>
      <c r="I28" s="687"/>
      <c r="J28" s="687"/>
      <c r="K28" s="687"/>
      <c r="L28" s="687"/>
      <c r="M28" s="687"/>
      <c r="N28" s="687"/>
      <c r="O28" s="687"/>
      <c r="P28" s="687"/>
      <c r="Q28" s="687"/>
      <c r="R28" s="687"/>
      <c r="S28" s="687"/>
      <c r="T28" s="687"/>
      <c r="U28" s="688">
        <f t="shared" si="1"/>
        <v>1650</v>
      </c>
    </row>
    <row r="29" spans="1:21" ht="18" customHeight="1">
      <c r="A29" s="529" t="s">
        <v>643</v>
      </c>
      <c r="B29" s="526"/>
      <c r="C29" s="526"/>
      <c r="D29" s="526"/>
      <c r="E29" s="526"/>
      <c r="F29" s="526"/>
      <c r="G29" s="526">
        <v>1000</v>
      </c>
      <c r="H29" s="526"/>
      <c r="I29" s="526"/>
      <c r="J29" s="526"/>
      <c r="K29" s="526"/>
      <c r="L29" s="526"/>
      <c r="M29" s="526"/>
      <c r="N29" s="526"/>
      <c r="O29" s="526"/>
      <c r="P29" s="526"/>
      <c r="Q29" s="526"/>
      <c r="R29" s="526"/>
      <c r="S29" s="685"/>
      <c r="T29" s="685"/>
      <c r="U29" s="679">
        <f t="shared" si="1"/>
        <v>1000</v>
      </c>
    </row>
    <row r="30" spans="1:21" ht="26.25" thickBot="1">
      <c r="A30" s="1036" t="s">
        <v>413</v>
      </c>
      <c r="B30" s="1037"/>
      <c r="C30" s="1037"/>
      <c r="D30" s="1037"/>
      <c r="E30" s="1037"/>
      <c r="F30" s="1037"/>
      <c r="G30" s="1037">
        <v>650</v>
      </c>
      <c r="H30" s="1037"/>
      <c r="I30" s="1037"/>
      <c r="J30" s="1037"/>
      <c r="K30" s="1037"/>
      <c r="L30" s="1037"/>
      <c r="M30" s="1037"/>
      <c r="N30" s="1037"/>
      <c r="O30" s="1037"/>
      <c r="P30" s="1037"/>
      <c r="Q30" s="1037"/>
      <c r="R30" s="1037"/>
      <c r="S30" s="1038"/>
      <c r="T30" s="1038"/>
      <c r="U30" s="1039">
        <f t="shared" si="1"/>
        <v>650</v>
      </c>
    </row>
    <row r="31" spans="1:21" ht="39.75" customHeight="1" thickBot="1">
      <c r="A31" s="528" t="s">
        <v>287</v>
      </c>
      <c r="B31" s="683"/>
      <c r="C31" s="683"/>
      <c r="D31" s="683"/>
      <c r="E31" s="683"/>
      <c r="F31" s="683"/>
      <c r="G31" s="683"/>
      <c r="H31" s="683"/>
      <c r="I31" s="683"/>
      <c r="J31" s="683"/>
      <c r="K31" s="683"/>
      <c r="L31" s="683">
        <f>SUM(L32:L35)</f>
        <v>857</v>
      </c>
      <c r="M31" s="683"/>
      <c r="N31" s="683"/>
      <c r="O31" s="683"/>
      <c r="P31" s="683"/>
      <c r="Q31" s="683"/>
      <c r="R31" s="683"/>
      <c r="S31" s="683"/>
      <c r="T31" s="683"/>
      <c r="U31" s="684">
        <f t="shared" si="1"/>
        <v>857</v>
      </c>
    </row>
    <row r="32" spans="1:21" ht="18" customHeight="1">
      <c r="A32" s="529" t="s">
        <v>649</v>
      </c>
      <c r="B32" s="526"/>
      <c r="C32" s="526"/>
      <c r="D32" s="526"/>
      <c r="E32" s="526"/>
      <c r="F32" s="526"/>
      <c r="G32" s="526"/>
      <c r="H32" s="526"/>
      <c r="I32" s="526"/>
      <c r="J32" s="526"/>
      <c r="K32" s="526"/>
      <c r="L32" s="526">
        <v>200</v>
      </c>
      <c r="M32" s="526"/>
      <c r="N32" s="526"/>
      <c r="O32" s="526"/>
      <c r="P32" s="526"/>
      <c r="Q32" s="686"/>
      <c r="R32" s="526"/>
      <c r="S32" s="527"/>
      <c r="T32" s="527"/>
      <c r="U32" s="679">
        <f t="shared" si="1"/>
        <v>200</v>
      </c>
    </row>
    <row r="33" spans="1:21" ht="18" customHeight="1">
      <c r="A33" s="529" t="s">
        <v>678</v>
      </c>
      <c r="B33" s="526"/>
      <c r="C33" s="526"/>
      <c r="D33" s="526"/>
      <c r="E33" s="526"/>
      <c r="F33" s="526"/>
      <c r="G33" s="526"/>
      <c r="H33" s="526"/>
      <c r="I33" s="526"/>
      <c r="J33" s="526"/>
      <c r="K33" s="526"/>
      <c r="L33" s="526">
        <v>69</v>
      </c>
      <c r="M33" s="526"/>
      <c r="N33" s="526"/>
      <c r="O33" s="526"/>
      <c r="P33" s="526"/>
      <c r="Q33" s="686"/>
      <c r="R33" s="526"/>
      <c r="S33" s="527"/>
      <c r="T33" s="527"/>
      <c r="U33" s="679">
        <f t="shared" si="1"/>
        <v>69</v>
      </c>
    </row>
    <row r="34" spans="1:21" ht="18" customHeight="1">
      <c r="A34" s="529" t="s">
        <v>635</v>
      </c>
      <c r="B34" s="526"/>
      <c r="C34" s="526"/>
      <c r="D34" s="526"/>
      <c r="E34" s="526"/>
      <c r="F34" s="526"/>
      <c r="G34" s="526"/>
      <c r="H34" s="526"/>
      <c r="I34" s="526"/>
      <c r="J34" s="526"/>
      <c r="K34" s="526"/>
      <c r="L34" s="526">
        <v>238</v>
      </c>
      <c r="M34" s="526"/>
      <c r="N34" s="526"/>
      <c r="O34" s="526"/>
      <c r="P34" s="526"/>
      <c r="Q34" s="686"/>
      <c r="R34" s="526"/>
      <c r="S34" s="527"/>
      <c r="T34" s="527"/>
      <c r="U34" s="679">
        <f t="shared" si="1"/>
        <v>238</v>
      </c>
    </row>
    <row r="35" spans="1:21" ht="18" customHeight="1" thickBot="1">
      <c r="A35" s="529" t="s">
        <v>681</v>
      </c>
      <c r="B35" s="526"/>
      <c r="C35" s="526"/>
      <c r="D35" s="526"/>
      <c r="E35" s="526"/>
      <c r="F35" s="526"/>
      <c r="G35" s="526"/>
      <c r="H35" s="526"/>
      <c r="I35" s="526"/>
      <c r="J35" s="526"/>
      <c r="K35" s="526"/>
      <c r="L35" s="526">
        <v>350</v>
      </c>
      <c r="M35" s="526"/>
      <c r="N35" s="526"/>
      <c r="O35" s="526"/>
      <c r="P35" s="526"/>
      <c r="Q35" s="686"/>
      <c r="R35" s="526"/>
      <c r="S35" s="527"/>
      <c r="T35" s="527"/>
      <c r="U35" s="679">
        <f t="shared" si="1"/>
        <v>350</v>
      </c>
    </row>
    <row r="36" spans="1:21" ht="39" customHeight="1" thickBot="1">
      <c r="A36" s="533" t="s">
        <v>279</v>
      </c>
      <c r="B36" s="687">
        <f>B37</f>
        <v>2000</v>
      </c>
      <c r="C36" s="687"/>
      <c r="D36" s="687"/>
      <c r="E36" s="687">
        <f>E37</f>
        <v>1230</v>
      </c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928">
        <f t="shared" si="1"/>
        <v>3230</v>
      </c>
    </row>
    <row r="37" spans="1:21" ht="18" customHeight="1" thickBot="1">
      <c r="A37" s="529" t="s">
        <v>414</v>
      </c>
      <c r="B37" s="686">
        <v>2000</v>
      </c>
      <c r="C37" s="686"/>
      <c r="D37" s="686"/>
      <c r="E37" s="686">
        <v>1230</v>
      </c>
      <c r="F37" s="686"/>
      <c r="G37" s="686"/>
      <c r="H37" s="686"/>
      <c r="I37" s="686"/>
      <c r="J37" s="686"/>
      <c r="K37" s="686"/>
      <c r="L37" s="686"/>
      <c r="M37" s="686"/>
      <c r="N37" s="686"/>
      <c r="O37" s="686"/>
      <c r="P37" s="686"/>
      <c r="Q37" s="686"/>
      <c r="R37" s="686"/>
      <c r="S37" s="685"/>
      <c r="T37" s="685"/>
      <c r="U37" s="679">
        <f t="shared" si="1"/>
        <v>3230</v>
      </c>
    </row>
    <row r="38" spans="1:21" s="512" customFormat="1" ht="18" customHeight="1" thickBot="1">
      <c r="A38" s="533" t="s">
        <v>43</v>
      </c>
      <c r="B38" s="687"/>
      <c r="C38" s="687"/>
      <c r="D38" s="687"/>
      <c r="E38" s="687"/>
      <c r="F38" s="687"/>
      <c r="G38" s="687">
        <f>SUM(G39:G58)</f>
        <v>500</v>
      </c>
      <c r="H38" s="687"/>
      <c r="I38" s="687"/>
      <c r="J38" s="687">
        <f>SUM(J39:J58)</f>
        <v>0</v>
      </c>
      <c r="K38" s="687">
        <f aca="true" t="shared" si="5" ref="K38:Q38">SUM(K39:K58)</f>
        <v>2921</v>
      </c>
      <c r="L38" s="687">
        <f t="shared" si="5"/>
        <v>2070</v>
      </c>
      <c r="M38" s="687">
        <f t="shared" si="5"/>
        <v>8000</v>
      </c>
      <c r="N38" s="687">
        <f t="shared" si="5"/>
        <v>174781</v>
      </c>
      <c r="O38" s="687">
        <f t="shared" si="5"/>
        <v>536</v>
      </c>
      <c r="P38" s="687">
        <f t="shared" si="5"/>
        <v>4000</v>
      </c>
      <c r="Q38" s="687">
        <f t="shared" si="5"/>
        <v>213</v>
      </c>
      <c r="R38" s="687"/>
      <c r="S38" s="687"/>
      <c r="T38" s="687">
        <f>SUM(T39:T58)</f>
        <v>-3570</v>
      </c>
      <c r="U38" s="688">
        <f t="shared" si="1"/>
        <v>189451</v>
      </c>
    </row>
    <row r="39" spans="1:21" ht="18" customHeight="1">
      <c r="A39" s="529" t="s">
        <v>346</v>
      </c>
      <c r="B39" s="526"/>
      <c r="C39" s="526"/>
      <c r="D39" s="526"/>
      <c r="E39" s="526"/>
      <c r="F39" s="526"/>
      <c r="G39" s="526"/>
      <c r="H39" s="526"/>
      <c r="I39" s="526"/>
      <c r="J39" s="526">
        <v>30</v>
      </c>
      <c r="K39" s="526"/>
      <c r="L39" s="526"/>
      <c r="M39" s="526"/>
      <c r="N39" s="526">
        <v>2690</v>
      </c>
      <c r="O39" s="526"/>
      <c r="P39" s="526"/>
      <c r="Q39" s="686"/>
      <c r="R39" s="526"/>
      <c r="S39" s="527"/>
      <c r="T39" s="527"/>
      <c r="U39" s="679">
        <f t="shared" si="1"/>
        <v>2720</v>
      </c>
    </row>
    <row r="40" spans="1:21" ht="18" customHeight="1">
      <c r="A40" s="529" t="s">
        <v>152</v>
      </c>
      <c r="B40" s="526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526"/>
      <c r="N40" s="526">
        <v>12000</v>
      </c>
      <c r="O40" s="526"/>
      <c r="P40" s="526"/>
      <c r="Q40" s="686"/>
      <c r="R40" s="526"/>
      <c r="S40" s="527"/>
      <c r="T40" s="527"/>
      <c r="U40" s="679">
        <f t="shared" si="1"/>
        <v>12000</v>
      </c>
    </row>
    <row r="41" spans="1:21" ht="18" customHeight="1">
      <c r="A41" s="529" t="s">
        <v>94</v>
      </c>
      <c r="B41" s="526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526"/>
      <c r="N41" s="526">
        <v>-29</v>
      </c>
      <c r="O41" s="526">
        <v>29</v>
      </c>
      <c r="P41" s="526"/>
      <c r="Q41" s="686"/>
      <c r="R41" s="526"/>
      <c r="S41" s="527"/>
      <c r="T41" s="527"/>
      <c r="U41" s="679">
        <f t="shared" si="1"/>
        <v>0</v>
      </c>
    </row>
    <row r="42" spans="1:21" ht="18" customHeight="1">
      <c r="A42" s="529" t="s">
        <v>153</v>
      </c>
      <c r="B42" s="526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526"/>
      <c r="N42" s="526">
        <v>9600</v>
      </c>
      <c r="O42" s="526"/>
      <c r="P42" s="526"/>
      <c r="Q42" s="686"/>
      <c r="R42" s="526"/>
      <c r="S42" s="527"/>
      <c r="T42" s="527"/>
      <c r="U42" s="679">
        <f t="shared" si="1"/>
        <v>9600</v>
      </c>
    </row>
    <row r="43" spans="1:21" ht="18" customHeight="1">
      <c r="A43" s="529" t="s">
        <v>347</v>
      </c>
      <c r="B43" s="526"/>
      <c r="C43" s="526"/>
      <c r="D43" s="526"/>
      <c r="E43" s="526"/>
      <c r="F43" s="526"/>
      <c r="G43" s="526"/>
      <c r="H43" s="526"/>
      <c r="I43" s="526"/>
      <c r="J43" s="526"/>
      <c r="K43" s="526"/>
      <c r="L43" s="526"/>
      <c r="M43" s="526"/>
      <c r="N43" s="526"/>
      <c r="O43" s="526"/>
      <c r="P43" s="526">
        <v>4000</v>
      </c>
      <c r="Q43" s="686"/>
      <c r="R43" s="526"/>
      <c r="S43" s="527"/>
      <c r="T43" s="527"/>
      <c r="U43" s="679">
        <f t="shared" si="1"/>
        <v>4000</v>
      </c>
    </row>
    <row r="44" spans="1:21" ht="18" customHeight="1">
      <c r="A44" s="529" t="s">
        <v>348</v>
      </c>
      <c r="B44" s="526"/>
      <c r="C44" s="526"/>
      <c r="D44" s="526"/>
      <c r="E44" s="526"/>
      <c r="F44" s="526"/>
      <c r="G44" s="526"/>
      <c r="H44" s="526"/>
      <c r="I44" s="526"/>
      <c r="J44" s="526"/>
      <c r="K44" s="526"/>
      <c r="L44" s="526"/>
      <c r="M44" s="526"/>
      <c r="N44" s="526">
        <f>3500+20000</f>
        <v>23500</v>
      </c>
      <c r="O44" s="526"/>
      <c r="P44" s="526"/>
      <c r="Q44" s="686"/>
      <c r="R44" s="526"/>
      <c r="S44" s="527"/>
      <c r="T44" s="527"/>
      <c r="U44" s="679">
        <f t="shared" si="1"/>
        <v>23500</v>
      </c>
    </row>
    <row r="45" spans="1:21" ht="18" customHeight="1">
      <c r="A45" s="529" t="s">
        <v>154</v>
      </c>
      <c r="B45" s="526"/>
      <c r="C45" s="526"/>
      <c r="D45" s="526"/>
      <c r="E45" s="526"/>
      <c r="F45" s="526"/>
      <c r="G45" s="526"/>
      <c r="H45" s="526"/>
      <c r="I45" s="526"/>
      <c r="J45" s="526"/>
      <c r="K45" s="526"/>
      <c r="L45" s="526"/>
      <c r="M45" s="526"/>
      <c r="N45" s="526">
        <v>30000</v>
      </c>
      <c r="O45" s="526"/>
      <c r="P45" s="526"/>
      <c r="Q45" s="526"/>
      <c r="R45" s="526"/>
      <c r="S45" s="527"/>
      <c r="T45" s="527"/>
      <c r="U45" s="679">
        <f t="shared" si="1"/>
        <v>30000</v>
      </c>
    </row>
    <row r="46" spans="1:21" ht="18" customHeight="1">
      <c r="A46" s="529" t="s">
        <v>343</v>
      </c>
      <c r="B46" s="526"/>
      <c r="C46" s="526"/>
      <c r="D46" s="526"/>
      <c r="E46" s="526"/>
      <c r="F46" s="526"/>
      <c r="G46" s="526"/>
      <c r="H46" s="526"/>
      <c r="I46" s="526"/>
      <c r="J46" s="526">
        <v>-2530</v>
      </c>
      <c r="K46" s="526"/>
      <c r="L46" s="526"/>
      <c r="M46" s="526"/>
      <c r="N46" s="526">
        <v>20000</v>
      </c>
      <c r="O46" s="526"/>
      <c r="P46" s="526"/>
      <c r="Q46" s="686"/>
      <c r="R46" s="526"/>
      <c r="S46" s="527"/>
      <c r="T46" s="527"/>
      <c r="U46" s="679">
        <f t="shared" si="1"/>
        <v>17470</v>
      </c>
    </row>
    <row r="47" spans="1:21" ht="18" customHeight="1">
      <c r="A47" s="529" t="s">
        <v>349</v>
      </c>
      <c r="B47" s="526"/>
      <c r="C47" s="526"/>
      <c r="D47" s="526"/>
      <c r="E47" s="526"/>
      <c r="F47" s="526"/>
      <c r="G47" s="526"/>
      <c r="H47" s="526"/>
      <c r="I47" s="526"/>
      <c r="J47" s="526"/>
      <c r="K47" s="526"/>
      <c r="L47" s="526"/>
      <c r="M47" s="526"/>
      <c r="N47" s="526"/>
      <c r="O47" s="526">
        <v>45</v>
      </c>
      <c r="P47" s="526"/>
      <c r="Q47" s="686"/>
      <c r="R47" s="526"/>
      <c r="S47" s="527"/>
      <c r="T47" s="527"/>
      <c r="U47" s="679">
        <f t="shared" si="1"/>
        <v>45</v>
      </c>
    </row>
    <row r="48" spans="1:21" ht="18" customHeight="1">
      <c r="A48" s="529" t="s">
        <v>155</v>
      </c>
      <c r="B48" s="526"/>
      <c r="C48" s="526"/>
      <c r="D48" s="526"/>
      <c r="E48" s="526"/>
      <c r="F48" s="526"/>
      <c r="G48" s="526"/>
      <c r="H48" s="526"/>
      <c r="I48" s="526"/>
      <c r="J48" s="526"/>
      <c r="K48" s="526"/>
      <c r="L48" s="526"/>
      <c r="M48" s="526"/>
      <c r="N48" s="526">
        <v>2500</v>
      </c>
      <c r="O48" s="526"/>
      <c r="P48" s="526"/>
      <c r="Q48" s="686"/>
      <c r="R48" s="526"/>
      <c r="S48" s="527"/>
      <c r="T48" s="527"/>
      <c r="U48" s="679">
        <f t="shared" si="1"/>
        <v>2500</v>
      </c>
    </row>
    <row r="49" spans="1:21" ht="18" customHeight="1">
      <c r="A49" s="529" t="s">
        <v>156</v>
      </c>
      <c r="B49" s="526"/>
      <c r="C49" s="526"/>
      <c r="D49" s="526"/>
      <c r="E49" s="526"/>
      <c r="F49" s="526"/>
      <c r="G49" s="526"/>
      <c r="H49" s="526"/>
      <c r="I49" s="526"/>
      <c r="J49" s="526"/>
      <c r="K49" s="526"/>
      <c r="L49" s="526"/>
      <c r="M49" s="526"/>
      <c r="N49" s="526">
        <v>31720</v>
      </c>
      <c r="O49" s="526"/>
      <c r="P49" s="526"/>
      <c r="Q49" s="686"/>
      <c r="R49" s="526"/>
      <c r="S49" s="527"/>
      <c r="T49" s="527"/>
      <c r="U49" s="679">
        <f t="shared" si="1"/>
        <v>31720</v>
      </c>
    </row>
    <row r="50" spans="1:21" ht="18" customHeight="1">
      <c r="A50" s="529" t="s">
        <v>157</v>
      </c>
      <c r="B50" s="526"/>
      <c r="C50" s="526"/>
      <c r="D50" s="526"/>
      <c r="E50" s="526"/>
      <c r="F50" s="526"/>
      <c r="G50" s="526"/>
      <c r="H50" s="526"/>
      <c r="I50" s="526"/>
      <c r="J50" s="526"/>
      <c r="K50" s="526"/>
      <c r="L50" s="526"/>
      <c r="M50" s="526"/>
      <c r="N50" s="526">
        <v>10000</v>
      </c>
      <c r="O50" s="526"/>
      <c r="P50" s="526"/>
      <c r="Q50" s="686"/>
      <c r="R50" s="526"/>
      <c r="S50" s="527"/>
      <c r="T50" s="527"/>
      <c r="U50" s="679">
        <f t="shared" si="1"/>
        <v>10000</v>
      </c>
    </row>
    <row r="51" spans="1:21" ht="18" customHeight="1">
      <c r="A51" s="529" t="s">
        <v>158</v>
      </c>
      <c r="B51" s="526"/>
      <c r="C51" s="526"/>
      <c r="D51" s="526"/>
      <c r="E51" s="526"/>
      <c r="F51" s="526"/>
      <c r="G51" s="526"/>
      <c r="H51" s="526"/>
      <c r="I51" s="526"/>
      <c r="J51" s="526"/>
      <c r="K51" s="526"/>
      <c r="L51" s="526"/>
      <c r="M51" s="526"/>
      <c r="N51" s="526">
        <v>25000</v>
      </c>
      <c r="O51" s="526"/>
      <c r="P51" s="526"/>
      <c r="Q51" s="686"/>
      <c r="R51" s="526"/>
      <c r="S51" s="527"/>
      <c r="T51" s="527"/>
      <c r="U51" s="679">
        <f t="shared" si="1"/>
        <v>25000</v>
      </c>
    </row>
    <row r="52" spans="1:21" ht="18" customHeight="1">
      <c r="A52" s="529" t="s">
        <v>350</v>
      </c>
      <c r="B52" s="526"/>
      <c r="C52" s="526"/>
      <c r="D52" s="526"/>
      <c r="E52" s="526"/>
      <c r="F52" s="526"/>
      <c r="G52" s="526"/>
      <c r="H52" s="526"/>
      <c r="I52" s="526"/>
      <c r="J52" s="526">
        <v>2600</v>
      </c>
      <c r="K52" s="526"/>
      <c r="L52" s="526"/>
      <c r="M52" s="526"/>
      <c r="N52" s="526"/>
      <c r="O52" s="526"/>
      <c r="P52" s="526"/>
      <c r="Q52" s="686"/>
      <c r="R52" s="526"/>
      <c r="S52" s="527"/>
      <c r="T52" s="527"/>
      <c r="U52" s="679">
        <f t="shared" si="1"/>
        <v>2600</v>
      </c>
    </row>
    <row r="53" spans="1:21" ht="18" customHeight="1">
      <c r="A53" s="529" t="s">
        <v>344</v>
      </c>
      <c r="B53" s="526"/>
      <c r="C53" s="526"/>
      <c r="D53" s="526"/>
      <c r="E53" s="526"/>
      <c r="F53" s="526"/>
      <c r="G53" s="526"/>
      <c r="H53" s="526"/>
      <c r="I53" s="526"/>
      <c r="J53" s="526">
        <v>-100</v>
      </c>
      <c r="K53" s="526"/>
      <c r="L53" s="526"/>
      <c r="M53" s="526"/>
      <c r="N53" s="526">
        <v>2800</v>
      </c>
      <c r="O53" s="526"/>
      <c r="P53" s="526"/>
      <c r="Q53" s="686"/>
      <c r="R53" s="526"/>
      <c r="S53" s="527"/>
      <c r="T53" s="527"/>
      <c r="U53" s="679">
        <f t="shared" si="1"/>
        <v>2700</v>
      </c>
    </row>
    <row r="54" spans="1:21" ht="18" customHeight="1">
      <c r="A54" s="529" t="s">
        <v>351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N54" s="526"/>
      <c r="O54" s="526">
        <v>350</v>
      </c>
      <c r="P54" s="526"/>
      <c r="Q54" s="686"/>
      <c r="R54" s="526"/>
      <c r="S54" s="527"/>
      <c r="T54" s="527"/>
      <c r="U54" s="679">
        <f t="shared" si="1"/>
        <v>350</v>
      </c>
    </row>
    <row r="55" spans="1:21" ht="18" customHeight="1">
      <c r="A55" s="529" t="s">
        <v>352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>
        <v>921</v>
      </c>
      <c r="L55" s="526"/>
      <c r="M55" s="526"/>
      <c r="N55" s="526"/>
      <c r="O55" s="526"/>
      <c r="P55" s="526"/>
      <c r="Q55" s="686"/>
      <c r="R55" s="526"/>
      <c r="S55" s="527"/>
      <c r="T55" s="527"/>
      <c r="U55" s="679">
        <f t="shared" si="1"/>
        <v>921</v>
      </c>
    </row>
    <row r="56" spans="1:21" ht="18" customHeight="1">
      <c r="A56" s="529" t="s">
        <v>159</v>
      </c>
      <c r="B56" s="526"/>
      <c r="C56" s="526"/>
      <c r="D56" s="526"/>
      <c r="E56" s="526"/>
      <c r="F56" s="526"/>
      <c r="G56" s="526"/>
      <c r="H56" s="526"/>
      <c r="I56" s="526"/>
      <c r="J56" s="526"/>
      <c r="K56" s="526"/>
      <c r="L56" s="526"/>
      <c r="M56" s="526"/>
      <c r="N56" s="526">
        <v>5000</v>
      </c>
      <c r="O56" s="526"/>
      <c r="P56" s="526"/>
      <c r="Q56" s="686"/>
      <c r="R56" s="526"/>
      <c r="S56" s="527"/>
      <c r="T56" s="527"/>
      <c r="U56" s="679">
        <f t="shared" si="1"/>
        <v>5000</v>
      </c>
    </row>
    <row r="57" spans="1:21" ht="18" customHeight="1">
      <c r="A57" s="529" t="s">
        <v>95</v>
      </c>
      <c r="B57" s="526"/>
      <c r="C57" s="526"/>
      <c r="D57" s="526"/>
      <c r="E57" s="526"/>
      <c r="F57" s="526"/>
      <c r="G57" s="526"/>
      <c r="H57" s="526"/>
      <c r="I57" s="526"/>
      <c r="J57" s="526"/>
      <c r="K57" s="526">
        <v>1000</v>
      </c>
      <c r="L57" s="526"/>
      <c r="M57" s="526">
        <v>8000</v>
      </c>
      <c r="N57" s="526"/>
      <c r="O57" s="526">
        <v>112</v>
      </c>
      <c r="P57" s="526"/>
      <c r="Q57" s="686">
        <v>213</v>
      </c>
      <c r="R57" s="526"/>
      <c r="S57" s="527"/>
      <c r="T57" s="527"/>
      <c r="U57" s="679">
        <f t="shared" si="1"/>
        <v>9325</v>
      </c>
    </row>
    <row r="58" spans="1:21" ht="18" customHeight="1" thickBot="1">
      <c r="A58" s="529" t="s">
        <v>345</v>
      </c>
      <c r="B58" s="526"/>
      <c r="C58" s="526"/>
      <c r="D58" s="526"/>
      <c r="E58" s="526"/>
      <c r="F58" s="526"/>
      <c r="G58" s="526">
        <v>500</v>
      </c>
      <c r="H58" s="526"/>
      <c r="I58" s="526"/>
      <c r="J58" s="526"/>
      <c r="K58" s="526">
        <v>1000</v>
      </c>
      <c r="L58" s="526">
        <v>2070</v>
      </c>
      <c r="M58" s="526"/>
      <c r="N58" s="526"/>
      <c r="O58" s="526"/>
      <c r="P58" s="526"/>
      <c r="Q58" s="686"/>
      <c r="R58" s="526"/>
      <c r="S58" s="527"/>
      <c r="T58" s="527">
        <v>-3570</v>
      </c>
      <c r="U58" s="679">
        <f t="shared" si="1"/>
        <v>0</v>
      </c>
    </row>
    <row r="59" spans="1:21" s="512" customFormat="1" ht="18" customHeight="1" thickBot="1">
      <c r="A59" s="533" t="s">
        <v>636</v>
      </c>
      <c r="B59" s="687"/>
      <c r="C59" s="687"/>
      <c r="D59" s="687"/>
      <c r="E59" s="687"/>
      <c r="F59" s="687"/>
      <c r="G59" s="687"/>
      <c r="H59" s="687"/>
      <c r="I59" s="687"/>
      <c r="J59" s="687"/>
      <c r="K59" s="687">
        <f>SUM(K60:K65)</f>
        <v>4000</v>
      </c>
      <c r="L59" s="687"/>
      <c r="M59" s="687"/>
      <c r="N59" s="687">
        <f aca="true" t="shared" si="6" ref="N59:S59">SUM(N60:N65)</f>
        <v>64500</v>
      </c>
      <c r="O59" s="687"/>
      <c r="P59" s="687">
        <f t="shared" si="6"/>
        <v>5000</v>
      </c>
      <c r="Q59" s="687"/>
      <c r="R59" s="687"/>
      <c r="S59" s="687">
        <f t="shared" si="6"/>
        <v>11950</v>
      </c>
      <c r="T59" s="687"/>
      <c r="U59" s="688">
        <f t="shared" si="1"/>
        <v>85450</v>
      </c>
    </row>
    <row r="60" spans="1:21" s="1131" customFormat="1" ht="18" customHeight="1">
      <c r="A60" s="1132" t="s">
        <v>737</v>
      </c>
      <c r="B60" s="1133"/>
      <c r="C60" s="1133"/>
      <c r="D60" s="1133"/>
      <c r="E60" s="1133"/>
      <c r="F60" s="1133"/>
      <c r="G60" s="1133"/>
      <c r="H60" s="1133"/>
      <c r="I60" s="1133"/>
      <c r="J60" s="1133"/>
      <c r="K60" s="1133"/>
      <c r="L60" s="1133"/>
      <c r="M60" s="1133"/>
      <c r="N60" s="1133">
        <v>30000</v>
      </c>
      <c r="O60" s="1133"/>
      <c r="P60" s="1133"/>
      <c r="Q60" s="1133"/>
      <c r="R60" s="1133"/>
      <c r="S60" s="1134"/>
      <c r="T60" s="1134"/>
      <c r="U60" s="1135">
        <f t="shared" si="1"/>
        <v>30000</v>
      </c>
    </row>
    <row r="61" spans="1:21" s="1131" customFormat="1" ht="18" customHeight="1">
      <c r="A61" s="1043" t="s">
        <v>738</v>
      </c>
      <c r="B61" s="861"/>
      <c r="C61" s="861"/>
      <c r="D61" s="861"/>
      <c r="E61" s="861"/>
      <c r="F61" s="861"/>
      <c r="G61" s="861"/>
      <c r="H61" s="861"/>
      <c r="I61" s="861"/>
      <c r="J61" s="861"/>
      <c r="K61" s="861"/>
      <c r="L61" s="861"/>
      <c r="M61" s="861"/>
      <c r="N61" s="861">
        <v>2000</v>
      </c>
      <c r="O61" s="861"/>
      <c r="P61" s="861"/>
      <c r="Q61" s="861"/>
      <c r="R61" s="861"/>
      <c r="S61" s="1130"/>
      <c r="T61" s="1130"/>
      <c r="U61" s="1035">
        <f t="shared" si="1"/>
        <v>2000</v>
      </c>
    </row>
    <row r="62" spans="1:21" s="530" customFormat="1" ht="18" customHeight="1">
      <c r="A62" s="626" t="s">
        <v>740</v>
      </c>
      <c r="B62" s="526"/>
      <c r="C62" s="526"/>
      <c r="D62" s="526"/>
      <c r="E62" s="526"/>
      <c r="F62" s="526"/>
      <c r="G62" s="526"/>
      <c r="H62" s="526"/>
      <c r="I62" s="526"/>
      <c r="J62" s="526"/>
      <c r="K62" s="526"/>
      <c r="L62" s="526"/>
      <c r="M62" s="526"/>
      <c r="N62" s="526"/>
      <c r="O62" s="526"/>
      <c r="P62" s="526"/>
      <c r="Q62" s="526"/>
      <c r="R62" s="526"/>
      <c r="S62" s="527">
        <v>8000</v>
      </c>
      <c r="T62" s="527"/>
      <c r="U62" s="679">
        <f t="shared" si="1"/>
        <v>8000</v>
      </c>
    </row>
    <row r="63" spans="1:21" s="530" customFormat="1" ht="18" customHeight="1">
      <c r="A63" s="626" t="s">
        <v>741</v>
      </c>
      <c r="B63" s="526"/>
      <c r="C63" s="526"/>
      <c r="D63" s="526"/>
      <c r="E63" s="526"/>
      <c r="F63" s="526"/>
      <c r="G63" s="526"/>
      <c r="H63" s="526"/>
      <c r="I63" s="526"/>
      <c r="J63" s="526"/>
      <c r="K63" s="526">
        <v>4000</v>
      </c>
      <c r="L63" s="526"/>
      <c r="M63" s="526"/>
      <c r="N63" s="526"/>
      <c r="O63" s="526"/>
      <c r="P63" s="526">
        <v>5000</v>
      </c>
      <c r="Q63" s="526"/>
      <c r="R63" s="526"/>
      <c r="S63" s="527"/>
      <c r="T63" s="527"/>
      <c r="U63" s="679">
        <f t="shared" si="1"/>
        <v>9000</v>
      </c>
    </row>
    <row r="64" spans="1:21" s="530" customFormat="1" ht="18" customHeight="1">
      <c r="A64" s="626" t="s">
        <v>743</v>
      </c>
      <c r="B64" s="526"/>
      <c r="C64" s="526"/>
      <c r="D64" s="526"/>
      <c r="E64" s="526"/>
      <c r="F64" s="526"/>
      <c r="G64" s="526"/>
      <c r="H64" s="526"/>
      <c r="I64" s="526"/>
      <c r="J64" s="526"/>
      <c r="K64" s="526"/>
      <c r="L64" s="526"/>
      <c r="M64" s="526"/>
      <c r="N64" s="526">
        <v>31000</v>
      </c>
      <c r="O64" s="526"/>
      <c r="P64" s="526"/>
      <c r="Q64" s="526"/>
      <c r="R64" s="526"/>
      <c r="S64" s="527">
        <v>3950</v>
      </c>
      <c r="T64" s="527"/>
      <c r="U64" s="679">
        <f t="shared" si="1"/>
        <v>34950</v>
      </c>
    </row>
    <row r="65" spans="1:21" s="530" customFormat="1" ht="18" customHeight="1" thickBot="1">
      <c r="A65" s="1136" t="s">
        <v>638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>
        <v>1500</v>
      </c>
      <c r="O65" s="123"/>
      <c r="P65" s="123"/>
      <c r="Q65" s="123"/>
      <c r="R65" s="123"/>
      <c r="S65" s="1137"/>
      <c r="T65" s="1137"/>
      <c r="U65" s="1035">
        <f t="shared" si="1"/>
        <v>1500</v>
      </c>
    </row>
    <row r="66" spans="1:21" s="512" customFormat="1" ht="26.25" thickBot="1">
      <c r="A66" s="533" t="s">
        <v>416</v>
      </c>
      <c r="B66" s="687"/>
      <c r="C66" s="687"/>
      <c r="D66" s="687"/>
      <c r="E66" s="687"/>
      <c r="F66" s="687"/>
      <c r="G66" s="687"/>
      <c r="H66" s="687"/>
      <c r="I66" s="687"/>
      <c r="J66" s="687"/>
      <c r="K66" s="687"/>
      <c r="L66" s="687"/>
      <c r="M66" s="687"/>
      <c r="N66" s="687"/>
      <c r="O66" s="687"/>
      <c r="P66" s="687">
        <f>P67</f>
        <v>15000</v>
      </c>
      <c r="Q66" s="687"/>
      <c r="R66" s="687"/>
      <c r="S66" s="687"/>
      <c r="T66" s="687"/>
      <c r="U66" s="688">
        <f t="shared" si="1"/>
        <v>15000</v>
      </c>
    </row>
    <row r="67" spans="1:21" s="530" customFormat="1" ht="18" customHeight="1" thickBot="1">
      <c r="A67" s="626" t="s">
        <v>679</v>
      </c>
      <c r="B67" s="526"/>
      <c r="C67" s="526"/>
      <c r="D67" s="526"/>
      <c r="E67" s="526"/>
      <c r="F67" s="526"/>
      <c r="G67" s="526"/>
      <c r="H67" s="526"/>
      <c r="I67" s="526"/>
      <c r="J67" s="526"/>
      <c r="K67" s="526"/>
      <c r="L67" s="526"/>
      <c r="M67" s="526"/>
      <c r="N67" s="526"/>
      <c r="O67" s="526"/>
      <c r="P67" s="526">
        <v>15000</v>
      </c>
      <c r="Q67" s="526"/>
      <c r="R67" s="526"/>
      <c r="S67" s="527"/>
      <c r="T67" s="527"/>
      <c r="U67" s="679">
        <f t="shared" si="1"/>
        <v>15000</v>
      </c>
    </row>
    <row r="68" spans="1:21" s="530" customFormat="1" ht="30" customHeight="1" thickBot="1">
      <c r="A68" s="533" t="s">
        <v>640</v>
      </c>
      <c r="B68" s="688"/>
      <c r="C68" s="688"/>
      <c r="D68" s="688"/>
      <c r="E68" s="688"/>
      <c r="F68" s="688"/>
      <c r="G68" s="688"/>
      <c r="H68" s="688"/>
      <c r="I68" s="688"/>
      <c r="J68" s="688"/>
      <c r="K68" s="688">
        <f>SUM(K69:K75)</f>
        <v>11000</v>
      </c>
      <c r="L68" s="688"/>
      <c r="M68" s="688">
        <f>SUM(M69:M75)</f>
        <v>40000</v>
      </c>
      <c r="N68" s="688">
        <f>SUM(N69:N75)</f>
        <v>51976</v>
      </c>
      <c r="O68" s="688"/>
      <c r="P68" s="688">
        <f>SUM(P69:P75)</f>
        <v>12024</v>
      </c>
      <c r="Q68" s="688"/>
      <c r="R68" s="688">
        <f>SUM(R69:R75)</f>
        <v>70300</v>
      </c>
      <c r="S68" s="688"/>
      <c r="T68" s="688"/>
      <c r="U68" s="688">
        <f t="shared" si="1"/>
        <v>185300</v>
      </c>
    </row>
    <row r="69" spans="1:21" s="530" customFormat="1" ht="19.5" customHeight="1">
      <c r="A69" s="532" t="s">
        <v>641</v>
      </c>
      <c r="B69" s="689"/>
      <c r="C69" s="689"/>
      <c r="D69" s="689"/>
      <c r="E69" s="689"/>
      <c r="F69" s="689"/>
      <c r="G69" s="689"/>
      <c r="H69" s="689"/>
      <c r="I69" s="689"/>
      <c r="J69" s="689"/>
      <c r="K69" s="689"/>
      <c r="L69" s="689"/>
      <c r="M69" s="689"/>
      <c r="N69" s="689"/>
      <c r="O69" s="689"/>
      <c r="P69" s="689"/>
      <c r="Q69" s="689"/>
      <c r="R69" s="689">
        <v>70000</v>
      </c>
      <c r="S69" s="690"/>
      <c r="T69" s="690"/>
      <c r="U69" s="679">
        <f t="shared" si="1"/>
        <v>70000</v>
      </c>
    </row>
    <row r="70" spans="1:21" s="530" customFormat="1" ht="19.5" customHeight="1">
      <c r="A70" s="532" t="s">
        <v>751</v>
      </c>
      <c r="B70" s="689"/>
      <c r="C70" s="689"/>
      <c r="D70" s="689"/>
      <c r="E70" s="689"/>
      <c r="F70" s="689"/>
      <c r="G70" s="689"/>
      <c r="H70" s="689"/>
      <c r="I70" s="689"/>
      <c r="J70" s="689"/>
      <c r="K70" s="689"/>
      <c r="L70" s="689"/>
      <c r="M70" s="689">
        <v>20000</v>
      </c>
      <c r="N70" s="689">
        <v>15000</v>
      </c>
      <c r="O70" s="689"/>
      <c r="P70" s="689"/>
      <c r="Q70" s="689"/>
      <c r="R70" s="689"/>
      <c r="S70" s="690"/>
      <c r="T70" s="690"/>
      <c r="U70" s="679">
        <f t="shared" si="1"/>
        <v>35000</v>
      </c>
    </row>
    <row r="71" spans="1:21" s="530" customFormat="1" ht="19.5" customHeight="1">
      <c r="A71" s="532" t="s">
        <v>752</v>
      </c>
      <c r="B71" s="689"/>
      <c r="C71" s="689"/>
      <c r="D71" s="689"/>
      <c r="E71" s="689"/>
      <c r="F71" s="689"/>
      <c r="G71" s="689"/>
      <c r="H71" s="689"/>
      <c r="I71" s="689"/>
      <c r="J71" s="689"/>
      <c r="K71" s="689"/>
      <c r="L71" s="689"/>
      <c r="M71" s="689"/>
      <c r="N71" s="689">
        <v>4000</v>
      </c>
      <c r="O71" s="689"/>
      <c r="P71" s="689"/>
      <c r="Q71" s="689"/>
      <c r="R71" s="689"/>
      <c r="S71" s="690"/>
      <c r="T71" s="690"/>
      <c r="U71" s="679">
        <f t="shared" si="1"/>
        <v>4000</v>
      </c>
    </row>
    <row r="72" spans="1:21" s="530" customFormat="1" ht="19.5" customHeight="1">
      <c r="A72" s="532" t="s">
        <v>505</v>
      </c>
      <c r="B72" s="689"/>
      <c r="C72" s="689"/>
      <c r="D72" s="689"/>
      <c r="E72" s="689"/>
      <c r="F72" s="689"/>
      <c r="G72" s="689"/>
      <c r="H72" s="689"/>
      <c r="I72" s="689"/>
      <c r="J72" s="689"/>
      <c r="K72" s="689">
        <v>1000</v>
      </c>
      <c r="L72" s="689"/>
      <c r="M72" s="689"/>
      <c r="N72" s="689"/>
      <c r="O72" s="689"/>
      <c r="P72" s="689">
        <v>5000</v>
      </c>
      <c r="Q72" s="689"/>
      <c r="R72" s="689"/>
      <c r="S72" s="690"/>
      <c r="T72" s="690"/>
      <c r="U72" s="679">
        <f t="shared" si="1"/>
        <v>6000</v>
      </c>
    </row>
    <row r="73" spans="1:21" s="530" customFormat="1" ht="19.5" customHeight="1">
      <c r="A73" s="532" t="s">
        <v>642</v>
      </c>
      <c r="B73" s="689"/>
      <c r="C73" s="689"/>
      <c r="D73" s="689"/>
      <c r="E73" s="689"/>
      <c r="F73" s="689"/>
      <c r="G73" s="689"/>
      <c r="H73" s="689"/>
      <c r="I73" s="689"/>
      <c r="J73" s="689"/>
      <c r="K73" s="689">
        <v>10000</v>
      </c>
      <c r="L73" s="689"/>
      <c r="M73" s="689"/>
      <c r="N73" s="689">
        <v>32000</v>
      </c>
      <c r="O73" s="689"/>
      <c r="P73" s="689">
        <v>1000</v>
      </c>
      <c r="Q73" s="689"/>
      <c r="R73" s="689">
        <v>300</v>
      </c>
      <c r="S73" s="690"/>
      <c r="T73" s="690"/>
      <c r="U73" s="679">
        <f t="shared" si="1"/>
        <v>43300</v>
      </c>
    </row>
    <row r="74" spans="1:21" s="530" customFormat="1" ht="19.5" customHeight="1">
      <c r="A74" s="532" t="s">
        <v>754</v>
      </c>
      <c r="B74" s="689"/>
      <c r="C74" s="689"/>
      <c r="D74" s="689"/>
      <c r="E74" s="689"/>
      <c r="F74" s="689"/>
      <c r="G74" s="689"/>
      <c r="H74" s="689"/>
      <c r="I74" s="689"/>
      <c r="J74" s="689"/>
      <c r="K74" s="689"/>
      <c r="L74" s="689"/>
      <c r="M74" s="689"/>
      <c r="N74" s="689">
        <v>976</v>
      </c>
      <c r="O74" s="689"/>
      <c r="P74" s="689">
        <v>-976</v>
      </c>
      <c r="Q74" s="689"/>
      <c r="R74" s="689"/>
      <c r="S74" s="690"/>
      <c r="T74" s="690"/>
      <c r="U74" s="679">
        <f t="shared" si="1"/>
        <v>0</v>
      </c>
    </row>
    <row r="75" spans="1:21" s="530" customFormat="1" ht="27.75" customHeight="1" thickBot="1">
      <c r="A75" s="529" t="s">
        <v>321</v>
      </c>
      <c r="B75" s="689"/>
      <c r="C75" s="689"/>
      <c r="D75" s="689"/>
      <c r="E75" s="689"/>
      <c r="F75" s="689"/>
      <c r="G75" s="689"/>
      <c r="H75" s="689"/>
      <c r="I75" s="689"/>
      <c r="J75" s="689"/>
      <c r="K75" s="689"/>
      <c r="L75" s="689"/>
      <c r="M75" s="689">
        <v>20000</v>
      </c>
      <c r="N75" s="689"/>
      <c r="O75" s="689"/>
      <c r="P75" s="689">
        <v>7000</v>
      </c>
      <c r="Q75" s="689"/>
      <c r="R75" s="689"/>
      <c r="S75" s="690"/>
      <c r="T75" s="690"/>
      <c r="U75" s="679">
        <f aca="true" t="shared" si="7" ref="U75:U119">SUM(B75:T75)</f>
        <v>27000</v>
      </c>
    </row>
    <row r="76" spans="1:21" s="530" customFormat="1" ht="29.25" customHeight="1" thickBot="1">
      <c r="A76" s="533" t="s">
        <v>417</v>
      </c>
      <c r="B76" s="688">
        <f>B77</f>
        <v>20000</v>
      </c>
      <c r="C76" s="688"/>
      <c r="D76" s="688"/>
      <c r="E76" s="688">
        <f>E77</f>
        <v>5500</v>
      </c>
      <c r="F76" s="688">
        <f>F77</f>
        <v>500</v>
      </c>
      <c r="G76" s="688"/>
      <c r="H76" s="688"/>
      <c r="I76" s="688"/>
      <c r="J76" s="688"/>
      <c r="K76" s="688"/>
      <c r="L76" s="688"/>
      <c r="M76" s="688"/>
      <c r="N76" s="688"/>
      <c r="O76" s="688"/>
      <c r="P76" s="688"/>
      <c r="Q76" s="688"/>
      <c r="R76" s="688"/>
      <c r="S76" s="688"/>
      <c r="T76" s="688"/>
      <c r="U76" s="688">
        <f t="shared" si="7"/>
        <v>26000</v>
      </c>
    </row>
    <row r="77" spans="1:21" s="530" customFormat="1" ht="19.5" customHeight="1" thickBot="1">
      <c r="A77" s="532" t="s">
        <v>50</v>
      </c>
      <c r="B77" s="689">
        <v>20000</v>
      </c>
      <c r="C77" s="689"/>
      <c r="D77" s="689"/>
      <c r="E77" s="689">
        <v>5500</v>
      </c>
      <c r="F77" s="689">
        <v>500</v>
      </c>
      <c r="G77" s="689"/>
      <c r="H77" s="689"/>
      <c r="I77" s="689"/>
      <c r="J77" s="689"/>
      <c r="K77" s="689"/>
      <c r="L77" s="689"/>
      <c r="M77" s="689"/>
      <c r="N77" s="689"/>
      <c r="O77" s="689"/>
      <c r="P77" s="689"/>
      <c r="Q77" s="689"/>
      <c r="R77" s="689"/>
      <c r="S77" s="690"/>
      <c r="T77" s="690"/>
      <c r="U77" s="679">
        <f t="shared" si="7"/>
        <v>26000</v>
      </c>
    </row>
    <row r="78" spans="1:21" s="530" customFormat="1" ht="20.25" customHeight="1" thickBot="1">
      <c r="A78" s="533" t="s">
        <v>418</v>
      </c>
      <c r="B78" s="688"/>
      <c r="C78" s="688"/>
      <c r="D78" s="688"/>
      <c r="E78" s="688"/>
      <c r="F78" s="688"/>
      <c r="G78" s="688">
        <f>SUM(G79:G80)</f>
        <v>3000</v>
      </c>
      <c r="H78" s="688"/>
      <c r="I78" s="688"/>
      <c r="J78" s="688"/>
      <c r="K78" s="688"/>
      <c r="L78" s="688"/>
      <c r="M78" s="688">
        <f>SUM(M79:M80)</f>
        <v>10000</v>
      </c>
      <c r="N78" s="688">
        <f>SUM(N79:N80)</f>
        <v>30000</v>
      </c>
      <c r="O78" s="688"/>
      <c r="P78" s="688"/>
      <c r="Q78" s="688"/>
      <c r="R78" s="688"/>
      <c r="S78" s="688"/>
      <c r="T78" s="688"/>
      <c r="U78" s="688">
        <f t="shared" si="7"/>
        <v>43000</v>
      </c>
    </row>
    <row r="79" spans="1:21" s="530" customFormat="1" ht="38.25">
      <c r="A79" s="532" t="s">
        <v>419</v>
      </c>
      <c r="B79" s="689"/>
      <c r="C79" s="689"/>
      <c r="D79" s="689"/>
      <c r="E79" s="689"/>
      <c r="F79" s="689"/>
      <c r="G79" s="689">
        <v>3000</v>
      </c>
      <c r="H79" s="689"/>
      <c r="I79" s="689"/>
      <c r="J79" s="689"/>
      <c r="K79" s="689"/>
      <c r="L79" s="689"/>
      <c r="M79" s="689"/>
      <c r="N79" s="689"/>
      <c r="O79" s="689"/>
      <c r="P79" s="689"/>
      <c r="Q79" s="689"/>
      <c r="R79" s="689"/>
      <c r="S79" s="690"/>
      <c r="T79" s="690"/>
      <c r="U79" s="679">
        <f t="shared" si="7"/>
        <v>3000</v>
      </c>
    </row>
    <row r="80" spans="1:21" s="530" customFormat="1" ht="38.25">
      <c r="A80" s="1350" t="s">
        <v>420</v>
      </c>
      <c r="B80" s="691"/>
      <c r="C80" s="691"/>
      <c r="D80" s="691"/>
      <c r="E80" s="691"/>
      <c r="F80" s="691"/>
      <c r="G80" s="691"/>
      <c r="H80" s="691"/>
      <c r="I80" s="691"/>
      <c r="J80" s="691"/>
      <c r="K80" s="691"/>
      <c r="L80" s="691"/>
      <c r="M80" s="691">
        <v>10000</v>
      </c>
      <c r="N80" s="691">
        <v>30000</v>
      </c>
      <c r="O80" s="691"/>
      <c r="P80" s="691"/>
      <c r="Q80" s="691"/>
      <c r="R80" s="691"/>
      <c r="S80" s="692"/>
      <c r="T80" s="692"/>
      <c r="U80" s="679">
        <f t="shared" si="7"/>
        <v>40000</v>
      </c>
    </row>
    <row r="81" spans="1:21" s="530" customFormat="1" ht="21.75" customHeight="1" thickBot="1">
      <c r="A81" s="528" t="s">
        <v>44</v>
      </c>
      <c r="B81" s="684"/>
      <c r="C81" s="684">
        <f>SUM(C82:C85)</f>
        <v>-12000</v>
      </c>
      <c r="D81" s="684"/>
      <c r="E81" s="684"/>
      <c r="F81" s="684"/>
      <c r="G81" s="684"/>
      <c r="H81" s="684"/>
      <c r="I81" s="684"/>
      <c r="J81" s="684"/>
      <c r="K81" s="684">
        <f aca="true" t="shared" si="8" ref="K81:P81">SUM(K82:K85)</f>
        <v>100000</v>
      </c>
      <c r="L81" s="684">
        <f t="shared" si="8"/>
        <v>1200</v>
      </c>
      <c r="M81" s="684">
        <f t="shared" si="8"/>
        <v>10000</v>
      </c>
      <c r="N81" s="684">
        <f t="shared" si="8"/>
        <v>42000</v>
      </c>
      <c r="O81" s="684">
        <f t="shared" si="8"/>
        <v>800</v>
      </c>
      <c r="P81" s="684">
        <f t="shared" si="8"/>
        <v>10000</v>
      </c>
      <c r="Q81" s="684"/>
      <c r="R81" s="684"/>
      <c r="S81" s="684"/>
      <c r="T81" s="684"/>
      <c r="U81" s="684">
        <f t="shared" si="7"/>
        <v>152000</v>
      </c>
    </row>
    <row r="82" spans="1:21" s="509" customFormat="1" ht="30" customHeight="1">
      <c r="A82" s="626" t="s">
        <v>47</v>
      </c>
      <c r="B82" s="526"/>
      <c r="C82" s="526"/>
      <c r="D82" s="526"/>
      <c r="E82" s="526"/>
      <c r="F82" s="526"/>
      <c r="G82" s="526"/>
      <c r="H82" s="526"/>
      <c r="I82" s="526"/>
      <c r="J82" s="526"/>
      <c r="K82" s="526">
        <v>100000</v>
      </c>
      <c r="L82" s="526"/>
      <c r="M82" s="526">
        <v>10000</v>
      </c>
      <c r="N82" s="526"/>
      <c r="O82" s="526"/>
      <c r="P82" s="526"/>
      <c r="Q82" s="526"/>
      <c r="R82" s="526"/>
      <c r="S82" s="527"/>
      <c r="T82" s="527"/>
      <c r="U82" s="679">
        <f t="shared" si="7"/>
        <v>110000</v>
      </c>
    </row>
    <row r="83" spans="1:21" s="509" customFormat="1" ht="30" customHeight="1">
      <c r="A83" s="626" t="s">
        <v>758</v>
      </c>
      <c r="B83" s="526"/>
      <c r="C83" s="526"/>
      <c r="D83" s="526"/>
      <c r="E83" s="526"/>
      <c r="F83" s="526"/>
      <c r="G83" s="526"/>
      <c r="H83" s="526"/>
      <c r="I83" s="526"/>
      <c r="J83" s="526"/>
      <c r="K83" s="526"/>
      <c r="L83" s="526"/>
      <c r="M83" s="526"/>
      <c r="N83" s="526">
        <v>10000</v>
      </c>
      <c r="O83" s="526"/>
      <c r="P83" s="526"/>
      <c r="Q83" s="526"/>
      <c r="R83" s="526"/>
      <c r="S83" s="527"/>
      <c r="T83" s="527"/>
      <c r="U83" s="679">
        <f t="shared" si="7"/>
        <v>10000</v>
      </c>
    </row>
    <row r="84" spans="1:21" ht="19.5" customHeight="1">
      <c r="A84" s="925" t="s">
        <v>46</v>
      </c>
      <c r="B84" s="926"/>
      <c r="C84" s="926">
        <v>-12000</v>
      </c>
      <c r="D84" s="926"/>
      <c r="E84" s="926"/>
      <c r="F84" s="926"/>
      <c r="G84" s="926"/>
      <c r="H84" s="926"/>
      <c r="I84" s="926"/>
      <c r="J84" s="926"/>
      <c r="K84" s="926"/>
      <c r="L84" s="926">
        <v>1200</v>
      </c>
      <c r="M84" s="926"/>
      <c r="N84" s="926"/>
      <c r="O84" s="926">
        <v>800</v>
      </c>
      <c r="P84" s="926">
        <v>10000</v>
      </c>
      <c r="Q84" s="926"/>
      <c r="R84" s="926"/>
      <c r="S84" s="926"/>
      <c r="T84" s="926"/>
      <c r="U84" s="927">
        <f t="shared" si="7"/>
        <v>0</v>
      </c>
    </row>
    <row r="85" spans="1:21" ht="19.5" customHeight="1" thickBot="1">
      <c r="A85" s="1138" t="s">
        <v>48</v>
      </c>
      <c r="B85" s="926"/>
      <c r="C85" s="926"/>
      <c r="D85" s="926"/>
      <c r="E85" s="926"/>
      <c r="F85" s="926"/>
      <c r="G85" s="926"/>
      <c r="H85" s="926"/>
      <c r="I85" s="926"/>
      <c r="J85" s="926"/>
      <c r="K85" s="926"/>
      <c r="L85" s="926"/>
      <c r="M85" s="926"/>
      <c r="N85" s="926">
        <v>32000</v>
      </c>
      <c r="O85" s="926"/>
      <c r="P85" s="926"/>
      <c r="Q85" s="926"/>
      <c r="R85" s="926"/>
      <c r="S85" s="926"/>
      <c r="T85" s="926"/>
      <c r="U85" s="927">
        <f t="shared" si="7"/>
        <v>32000</v>
      </c>
    </row>
    <row r="86" spans="1:21" s="530" customFormat="1" ht="29.25" customHeight="1" thickBot="1">
      <c r="A86" s="533" t="s">
        <v>423</v>
      </c>
      <c r="B86" s="688"/>
      <c r="C86" s="688"/>
      <c r="D86" s="688"/>
      <c r="E86" s="688">
        <f>E87</f>
        <v>7000</v>
      </c>
      <c r="F86" s="688"/>
      <c r="G86" s="688"/>
      <c r="H86" s="688"/>
      <c r="I86" s="688"/>
      <c r="J86" s="688"/>
      <c r="K86" s="688"/>
      <c r="L86" s="688"/>
      <c r="M86" s="688">
        <f>M87</f>
        <v>10000</v>
      </c>
      <c r="N86" s="688"/>
      <c r="O86" s="688"/>
      <c r="P86" s="688"/>
      <c r="Q86" s="688"/>
      <c r="R86" s="688"/>
      <c r="S86" s="688"/>
      <c r="T86" s="688"/>
      <c r="U86" s="688">
        <f t="shared" si="7"/>
        <v>17000</v>
      </c>
    </row>
    <row r="87" spans="1:21" s="530" customFormat="1" ht="15.75" customHeight="1" thickBot="1">
      <c r="A87" s="532" t="s">
        <v>50</v>
      </c>
      <c r="B87" s="689"/>
      <c r="C87" s="689"/>
      <c r="D87" s="689"/>
      <c r="E87" s="689">
        <v>7000</v>
      </c>
      <c r="F87" s="689"/>
      <c r="G87" s="689"/>
      <c r="H87" s="689"/>
      <c r="I87" s="689"/>
      <c r="J87" s="689"/>
      <c r="K87" s="689"/>
      <c r="L87" s="689"/>
      <c r="M87" s="689">
        <v>10000</v>
      </c>
      <c r="N87" s="689"/>
      <c r="O87" s="689"/>
      <c r="P87" s="689"/>
      <c r="Q87" s="689"/>
      <c r="R87" s="689"/>
      <c r="S87" s="690"/>
      <c r="T87" s="690"/>
      <c r="U87" s="679">
        <f t="shared" si="7"/>
        <v>17000</v>
      </c>
    </row>
    <row r="88" spans="1:21" ht="25.5" customHeight="1" thickBot="1">
      <c r="A88" s="533" t="s">
        <v>320</v>
      </c>
      <c r="B88" s="687">
        <f>SUM(B89:B92)</f>
        <v>0</v>
      </c>
      <c r="C88" s="687"/>
      <c r="D88" s="687">
        <f>SUM(D89:D92)</f>
        <v>-900</v>
      </c>
      <c r="E88" s="687">
        <f>SUM(E89:E92)</f>
        <v>0</v>
      </c>
      <c r="F88" s="687">
        <f>SUM(F89:F92)</f>
        <v>0</v>
      </c>
      <c r="G88" s="687"/>
      <c r="H88" s="687"/>
      <c r="I88" s="687"/>
      <c r="J88" s="687"/>
      <c r="K88" s="687">
        <f>SUM(K89:K92)</f>
        <v>0</v>
      </c>
      <c r="L88" s="687"/>
      <c r="M88" s="687"/>
      <c r="N88" s="687"/>
      <c r="O88" s="687"/>
      <c r="P88" s="687">
        <f>SUM(P89:P92)</f>
        <v>900</v>
      </c>
      <c r="Q88" s="687"/>
      <c r="R88" s="687"/>
      <c r="S88" s="687"/>
      <c r="T88" s="687"/>
      <c r="U88" s="688">
        <f t="shared" si="7"/>
        <v>0</v>
      </c>
    </row>
    <row r="89" spans="1:21" s="1044" customFormat="1" ht="19.5" customHeight="1">
      <c r="A89" s="1043" t="s">
        <v>645</v>
      </c>
      <c r="B89" s="861">
        <v>4113</v>
      </c>
      <c r="C89" s="861"/>
      <c r="D89" s="861">
        <v>300</v>
      </c>
      <c r="E89" s="861">
        <v>266</v>
      </c>
      <c r="F89" s="861">
        <v>32</v>
      </c>
      <c r="G89" s="861"/>
      <c r="H89" s="861"/>
      <c r="I89" s="861"/>
      <c r="J89" s="861"/>
      <c r="K89" s="861">
        <v>300</v>
      </c>
      <c r="L89" s="861"/>
      <c r="M89" s="861"/>
      <c r="N89" s="861"/>
      <c r="O89" s="861"/>
      <c r="P89" s="861"/>
      <c r="Q89" s="861"/>
      <c r="R89" s="861"/>
      <c r="S89" s="861"/>
      <c r="T89" s="861"/>
      <c r="U89" s="1035">
        <f t="shared" si="7"/>
        <v>5011</v>
      </c>
    </row>
    <row r="90" spans="1:21" ht="16.5" customHeight="1">
      <c r="A90" s="627" t="s">
        <v>635</v>
      </c>
      <c r="B90" s="526">
        <v>-4113</v>
      </c>
      <c r="C90" s="526"/>
      <c r="D90" s="526">
        <v>-300</v>
      </c>
      <c r="E90" s="526">
        <v>-266</v>
      </c>
      <c r="F90" s="526">
        <v>-32</v>
      </c>
      <c r="G90" s="526"/>
      <c r="H90" s="526"/>
      <c r="I90" s="526"/>
      <c r="J90" s="526"/>
      <c r="K90" s="526">
        <v>-300</v>
      </c>
      <c r="L90" s="526"/>
      <c r="M90" s="526"/>
      <c r="N90" s="526"/>
      <c r="O90" s="526"/>
      <c r="P90" s="526"/>
      <c r="Q90" s="526"/>
      <c r="R90" s="526"/>
      <c r="S90" s="526"/>
      <c r="T90" s="526"/>
      <c r="U90" s="679">
        <f t="shared" si="7"/>
        <v>-5011</v>
      </c>
    </row>
    <row r="91" spans="1:21" ht="19.5" customHeight="1">
      <c r="A91" s="627" t="s">
        <v>746</v>
      </c>
      <c r="B91" s="526"/>
      <c r="C91" s="526"/>
      <c r="D91" s="526">
        <v>-800</v>
      </c>
      <c r="E91" s="526"/>
      <c r="F91" s="526"/>
      <c r="G91" s="526"/>
      <c r="H91" s="526"/>
      <c r="I91" s="526"/>
      <c r="J91" s="526"/>
      <c r="K91" s="526"/>
      <c r="L91" s="526"/>
      <c r="M91" s="526"/>
      <c r="N91" s="526"/>
      <c r="O91" s="526"/>
      <c r="P91" s="526">
        <v>800</v>
      </c>
      <c r="Q91" s="526"/>
      <c r="R91" s="526"/>
      <c r="S91" s="526"/>
      <c r="T91" s="526"/>
      <c r="U91" s="679">
        <f t="shared" si="7"/>
        <v>0</v>
      </c>
    </row>
    <row r="92" spans="1:21" ht="19.5" customHeight="1" thickBot="1">
      <c r="A92" s="935" t="s">
        <v>752</v>
      </c>
      <c r="B92" s="123"/>
      <c r="C92" s="123"/>
      <c r="D92" s="123">
        <v>-100</v>
      </c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>
        <v>100</v>
      </c>
      <c r="Q92" s="123"/>
      <c r="R92" s="123"/>
      <c r="S92" s="123"/>
      <c r="T92" s="123"/>
      <c r="U92" s="679">
        <f t="shared" si="7"/>
        <v>0</v>
      </c>
    </row>
    <row r="93" spans="1:21" s="569" customFormat="1" ht="18" customHeight="1" thickBot="1">
      <c r="A93" s="952" t="s">
        <v>56</v>
      </c>
      <c r="B93" s="953"/>
      <c r="C93" s="953"/>
      <c r="D93" s="953">
        <f>D94+D100</f>
        <v>9</v>
      </c>
      <c r="E93" s="953"/>
      <c r="F93" s="953"/>
      <c r="G93" s="953"/>
      <c r="H93" s="953"/>
      <c r="I93" s="953"/>
      <c r="J93" s="953"/>
      <c r="K93" s="953">
        <f>K94+K100</f>
        <v>-700</v>
      </c>
      <c r="L93" s="953"/>
      <c r="M93" s="953"/>
      <c r="N93" s="953"/>
      <c r="O93" s="953"/>
      <c r="P93" s="953">
        <f>P94+P100</f>
        <v>-1509</v>
      </c>
      <c r="Q93" s="953"/>
      <c r="R93" s="953"/>
      <c r="S93" s="953"/>
      <c r="T93" s="953"/>
      <c r="U93" s="953">
        <f t="shared" si="7"/>
        <v>-2200</v>
      </c>
    </row>
    <row r="94" spans="1:21" ht="28.5" customHeight="1" thickBot="1" thickTop="1">
      <c r="A94" s="533" t="s">
        <v>675</v>
      </c>
      <c r="B94" s="687"/>
      <c r="C94" s="687"/>
      <c r="D94" s="687">
        <f>D95</f>
        <v>-3159</v>
      </c>
      <c r="E94" s="687"/>
      <c r="F94" s="687"/>
      <c r="G94" s="687"/>
      <c r="H94" s="687"/>
      <c r="I94" s="687"/>
      <c r="J94" s="687"/>
      <c r="K94" s="687">
        <f>K95</f>
        <v>-700</v>
      </c>
      <c r="L94" s="687"/>
      <c r="M94" s="687"/>
      <c r="N94" s="687"/>
      <c r="O94" s="687"/>
      <c r="P94" s="687">
        <f>P95</f>
        <v>1659</v>
      </c>
      <c r="Q94" s="687"/>
      <c r="R94" s="687"/>
      <c r="S94" s="687"/>
      <c r="T94" s="687"/>
      <c r="U94" s="928">
        <f t="shared" si="7"/>
        <v>-2200</v>
      </c>
    </row>
    <row r="95" spans="1:21" s="564" customFormat="1" ht="51" customHeight="1">
      <c r="A95" s="551" t="s">
        <v>668</v>
      </c>
      <c r="B95" s="562"/>
      <c r="C95" s="562"/>
      <c r="D95" s="562">
        <f>D96</f>
        <v>-3159</v>
      </c>
      <c r="E95" s="562"/>
      <c r="F95" s="562"/>
      <c r="G95" s="562"/>
      <c r="H95" s="562"/>
      <c r="I95" s="562"/>
      <c r="J95" s="562"/>
      <c r="K95" s="562">
        <f>K96</f>
        <v>-700</v>
      </c>
      <c r="L95" s="562"/>
      <c r="M95" s="562"/>
      <c r="N95" s="562"/>
      <c r="O95" s="562"/>
      <c r="P95" s="562">
        <f>P96</f>
        <v>1659</v>
      </c>
      <c r="Q95" s="562"/>
      <c r="R95" s="562"/>
      <c r="S95" s="562"/>
      <c r="T95" s="562"/>
      <c r="U95" s="563">
        <f t="shared" si="7"/>
        <v>-2200</v>
      </c>
    </row>
    <row r="96" spans="1:21" s="565" customFormat="1" ht="152.25" customHeight="1">
      <c r="A96" s="869" t="s">
        <v>669</v>
      </c>
      <c r="B96" s="955"/>
      <c r="C96" s="955"/>
      <c r="D96" s="955">
        <f>SUM(D97:D99)</f>
        <v>-3159</v>
      </c>
      <c r="E96" s="955"/>
      <c r="F96" s="955"/>
      <c r="G96" s="955"/>
      <c r="H96" s="955"/>
      <c r="I96" s="955"/>
      <c r="J96" s="955"/>
      <c r="K96" s="955">
        <f>SUM(K97:K99)</f>
        <v>-700</v>
      </c>
      <c r="L96" s="955"/>
      <c r="M96" s="955"/>
      <c r="N96" s="955"/>
      <c r="O96" s="955"/>
      <c r="P96" s="955">
        <f>SUM(P97:P99)</f>
        <v>1659</v>
      </c>
      <c r="Q96" s="955"/>
      <c r="R96" s="955"/>
      <c r="S96" s="955"/>
      <c r="T96" s="955"/>
      <c r="U96" s="568">
        <f t="shared" si="7"/>
        <v>-2200</v>
      </c>
    </row>
    <row r="97" spans="1:21" s="566" customFormat="1" ht="15.75" customHeight="1">
      <c r="A97" s="1079" t="s">
        <v>428</v>
      </c>
      <c r="B97" s="1080"/>
      <c r="C97" s="1080"/>
      <c r="D97" s="1080">
        <v>-1700</v>
      </c>
      <c r="E97" s="1080"/>
      <c r="F97" s="1080"/>
      <c r="G97" s="1080"/>
      <c r="H97" s="1080"/>
      <c r="I97" s="1080"/>
      <c r="J97" s="1080"/>
      <c r="K97" s="1080">
        <v>-700</v>
      </c>
      <c r="L97" s="1080"/>
      <c r="M97" s="1080"/>
      <c r="N97" s="1080"/>
      <c r="O97" s="1080"/>
      <c r="P97" s="1080">
        <v>-1800</v>
      </c>
      <c r="Q97" s="1080"/>
      <c r="R97" s="1080"/>
      <c r="S97" s="1080"/>
      <c r="T97" s="1080"/>
      <c r="U97" s="956">
        <f t="shared" si="7"/>
        <v>-4200</v>
      </c>
    </row>
    <row r="98" spans="1:21" s="566" customFormat="1" ht="16.5" customHeight="1">
      <c r="A98" s="954" t="s">
        <v>46</v>
      </c>
      <c r="B98" s="936"/>
      <c r="C98" s="936"/>
      <c r="D98" s="936">
        <v>-1459</v>
      </c>
      <c r="E98" s="936"/>
      <c r="F98" s="936"/>
      <c r="G98" s="936"/>
      <c r="H98" s="936"/>
      <c r="I98" s="936"/>
      <c r="J98" s="936"/>
      <c r="K98" s="936"/>
      <c r="L98" s="936"/>
      <c r="M98" s="937"/>
      <c r="N98" s="937"/>
      <c r="O98" s="937"/>
      <c r="P98" s="938">
        <v>1459</v>
      </c>
      <c r="Q98" s="938"/>
      <c r="R98" s="938"/>
      <c r="S98" s="938"/>
      <c r="T98" s="938"/>
      <c r="U98" s="939">
        <f t="shared" si="7"/>
        <v>0</v>
      </c>
    </row>
    <row r="99" spans="1:21" s="566" customFormat="1" ht="19.5" customHeight="1" thickBot="1">
      <c r="A99" s="1100" t="s">
        <v>281</v>
      </c>
      <c r="B99" s="1101"/>
      <c r="C99" s="1101"/>
      <c r="D99" s="1101"/>
      <c r="E99" s="1101"/>
      <c r="F99" s="1101"/>
      <c r="G99" s="1101"/>
      <c r="H99" s="1101"/>
      <c r="I99" s="1101"/>
      <c r="J99" s="1101"/>
      <c r="K99" s="1101"/>
      <c r="L99" s="1101"/>
      <c r="M99" s="1102"/>
      <c r="N99" s="1102"/>
      <c r="O99" s="1102"/>
      <c r="P99" s="1103">
        <v>2000</v>
      </c>
      <c r="Q99" s="1103"/>
      <c r="R99" s="1103"/>
      <c r="S99" s="1103"/>
      <c r="T99" s="1103"/>
      <c r="U99" s="1104">
        <f t="shared" si="7"/>
        <v>2000</v>
      </c>
    </row>
    <row r="100" spans="1:21" ht="15.75" customHeight="1" thickBot="1">
      <c r="A100" s="533" t="s">
        <v>674</v>
      </c>
      <c r="B100" s="687"/>
      <c r="C100" s="687"/>
      <c r="D100" s="687">
        <f>D101</f>
        <v>3168</v>
      </c>
      <c r="E100" s="687"/>
      <c r="F100" s="687"/>
      <c r="G100" s="687"/>
      <c r="H100" s="687"/>
      <c r="I100" s="687"/>
      <c r="J100" s="687"/>
      <c r="K100" s="687"/>
      <c r="L100" s="687"/>
      <c r="M100" s="687"/>
      <c r="N100" s="687"/>
      <c r="O100" s="687"/>
      <c r="P100" s="687">
        <f>P101</f>
        <v>-3168</v>
      </c>
      <c r="Q100" s="687"/>
      <c r="R100" s="687"/>
      <c r="S100" s="687"/>
      <c r="T100" s="687"/>
      <c r="U100" s="928">
        <f t="shared" si="7"/>
        <v>0</v>
      </c>
    </row>
    <row r="101" spans="1:21" s="566" customFormat="1" ht="35.25" customHeight="1">
      <c r="A101" s="551" t="s">
        <v>671</v>
      </c>
      <c r="B101" s="960"/>
      <c r="C101" s="961"/>
      <c r="D101" s="961">
        <f>D102</f>
        <v>3168</v>
      </c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2">
        <f>P102</f>
        <v>-3168</v>
      </c>
      <c r="Q101" s="962"/>
      <c r="R101" s="962"/>
      <c r="S101" s="962"/>
      <c r="T101" s="961"/>
      <c r="U101" s="963">
        <f t="shared" si="7"/>
        <v>0</v>
      </c>
    </row>
    <row r="102" spans="1:21" s="565" customFormat="1" ht="100.5" customHeight="1">
      <c r="A102" s="567" t="s">
        <v>411</v>
      </c>
      <c r="B102" s="957"/>
      <c r="C102" s="957"/>
      <c r="D102" s="957">
        <f>D103</f>
        <v>3168</v>
      </c>
      <c r="E102" s="957"/>
      <c r="F102" s="957"/>
      <c r="G102" s="957"/>
      <c r="H102" s="957"/>
      <c r="I102" s="957"/>
      <c r="J102" s="957"/>
      <c r="K102" s="957"/>
      <c r="L102" s="957"/>
      <c r="M102" s="958"/>
      <c r="N102" s="958"/>
      <c r="O102" s="958"/>
      <c r="P102" s="959">
        <f>P103</f>
        <v>-3168</v>
      </c>
      <c r="Q102" s="959"/>
      <c r="R102" s="959"/>
      <c r="S102" s="959"/>
      <c r="T102" s="957"/>
      <c r="U102" s="959">
        <f t="shared" si="7"/>
        <v>0</v>
      </c>
    </row>
    <row r="103" spans="1:21" s="566" customFormat="1" ht="23.25" customHeight="1">
      <c r="A103" s="1351" t="s">
        <v>410</v>
      </c>
      <c r="B103" s="1352"/>
      <c r="C103" s="1352"/>
      <c r="D103" s="1352">
        <v>3168</v>
      </c>
      <c r="E103" s="1352"/>
      <c r="F103" s="1352"/>
      <c r="G103" s="1352"/>
      <c r="H103" s="1352"/>
      <c r="I103" s="1352"/>
      <c r="J103" s="1352"/>
      <c r="K103" s="1352"/>
      <c r="L103" s="1352"/>
      <c r="M103" s="1353"/>
      <c r="N103" s="1353"/>
      <c r="O103" s="1353"/>
      <c r="P103" s="956">
        <v>-3168</v>
      </c>
      <c r="Q103" s="956"/>
      <c r="R103" s="956"/>
      <c r="S103" s="956"/>
      <c r="T103" s="956"/>
      <c r="U103" s="956">
        <f t="shared" si="7"/>
        <v>0</v>
      </c>
    </row>
    <row r="104" spans="1:21" s="512" customFormat="1" ht="32.25" customHeight="1" thickBot="1">
      <c r="A104" s="1158" t="s">
        <v>761</v>
      </c>
      <c r="B104" s="693"/>
      <c r="C104" s="693"/>
      <c r="D104" s="693">
        <f aca="true" t="shared" si="9" ref="D104:S104">D105+D107+D110+D113+D115+D164+D166+D168</f>
        <v>-87</v>
      </c>
      <c r="E104" s="693"/>
      <c r="F104" s="693"/>
      <c r="G104" s="693">
        <f t="shared" si="9"/>
        <v>500</v>
      </c>
      <c r="H104" s="693">
        <f t="shared" si="9"/>
        <v>96320</v>
      </c>
      <c r="I104" s="693">
        <f t="shared" si="9"/>
        <v>560</v>
      </c>
      <c r="J104" s="693"/>
      <c r="K104" s="693">
        <f t="shared" si="9"/>
        <v>1000</v>
      </c>
      <c r="L104" s="693">
        <f t="shared" si="9"/>
        <v>500</v>
      </c>
      <c r="M104" s="693">
        <f t="shared" si="9"/>
        <v>14400</v>
      </c>
      <c r="N104" s="693">
        <f t="shared" si="9"/>
        <v>34661</v>
      </c>
      <c r="O104" s="693"/>
      <c r="P104" s="693">
        <f t="shared" si="9"/>
        <v>6587</v>
      </c>
      <c r="Q104" s="693"/>
      <c r="R104" s="693"/>
      <c r="S104" s="693">
        <f t="shared" si="9"/>
        <v>500</v>
      </c>
      <c r="T104" s="693"/>
      <c r="U104" s="924">
        <f t="shared" si="7"/>
        <v>154941</v>
      </c>
    </row>
    <row r="105" spans="1:21" ht="21" customHeight="1" thickBot="1" thickTop="1">
      <c r="A105" s="1157" t="s">
        <v>424</v>
      </c>
      <c r="B105" s="688"/>
      <c r="C105" s="688"/>
      <c r="D105" s="688"/>
      <c r="E105" s="688"/>
      <c r="F105" s="688"/>
      <c r="G105" s="688">
        <f>G106</f>
        <v>500</v>
      </c>
      <c r="H105" s="688"/>
      <c r="I105" s="688"/>
      <c r="J105" s="688"/>
      <c r="K105" s="688">
        <f>K106</f>
        <v>1000</v>
      </c>
      <c r="L105" s="688">
        <f>L106</f>
        <v>500</v>
      </c>
      <c r="M105" s="688"/>
      <c r="N105" s="688"/>
      <c r="O105" s="688"/>
      <c r="P105" s="688"/>
      <c r="Q105" s="688"/>
      <c r="R105" s="688"/>
      <c r="S105" s="688"/>
      <c r="T105" s="688"/>
      <c r="U105" s="688">
        <f t="shared" si="7"/>
        <v>2000</v>
      </c>
    </row>
    <row r="106" spans="1:21" ht="19.5" customHeight="1" thickBot="1">
      <c r="A106" s="629" t="s">
        <v>635</v>
      </c>
      <c r="B106" s="691"/>
      <c r="C106" s="691"/>
      <c r="D106" s="691"/>
      <c r="E106" s="691"/>
      <c r="F106" s="691"/>
      <c r="G106" s="691">
        <v>500</v>
      </c>
      <c r="H106" s="691"/>
      <c r="I106" s="691"/>
      <c r="J106" s="691"/>
      <c r="K106" s="691">
        <v>1000</v>
      </c>
      <c r="L106" s="691">
        <v>500</v>
      </c>
      <c r="M106" s="691"/>
      <c r="N106" s="691"/>
      <c r="O106" s="691"/>
      <c r="P106" s="691"/>
      <c r="Q106" s="691"/>
      <c r="R106" s="691"/>
      <c r="S106" s="692"/>
      <c r="T106" s="692"/>
      <c r="U106" s="679">
        <f t="shared" si="7"/>
        <v>2000</v>
      </c>
    </row>
    <row r="107" spans="1:21" ht="28.5" customHeight="1" thickBot="1">
      <c r="A107" s="534" t="s">
        <v>160</v>
      </c>
      <c r="B107" s="688"/>
      <c r="C107" s="688"/>
      <c r="D107" s="688"/>
      <c r="E107" s="688"/>
      <c r="F107" s="688"/>
      <c r="G107" s="688"/>
      <c r="H107" s="688"/>
      <c r="I107" s="688"/>
      <c r="J107" s="688"/>
      <c r="K107" s="688"/>
      <c r="L107" s="688"/>
      <c r="M107" s="688"/>
      <c r="N107" s="688">
        <f>N108+N109</f>
        <v>31130</v>
      </c>
      <c r="O107" s="688"/>
      <c r="P107" s="688"/>
      <c r="Q107" s="688"/>
      <c r="R107" s="688"/>
      <c r="S107" s="688"/>
      <c r="T107" s="688"/>
      <c r="U107" s="688">
        <f t="shared" si="7"/>
        <v>31130</v>
      </c>
    </row>
    <row r="108" spans="1:21" ht="38.25">
      <c r="A108" s="629" t="s">
        <v>161</v>
      </c>
      <c r="B108" s="691"/>
      <c r="C108" s="691"/>
      <c r="D108" s="691"/>
      <c r="E108" s="691"/>
      <c r="F108" s="691"/>
      <c r="G108" s="691"/>
      <c r="H108" s="691"/>
      <c r="I108" s="691"/>
      <c r="J108" s="691"/>
      <c r="K108" s="691"/>
      <c r="L108" s="691"/>
      <c r="M108" s="691"/>
      <c r="N108" s="691">
        <v>18000</v>
      </c>
      <c r="O108" s="691"/>
      <c r="P108" s="691"/>
      <c r="Q108" s="691"/>
      <c r="R108" s="691"/>
      <c r="S108" s="692"/>
      <c r="T108" s="692"/>
      <c r="U108" s="679">
        <f t="shared" si="7"/>
        <v>18000</v>
      </c>
    </row>
    <row r="109" spans="1:21" ht="26.25" thickBot="1">
      <c r="A109" s="629" t="s">
        <v>162</v>
      </c>
      <c r="B109" s="1040"/>
      <c r="C109" s="1040"/>
      <c r="D109" s="1040"/>
      <c r="E109" s="1040"/>
      <c r="F109" s="1040"/>
      <c r="G109" s="1040"/>
      <c r="H109" s="1040"/>
      <c r="I109" s="1040"/>
      <c r="J109" s="1040"/>
      <c r="K109" s="1040"/>
      <c r="L109" s="1040"/>
      <c r="M109" s="1040"/>
      <c r="N109" s="1040">
        <v>13130</v>
      </c>
      <c r="O109" s="1040"/>
      <c r="P109" s="1040"/>
      <c r="Q109" s="1040"/>
      <c r="R109" s="1040"/>
      <c r="S109" s="1041"/>
      <c r="T109" s="1041"/>
      <c r="U109" s="1035">
        <f t="shared" si="7"/>
        <v>13130</v>
      </c>
    </row>
    <row r="110" spans="1:21" ht="42" customHeight="1" thickBot="1">
      <c r="A110" s="534" t="s">
        <v>220</v>
      </c>
      <c r="B110" s="688"/>
      <c r="C110" s="688"/>
      <c r="D110" s="688">
        <f>D111+D112</f>
        <v>-500</v>
      </c>
      <c r="E110" s="688"/>
      <c r="F110" s="688"/>
      <c r="G110" s="688"/>
      <c r="H110" s="688"/>
      <c r="I110" s="688"/>
      <c r="J110" s="688"/>
      <c r="K110" s="688"/>
      <c r="L110" s="688"/>
      <c r="M110" s="688"/>
      <c r="N110" s="688"/>
      <c r="O110" s="688"/>
      <c r="P110" s="688">
        <f>P111+P112</f>
        <v>4000</v>
      </c>
      <c r="Q110" s="688"/>
      <c r="R110" s="688"/>
      <c r="S110" s="688">
        <f>S111+S112</f>
        <v>500</v>
      </c>
      <c r="T110" s="688"/>
      <c r="U110" s="688">
        <f t="shared" si="7"/>
        <v>4000</v>
      </c>
    </row>
    <row r="111" spans="1:21" ht="25.5">
      <c r="A111" s="629" t="s">
        <v>425</v>
      </c>
      <c r="B111" s="691"/>
      <c r="C111" s="691"/>
      <c r="D111" s="691"/>
      <c r="E111" s="691"/>
      <c r="F111" s="691"/>
      <c r="G111" s="691"/>
      <c r="H111" s="691"/>
      <c r="I111" s="691"/>
      <c r="J111" s="691"/>
      <c r="K111" s="691"/>
      <c r="L111" s="691"/>
      <c r="M111" s="691"/>
      <c r="N111" s="691"/>
      <c r="O111" s="691"/>
      <c r="P111" s="691">
        <v>4000</v>
      </c>
      <c r="Q111" s="691"/>
      <c r="R111" s="691"/>
      <c r="S111" s="692"/>
      <c r="T111" s="692"/>
      <c r="U111" s="679">
        <f t="shared" si="7"/>
        <v>4000</v>
      </c>
    </row>
    <row r="112" spans="1:21" ht="26.25" thickBot="1">
      <c r="A112" s="629" t="s">
        <v>407</v>
      </c>
      <c r="B112" s="1040"/>
      <c r="C112" s="1040"/>
      <c r="D112" s="1040">
        <v>-500</v>
      </c>
      <c r="E112" s="1040"/>
      <c r="F112" s="1040"/>
      <c r="G112" s="1040"/>
      <c r="H112" s="1040"/>
      <c r="I112" s="1040"/>
      <c r="J112" s="1040"/>
      <c r="K112" s="1040"/>
      <c r="L112" s="1040"/>
      <c r="M112" s="1040"/>
      <c r="N112" s="1040"/>
      <c r="O112" s="1040"/>
      <c r="P112" s="1040"/>
      <c r="Q112" s="1040"/>
      <c r="R112" s="1040"/>
      <c r="S112" s="1041">
        <v>500</v>
      </c>
      <c r="T112" s="1041"/>
      <c r="U112" s="1035">
        <f t="shared" si="7"/>
        <v>0</v>
      </c>
    </row>
    <row r="113" spans="1:21" ht="33.75" customHeight="1" thickBot="1">
      <c r="A113" s="534" t="s">
        <v>426</v>
      </c>
      <c r="B113" s="688"/>
      <c r="C113" s="688"/>
      <c r="D113" s="688"/>
      <c r="E113" s="688"/>
      <c r="F113" s="688"/>
      <c r="G113" s="688"/>
      <c r="H113" s="688"/>
      <c r="I113" s="688"/>
      <c r="J113" s="688"/>
      <c r="K113" s="688"/>
      <c r="L113" s="688"/>
      <c r="M113" s="688">
        <f>M114</f>
        <v>12000</v>
      </c>
      <c r="N113" s="688"/>
      <c r="O113" s="688"/>
      <c r="P113" s="688"/>
      <c r="Q113" s="688"/>
      <c r="R113" s="688"/>
      <c r="S113" s="688"/>
      <c r="T113" s="688"/>
      <c r="U113" s="688">
        <f t="shared" si="7"/>
        <v>12000</v>
      </c>
    </row>
    <row r="114" spans="1:21" ht="19.5" customHeight="1" thickBot="1">
      <c r="A114" s="629" t="s">
        <v>427</v>
      </c>
      <c r="B114" s="691"/>
      <c r="C114" s="691"/>
      <c r="D114" s="691"/>
      <c r="E114" s="691"/>
      <c r="F114" s="691"/>
      <c r="G114" s="691"/>
      <c r="H114" s="691"/>
      <c r="I114" s="691"/>
      <c r="J114" s="691"/>
      <c r="K114" s="691"/>
      <c r="L114" s="691"/>
      <c r="M114" s="691">
        <v>12000</v>
      </c>
      <c r="N114" s="691"/>
      <c r="O114" s="691"/>
      <c r="P114" s="691"/>
      <c r="Q114" s="691"/>
      <c r="R114" s="691"/>
      <c r="S114" s="692"/>
      <c r="T114" s="692"/>
      <c r="U114" s="679">
        <f t="shared" si="7"/>
        <v>12000</v>
      </c>
    </row>
    <row r="115" spans="1:21" s="530" customFormat="1" ht="27.75" customHeight="1" thickBot="1">
      <c r="A115" s="537" t="s">
        <v>53</v>
      </c>
      <c r="B115" s="695"/>
      <c r="C115" s="695"/>
      <c r="D115" s="695"/>
      <c r="E115" s="695"/>
      <c r="F115" s="695"/>
      <c r="G115" s="695"/>
      <c r="H115" s="695">
        <f>H116+H161</f>
        <v>96320</v>
      </c>
      <c r="I115" s="695">
        <f>I116+I161</f>
        <v>560</v>
      </c>
      <c r="J115" s="695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88">
        <f t="shared" si="7"/>
        <v>96880</v>
      </c>
    </row>
    <row r="116" spans="1:21" s="530" customFormat="1" ht="33" customHeight="1">
      <c r="A116" s="539" t="s">
        <v>283</v>
      </c>
      <c r="B116" s="659"/>
      <c r="C116" s="659"/>
      <c r="D116" s="659"/>
      <c r="E116" s="659"/>
      <c r="F116" s="659"/>
      <c r="G116" s="659"/>
      <c r="H116" s="659">
        <f>SUM(H117:H160)</f>
        <v>96320</v>
      </c>
      <c r="I116" s="659"/>
      <c r="J116" s="659"/>
      <c r="K116" s="659"/>
      <c r="L116" s="659"/>
      <c r="M116" s="659"/>
      <c r="N116" s="659"/>
      <c r="O116" s="659"/>
      <c r="P116" s="659"/>
      <c r="Q116" s="659"/>
      <c r="R116" s="659"/>
      <c r="S116" s="659"/>
      <c r="T116" s="659"/>
      <c r="U116" s="863">
        <f t="shared" si="7"/>
        <v>96320</v>
      </c>
    </row>
    <row r="117" spans="1:21" s="530" customFormat="1" ht="18" customHeight="1">
      <c r="A117" s="626" t="s">
        <v>644</v>
      </c>
      <c r="B117" s="696"/>
      <c r="C117" s="696"/>
      <c r="D117" s="696"/>
      <c r="E117" s="696"/>
      <c r="F117" s="696"/>
      <c r="G117" s="696"/>
      <c r="H117" s="526">
        <v>640</v>
      </c>
      <c r="I117" s="526"/>
      <c r="J117" s="696"/>
      <c r="K117" s="696"/>
      <c r="L117" s="696"/>
      <c r="M117" s="696"/>
      <c r="N117" s="696"/>
      <c r="O117" s="696"/>
      <c r="P117" s="696"/>
      <c r="Q117" s="696"/>
      <c r="R117" s="696"/>
      <c r="S117" s="697"/>
      <c r="T117" s="697"/>
      <c r="U117" s="679">
        <f t="shared" si="7"/>
        <v>640</v>
      </c>
    </row>
    <row r="118" spans="1:21" s="530" customFormat="1" ht="18" customHeight="1">
      <c r="A118" s="626" t="s">
        <v>645</v>
      </c>
      <c r="B118" s="696"/>
      <c r="C118" s="696"/>
      <c r="D118" s="696"/>
      <c r="E118" s="696"/>
      <c r="F118" s="696"/>
      <c r="G118" s="696"/>
      <c r="H118" s="526">
        <v>320</v>
      </c>
      <c r="I118" s="526"/>
      <c r="J118" s="696"/>
      <c r="K118" s="696"/>
      <c r="L118" s="696"/>
      <c r="M118" s="696"/>
      <c r="N118" s="696"/>
      <c r="O118" s="696"/>
      <c r="P118" s="696"/>
      <c r="Q118" s="696"/>
      <c r="R118" s="696"/>
      <c r="S118" s="697"/>
      <c r="T118" s="697"/>
      <c r="U118" s="679">
        <f t="shared" si="7"/>
        <v>320</v>
      </c>
    </row>
    <row r="119" spans="1:21" s="530" customFormat="1" ht="18" customHeight="1">
      <c r="A119" s="626" t="s">
        <v>646</v>
      </c>
      <c r="B119" s="696"/>
      <c r="C119" s="696"/>
      <c r="D119" s="696"/>
      <c r="E119" s="696"/>
      <c r="F119" s="696"/>
      <c r="G119" s="696"/>
      <c r="H119" s="526">
        <v>2560</v>
      </c>
      <c r="I119" s="526"/>
      <c r="J119" s="696"/>
      <c r="K119" s="696"/>
      <c r="L119" s="696"/>
      <c r="M119" s="696"/>
      <c r="N119" s="696"/>
      <c r="O119" s="696"/>
      <c r="P119" s="696"/>
      <c r="Q119" s="696"/>
      <c r="R119" s="696"/>
      <c r="S119" s="697"/>
      <c r="T119" s="697"/>
      <c r="U119" s="679">
        <f t="shared" si="7"/>
        <v>2560</v>
      </c>
    </row>
    <row r="120" spans="1:21" s="530" customFormat="1" ht="18" customHeight="1">
      <c r="A120" s="626" t="s">
        <v>647</v>
      </c>
      <c r="B120" s="535"/>
      <c r="C120" s="535"/>
      <c r="D120" s="535"/>
      <c r="E120" s="535"/>
      <c r="F120" s="535"/>
      <c r="G120" s="535"/>
      <c r="H120" s="526">
        <v>320</v>
      </c>
      <c r="I120" s="526"/>
      <c r="J120" s="535"/>
      <c r="K120" s="535"/>
      <c r="L120" s="535"/>
      <c r="M120" s="535"/>
      <c r="N120" s="535"/>
      <c r="O120" s="535"/>
      <c r="P120" s="535"/>
      <c r="Q120" s="535"/>
      <c r="R120" s="535"/>
      <c r="S120" s="536"/>
      <c r="T120" s="536"/>
      <c r="U120" s="679">
        <f aca="true" t="shared" si="10" ref="U120:U163">SUM(B120:T120)</f>
        <v>320</v>
      </c>
    </row>
    <row r="121" spans="1:21" s="530" customFormat="1" ht="18" customHeight="1">
      <c r="A121" s="626" t="s">
        <v>648</v>
      </c>
      <c r="B121" s="535"/>
      <c r="C121" s="535"/>
      <c r="D121" s="535"/>
      <c r="E121" s="535"/>
      <c r="F121" s="535"/>
      <c r="G121" s="535"/>
      <c r="H121" s="526">
        <v>1920</v>
      </c>
      <c r="I121" s="526"/>
      <c r="J121" s="535"/>
      <c r="K121" s="535"/>
      <c r="L121" s="535"/>
      <c r="M121" s="535"/>
      <c r="N121" s="535"/>
      <c r="O121" s="535"/>
      <c r="P121" s="535"/>
      <c r="Q121" s="535"/>
      <c r="R121" s="535"/>
      <c r="S121" s="536"/>
      <c r="T121" s="536"/>
      <c r="U121" s="679">
        <f t="shared" si="10"/>
        <v>1920</v>
      </c>
    </row>
    <row r="122" spans="1:21" s="530" customFormat="1" ht="18" customHeight="1">
      <c r="A122" s="626" t="s">
        <v>649</v>
      </c>
      <c r="B122" s="526"/>
      <c r="C122" s="526"/>
      <c r="D122" s="526"/>
      <c r="E122" s="526"/>
      <c r="F122" s="526"/>
      <c r="G122" s="526"/>
      <c r="H122" s="526">
        <v>320</v>
      </c>
      <c r="I122" s="526"/>
      <c r="J122" s="526"/>
      <c r="K122" s="526"/>
      <c r="L122" s="526"/>
      <c r="M122" s="526"/>
      <c r="N122" s="526"/>
      <c r="O122" s="526"/>
      <c r="P122" s="526"/>
      <c r="Q122" s="526"/>
      <c r="R122" s="526"/>
      <c r="S122" s="527"/>
      <c r="T122" s="527"/>
      <c r="U122" s="679">
        <f t="shared" si="10"/>
        <v>320</v>
      </c>
    </row>
    <row r="123" spans="1:21" s="530" customFormat="1" ht="18" customHeight="1">
      <c r="A123" s="626" t="s">
        <v>651</v>
      </c>
      <c r="B123" s="526"/>
      <c r="C123" s="526"/>
      <c r="D123" s="526"/>
      <c r="E123" s="526"/>
      <c r="F123" s="526"/>
      <c r="G123" s="526"/>
      <c r="H123" s="526">
        <v>960</v>
      </c>
      <c r="I123" s="526"/>
      <c r="J123" s="526"/>
      <c r="K123" s="526"/>
      <c r="L123" s="526"/>
      <c r="M123" s="526"/>
      <c r="N123" s="526"/>
      <c r="O123" s="526"/>
      <c r="P123" s="526"/>
      <c r="Q123" s="526"/>
      <c r="R123" s="526"/>
      <c r="S123" s="527"/>
      <c r="T123" s="527"/>
      <c r="U123" s="679">
        <f t="shared" si="10"/>
        <v>960</v>
      </c>
    </row>
    <row r="124" spans="1:21" s="530" customFormat="1" ht="18" customHeight="1">
      <c r="A124" s="626" t="s">
        <v>414</v>
      </c>
      <c r="B124" s="526"/>
      <c r="C124" s="526"/>
      <c r="D124" s="526"/>
      <c r="E124" s="526"/>
      <c r="F124" s="526"/>
      <c r="G124" s="526"/>
      <c r="H124" s="526">
        <v>1920</v>
      </c>
      <c r="I124" s="526"/>
      <c r="J124" s="526"/>
      <c r="K124" s="526"/>
      <c r="L124" s="526"/>
      <c r="M124" s="526"/>
      <c r="N124" s="526"/>
      <c r="O124" s="526"/>
      <c r="P124" s="526"/>
      <c r="Q124" s="526"/>
      <c r="R124" s="526"/>
      <c r="S124" s="527"/>
      <c r="T124" s="527"/>
      <c r="U124" s="679">
        <f t="shared" si="10"/>
        <v>1920</v>
      </c>
    </row>
    <row r="125" spans="1:21" s="530" customFormat="1" ht="18" customHeight="1">
      <c r="A125" s="626" t="s">
        <v>678</v>
      </c>
      <c r="B125" s="526"/>
      <c r="C125" s="526"/>
      <c r="D125" s="526"/>
      <c r="E125" s="526"/>
      <c r="F125" s="526"/>
      <c r="G125" s="526"/>
      <c r="H125" s="526">
        <v>960</v>
      </c>
      <c r="I125" s="526"/>
      <c r="J125" s="526"/>
      <c r="K125" s="526"/>
      <c r="L125" s="526"/>
      <c r="M125" s="526"/>
      <c r="N125" s="526"/>
      <c r="O125" s="526"/>
      <c r="P125" s="526"/>
      <c r="Q125" s="526"/>
      <c r="R125" s="526"/>
      <c r="S125" s="527"/>
      <c r="T125" s="527"/>
      <c r="U125" s="679">
        <f t="shared" si="10"/>
        <v>960</v>
      </c>
    </row>
    <row r="126" spans="1:21" s="530" customFormat="1" ht="18" customHeight="1">
      <c r="A126" s="626" t="s">
        <v>679</v>
      </c>
      <c r="B126" s="526"/>
      <c r="C126" s="526"/>
      <c r="D126" s="526"/>
      <c r="E126" s="526"/>
      <c r="F126" s="526"/>
      <c r="G126" s="526"/>
      <c r="H126" s="526">
        <v>960</v>
      </c>
      <c r="I126" s="526"/>
      <c r="J126" s="526"/>
      <c r="K126" s="526"/>
      <c r="L126" s="526"/>
      <c r="M126" s="526"/>
      <c r="N126" s="526"/>
      <c r="O126" s="526"/>
      <c r="P126" s="526"/>
      <c r="Q126" s="526"/>
      <c r="R126" s="526"/>
      <c r="S126" s="527"/>
      <c r="T126" s="527"/>
      <c r="U126" s="679">
        <f t="shared" si="10"/>
        <v>960</v>
      </c>
    </row>
    <row r="127" spans="1:21" s="530" customFormat="1" ht="18" customHeight="1">
      <c r="A127" s="626" t="s">
        <v>680</v>
      </c>
      <c r="B127" s="526"/>
      <c r="C127" s="526"/>
      <c r="D127" s="526"/>
      <c r="E127" s="526"/>
      <c r="F127" s="526"/>
      <c r="G127" s="526"/>
      <c r="H127" s="526">
        <v>640</v>
      </c>
      <c r="I127" s="526"/>
      <c r="J127" s="526"/>
      <c r="K127" s="526"/>
      <c r="L127" s="526"/>
      <c r="M127" s="526"/>
      <c r="N127" s="526"/>
      <c r="O127" s="526"/>
      <c r="P127" s="526"/>
      <c r="Q127" s="526"/>
      <c r="R127" s="526"/>
      <c r="S127" s="527"/>
      <c r="T127" s="527"/>
      <c r="U127" s="679">
        <f t="shared" si="10"/>
        <v>640</v>
      </c>
    </row>
    <row r="128" spans="1:21" s="530" customFormat="1" ht="18" customHeight="1">
      <c r="A128" s="626" t="s">
        <v>635</v>
      </c>
      <c r="B128" s="535"/>
      <c r="C128" s="535"/>
      <c r="D128" s="535"/>
      <c r="E128" s="535"/>
      <c r="F128" s="535"/>
      <c r="G128" s="535"/>
      <c r="H128" s="526">
        <v>640</v>
      </c>
      <c r="I128" s="526"/>
      <c r="J128" s="535"/>
      <c r="K128" s="535"/>
      <c r="L128" s="535"/>
      <c r="M128" s="535"/>
      <c r="N128" s="535"/>
      <c r="O128" s="535"/>
      <c r="P128" s="535"/>
      <c r="Q128" s="535"/>
      <c r="R128" s="535"/>
      <c r="S128" s="536"/>
      <c r="T128" s="536"/>
      <c r="U128" s="679">
        <f t="shared" si="10"/>
        <v>640</v>
      </c>
    </row>
    <row r="129" spans="1:21" s="530" customFormat="1" ht="18" customHeight="1">
      <c r="A129" s="626" t="s">
        <v>681</v>
      </c>
      <c r="B129" s="535"/>
      <c r="C129" s="535"/>
      <c r="D129" s="535"/>
      <c r="E129" s="535"/>
      <c r="F129" s="535"/>
      <c r="G129" s="535"/>
      <c r="H129" s="526">
        <v>960</v>
      </c>
      <c r="I129" s="526"/>
      <c r="J129" s="535"/>
      <c r="K129" s="535"/>
      <c r="L129" s="535"/>
      <c r="M129" s="535"/>
      <c r="N129" s="535"/>
      <c r="O129" s="535"/>
      <c r="P129" s="535"/>
      <c r="Q129" s="535"/>
      <c r="R129" s="535"/>
      <c r="S129" s="536"/>
      <c r="T129" s="536"/>
      <c r="U129" s="679">
        <f t="shared" si="10"/>
        <v>960</v>
      </c>
    </row>
    <row r="130" spans="1:21" s="530" customFormat="1" ht="18" customHeight="1">
      <c r="A130" s="626" t="s">
        <v>682</v>
      </c>
      <c r="B130" s="535"/>
      <c r="C130" s="535"/>
      <c r="D130" s="535"/>
      <c r="E130" s="535"/>
      <c r="F130" s="535"/>
      <c r="G130" s="535"/>
      <c r="H130" s="526">
        <v>3520</v>
      </c>
      <c r="I130" s="526"/>
      <c r="J130" s="535"/>
      <c r="K130" s="535"/>
      <c r="L130" s="535"/>
      <c r="M130" s="535"/>
      <c r="N130" s="535"/>
      <c r="O130" s="535"/>
      <c r="P130" s="535"/>
      <c r="Q130" s="535"/>
      <c r="R130" s="535"/>
      <c r="S130" s="536"/>
      <c r="T130" s="536"/>
      <c r="U130" s="679">
        <f t="shared" si="10"/>
        <v>3520</v>
      </c>
    </row>
    <row r="131" spans="1:21" s="530" customFormat="1" ht="18" customHeight="1">
      <c r="A131" s="626" t="s">
        <v>683</v>
      </c>
      <c r="B131" s="535"/>
      <c r="C131" s="535"/>
      <c r="D131" s="535"/>
      <c r="E131" s="535"/>
      <c r="F131" s="535"/>
      <c r="G131" s="535"/>
      <c r="H131" s="526">
        <v>1600</v>
      </c>
      <c r="I131" s="526"/>
      <c r="J131" s="535"/>
      <c r="K131" s="535"/>
      <c r="L131" s="535"/>
      <c r="M131" s="535"/>
      <c r="N131" s="535"/>
      <c r="O131" s="535"/>
      <c r="P131" s="535"/>
      <c r="Q131" s="535"/>
      <c r="R131" s="535"/>
      <c r="S131" s="536"/>
      <c r="T131" s="536"/>
      <c r="U131" s="679">
        <f t="shared" si="10"/>
        <v>1600</v>
      </c>
    </row>
    <row r="132" spans="1:21" s="530" customFormat="1" ht="18" customHeight="1">
      <c r="A132" s="626" t="s">
        <v>684</v>
      </c>
      <c r="B132" s="535"/>
      <c r="C132" s="535"/>
      <c r="D132" s="535"/>
      <c r="E132" s="535"/>
      <c r="F132" s="535"/>
      <c r="G132" s="535"/>
      <c r="H132" s="526">
        <v>1920</v>
      </c>
      <c r="I132" s="526"/>
      <c r="J132" s="535"/>
      <c r="K132" s="535"/>
      <c r="L132" s="535"/>
      <c r="M132" s="535"/>
      <c r="N132" s="535"/>
      <c r="O132" s="535"/>
      <c r="P132" s="535"/>
      <c r="Q132" s="535"/>
      <c r="R132" s="535"/>
      <c r="S132" s="536"/>
      <c r="T132" s="536"/>
      <c r="U132" s="679">
        <f t="shared" si="10"/>
        <v>1920</v>
      </c>
    </row>
    <row r="133" spans="1:21" s="530" customFormat="1" ht="18" customHeight="1">
      <c r="A133" s="626" t="s">
        <v>428</v>
      </c>
      <c r="B133" s="535"/>
      <c r="C133" s="535"/>
      <c r="D133" s="535"/>
      <c r="E133" s="535"/>
      <c r="F133" s="535"/>
      <c r="G133" s="535"/>
      <c r="H133" s="526">
        <v>1280</v>
      </c>
      <c r="I133" s="526"/>
      <c r="J133" s="535"/>
      <c r="K133" s="535"/>
      <c r="L133" s="535"/>
      <c r="M133" s="535"/>
      <c r="N133" s="535"/>
      <c r="O133" s="535"/>
      <c r="P133" s="535"/>
      <c r="Q133" s="535"/>
      <c r="R133" s="535"/>
      <c r="S133" s="536"/>
      <c r="T133" s="536"/>
      <c r="U133" s="679">
        <f t="shared" si="10"/>
        <v>1280</v>
      </c>
    </row>
    <row r="134" spans="1:21" s="530" customFormat="1" ht="18" customHeight="1">
      <c r="A134" s="626" t="s">
        <v>686</v>
      </c>
      <c r="B134" s="535"/>
      <c r="C134" s="535"/>
      <c r="D134" s="535"/>
      <c r="E134" s="535"/>
      <c r="F134" s="535"/>
      <c r="G134" s="535"/>
      <c r="H134" s="526">
        <v>320</v>
      </c>
      <c r="I134" s="526"/>
      <c r="J134" s="535"/>
      <c r="K134" s="535"/>
      <c r="L134" s="535"/>
      <c r="M134" s="535"/>
      <c r="N134" s="535"/>
      <c r="O134" s="535"/>
      <c r="P134" s="535"/>
      <c r="Q134" s="535"/>
      <c r="R134" s="535"/>
      <c r="S134" s="536"/>
      <c r="T134" s="536"/>
      <c r="U134" s="679">
        <f t="shared" si="10"/>
        <v>320</v>
      </c>
    </row>
    <row r="135" spans="1:21" s="530" customFormat="1" ht="18" customHeight="1">
      <c r="A135" s="626" t="s">
        <v>687</v>
      </c>
      <c r="B135" s="535"/>
      <c r="C135" s="535"/>
      <c r="D135" s="535"/>
      <c r="E135" s="535"/>
      <c r="F135" s="535"/>
      <c r="G135" s="535"/>
      <c r="H135" s="526">
        <v>3200</v>
      </c>
      <c r="I135" s="526"/>
      <c r="J135" s="535"/>
      <c r="K135" s="535"/>
      <c r="L135" s="535"/>
      <c r="M135" s="535"/>
      <c r="N135" s="535"/>
      <c r="O135" s="535"/>
      <c r="P135" s="535"/>
      <c r="Q135" s="535"/>
      <c r="R135" s="535"/>
      <c r="S135" s="536"/>
      <c r="T135" s="536"/>
      <c r="U135" s="679">
        <f t="shared" si="10"/>
        <v>3200</v>
      </c>
    </row>
    <row r="136" spans="1:21" s="530" customFormat="1" ht="18" customHeight="1">
      <c r="A136" s="626" t="s">
        <v>412</v>
      </c>
      <c r="B136" s="535"/>
      <c r="C136" s="535"/>
      <c r="D136" s="535"/>
      <c r="E136" s="535"/>
      <c r="F136" s="535"/>
      <c r="G136" s="535"/>
      <c r="H136" s="526">
        <v>320</v>
      </c>
      <c r="I136" s="526"/>
      <c r="J136" s="535"/>
      <c r="K136" s="535"/>
      <c r="L136" s="535"/>
      <c r="M136" s="535"/>
      <c r="N136" s="535"/>
      <c r="O136" s="535"/>
      <c r="P136" s="535"/>
      <c r="Q136" s="535"/>
      <c r="R136" s="535"/>
      <c r="S136" s="536"/>
      <c r="T136" s="536"/>
      <c r="U136" s="679">
        <f t="shared" si="10"/>
        <v>320</v>
      </c>
    </row>
    <row r="137" spans="1:21" s="530" customFormat="1" ht="18" customHeight="1">
      <c r="A137" s="626" t="s">
        <v>733</v>
      </c>
      <c r="B137" s="535"/>
      <c r="C137" s="535"/>
      <c r="D137" s="535"/>
      <c r="E137" s="535"/>
      <c r="F137" s="535"/>
      <c r="G137" s="535"/>
      <c r="H137" s="526">
        <v>320</v>
      </c>
      <c r="I137" s="526"/>
      <c r="J137" s="535"/>
      <c r="K137" s="535"/>
      <c r="L137" s="535"/>
      <c r="M137" s="535"/>
      <c r="N137" s="535"/>
      <c r="O137" s="535"/>
      <c r="P137" s="535"/>
      <c r="Q137" s="535"/>
      <c r="R137" s="535"/>
      <c r="S137" s="536"/>
      <c r="T137" s="536"/>
      <c r="U137" s="679">
        <f t="shared" si="10"/>
        <v>320</v>
      </c>
    </row>
    <row r="138" spans="1:21" s="530" customFormat="1" ht="18" customHeight="1">
      <c r="A138" s="626" t="s">
        <v>734</v>
      </c>
      <c r="B138" s="535"/>
      <c r="C138" s="535"/>
      <c r="D138" s="535"/>
      <c r="E138" s="535"/>
      <c r="F138" s="535"/>
      <c r="G138" s="535"/>
      <c r="H138" s="526">
        <v>1600</v>
      </c>
      <c r="I138" s="526"/>
      <c r="J138" s="535"/>
      <c r="K138" s="535"/>
      <c r="L138" s="535"/>
      <c r="M138" s="535"/>
      <c r="N138" s="535"/>
      <c r="O138" s="535"/>
      <c r="P138" s="535"/>
      <c r="Q138" s="535"/>
      <c r="R138" s="535"/>
      <c r="S138" s="536"/>
      <c r="T138" s="536"/>
      <c r="U138" s="679">
        <f t="shared" si="10"/>
        <v>1600</v>
      </c>
    </row>
    <row r="139" spans="1:21" s="530" customFormat="1" ht="18" customHeight="1">
      <c r="A139" s="626" t="s">
        <v>735</v>
      </c>
      <c r="B139" s="535"/>
      <c r="C139" s="535"/>
      <c r="D139" s="535"/>
      <c r="E139" s="535"/>
      <c r="F139" s="535"/>
      <c r="G139" s="535"/>
      <c r="H139" s="526">
        <v>3200</v>
      </c>
      <c r="I139" s="526"/>
      <c r="J139" s="535"/>
      <c r="K139" s="535"/>
      <c r="L139" s="535"/>
      <c r="M139" s="535"/>
      <c r="N139" s="535"/>
      <c r="O139" s="535"/>
      <c r="P139" s="535"/>
      <c r="Q139" s="535"/>
      <c r="R139" s="535"/>
      <c r="S139" s="536"/>
      <c r="T139" s="536"/>
      <c r="U139" s="679">
        <f t="shared" si="10"/>
        <v>3200</v>
      </c>
    </row>
    <row r="140" spans="1:21" s="530" customFormat="1" ht="18" customHeight="1">
      <c r="A140" s="626" t="s">
        <v>740</v>
      </c>
      <c r="B140" s="535"/>
      <c r="C140" s="535"/>
      <c r="D140" s="535"/>
      <c r="E140" s="535"/>
      <c r="F140" s="535"/>
      <c r="G140" s="535"/>
      <c r="H140" s="526">
        <v>1440</v>
      </c>
      <c r="I140" s="526"/>
      <c r="J140" s="535"/>
      <c r="K140" s="535"/>
      <c r="L140" s="535"/>
      <c r="M140" s="535"/>
      <c r="N140" s="535"/>
      <c r="O140" s="535"/>
      <c r="P140" s="535"/>
      <c r="Q140" s="535"/>
      <c r="R140" s="535"/>
      <c r="S140" s="536"/>
      <c r="T140" s="536"/>
      <c r="U140" s="679">
        <f t="shared" si="10"/>
        <v>1440</v>
      </c>
    </row>
    <row r="141" spans="1:21" s="530" customFormat="1" ht="18" customHeight="1">
      <c r="A141" s="626" t="s">
        <v>743</v>
      </c>
      <c r="B141" s="535"/>
      <c r="C141" s="535"/>
      <c r="D141" s="535"/>
      <c r="E141" s="535"/>
      <c r="F141" s="535"/>
      <c r="G141" s="535"/>
      <c r="H141" s="526">
        <v>2880</v>
      </c>
      <c r="I141" s="526"/>
      <c r="J141" s="535"/>
      <c r="K141" s="535"/>
      <c r="L141" s="535"/>
      <c r="M141" s="535"/>
      <c r="N141" s="535"/>
      <c r="O141" s="535"/>
      <c r="P141" s="535"/>
      <c r="Q141" s="535"/>
      <c r="R141" s="535"/>
      <c r="S141" s="536"/>
      <c r="T141" s="536"/>
      <c r="U141" s="679">
        <f t="shared" si="10"/>
        <v>2880</v>
      </c>
    </row>
    <row r="142" spans="1:21" s="530" customFormat="1" ht="18" customHeight="1">
      <c r="A142" s="626" t="s">
        <v>744</v>
      </c>
      <c r="B142" s="535"/>
      <c r="C142" s="535"/>
      <c r="D142" s="535"/>
      <c r="E142" s="535"/>
      <c r="F142" s="535"/>
      <c r="G142" s="535"/>
      <c r="H142" s="526">
        <v>2880</v>
      </c>
      <c r="I142" s="526"/>
      <c r="J142" s="535"/>
      <c r="K142" s="535"/>
      <c r="L142" s="535"/>
      <c r="M142" s="535"/>
      <c r="N142" s="535"/>
      <c r="O142" s="535"/>
      <c r="P142" s="535"/>
      <c r="Q142" s="535"/>
      <c r="R142" s="535"/>
      <c r="S142" s="536"/>
      <c r="T142" s="536"/>
      <c r="U142" s="679">
        <f t="shared" si="10"/>
        <v>2880</v>
      </c>
    </row>
    <row r="143" spans="1:21" s="530" customFormat="1" ht="18" customHeight="1">
      <c r="A143" s="626" t="s">
        <v>745</v>
      </c>
      <c r="B143" s="535"/>
      <c r="C143" s="535"/>
      <c r="D143" s="535"/>
      <c r="E143" s="535"/>
      <c r="F143" s="535"/>
      <c r="G143" s="535"/>
      <c r="H143" s="526">
        <v>1920</v>
      </c>
      <c r="I143" s="526"/>
      <c r="J143" s="535"/>
      <c r="K143" s="535"/>
      <c r="L143" s="535"/>
      <c r="M143" s="535"/>
      <c r="N143" s="535"/>
      <c r="O143" s="535"/>
      <c r="P143" s="535"/>
      <c r="Q143" s="535"/>
      <c r="R143" s="535"/>
      <c r="S143" s="536"/>
      <c r="T143" s="536"/>
      <c r="U143" s="679">
        <f t="shared" si="10"/>
        <v>1920</v>
      </c>
    </row>
    <row r="144" spans="1:21" s="530" customFormat="1" ht="18" customHeight="1">
      <c r="A144" s="626" t="s">
        <v>638</v>
      </c>
      <c r="B144" s="526"/>
      <c r="C144" s="526"/>
      <c r="D144" s="526"/>
      <c r="E144" s="526"/>
      <c r="F144" s="526"/>
      <c r="G144" s="526"/>
      <c r="H144" s="526">
        <v>5760</v>
      </c>
      <c r="I144" s="526"/>
      <c r="J144" s="526"/>
      <c r="K144" s="526"/>
      <c r="L144" s="526"/>
      <c r="M144" s="526"/>
      <c r="N144" s="526"/>
      <c r="O144" s="526"/>
      <c r="P144" s="526"/>
      <c r="Q144" s="526"/>
      <c r="R144" s="526"/>
      <c r="S144" s="527"/>
      <c r="T144" s="527"/>
      <c r="U144" s="679">
        <f t="shared" si="10"/>
        <v>5760</v>
      </c>
    </row>
    <row r="145" spans="1:21" s="530" customFormat="1" ht="18" customHeight="1">
      <c r="A145" s="626" t="s">
        <v>747</v>
      </c>
      <c r="B145" s="526"/>
      <c r="C145" s="526"/>
      <c r="D145" s="526"/>
      <c r="E145" s="526"/>
      <c r="F145" s="526"/>
      <c r="G145" s="526"/>
      <c r="H145" s="526">
        <v>2400</v>
      </c>
      <c r="I145" s="526"/>
      <c r="J145" s="526"/>
      <c r="K145" s="526"/>
      <c r="L145" s="526"/>
      <c r="M145" s="526"/>
      <c r="N145" s="526"/>
      <c r="O145" s="526"/>
      <c r="P145" s="526"/>
      <c r="Q145" s="526"/>
      <c r="R145" s="526"/>
      <c r="S145" s="527"/>
      <c r="T145" s="527"/>
      <c r="U145" s="679">
        <f t="shared" si="10"/>
        <v>2400</v>
      </c>
    </row>
    <row r="146" spans="1:21" s="530" customFormat="1" ht="18" customHeight="1">
      <c r="A146" s="626" t="s">
        <v>641</v>
      </c>
      <c r="B146" s="535"/>
      <c r="C146" s="535"/>
      <c r="D146" s="535"/>
      <c r="E146" s="535"/>
      <c r="F146" s="535"/>
      <c r="G146" s="535"/>
      <c r="H146" s="526">
        <v>10240</v>
      </c>
      <c r="I146" s="526"/>
      <c r="J146" s="535"/>
      <c r="K146" s="535"/>
      <c r="L146" s="535"/>
      <c r="M146" s="535"/>
      <c r="N146" s="535"/>
      <c r="O146" s="535"/>
      <c r="P146" s="535"/>
      <c r="Q146" s="535"/>
      <c r="R146" s="535"/>
      <c r="S146" s="536"/>
      <c r="T146" s="536"/>
      <c r="U146" s="679">
        <f t="shared" si="10"/>
        <v>10240</v>
      </c>
    </row>
    <row r="147" spans="1:21" s="530" customFormat="1" ht="18" customHeight="1">
      <c r="A147" s="626" t="s">
        <v>750</v>
      </c>
      <c r="B147" s="526"/>
      <c r="C147" s="526"/>
      <c r="D147" s="526"/>
      <c r="E147" s="526"/>
      <c r="F147" s="526"/>
      <c r="G147" s="526"/>
      <c r="H147" s="526">
        <v>4480</v>
      </c>
      <c r="I147" s="526"/>
      <c r="J147" s="526"/>
      <c r="K147" s="526"/>
      <c r="L147" s="526"/>
      <c r="M147" s="526"/>
      <c r="N147" s="526"/>
      <c r="O147" s="526"/>
      <c r="P147" s="526"/>
      <c r="Q147" s="526"/>
      <c r="R147" s="526"/>
      <c r="S147" s="527"/>
      <c r="T147" s="527"/>
      <c r="U147" s="679">
        <f t="shared" si="10"/>
        <v>4480</v>
      </c>
    </row>
    <row r="148" spans="1:21" s="530" customFormat="1" ht="18" customHeight="1">
      <c r="A148" s="626" t="s">
        <v>751</v>
      </c>
      <c r="B148" s="535"/>
      <c r="C148" s="535"/>
      <c r="D148" s="535"/>
      <c r="E148" s="535"/>
      <c r="F148" s="535"/>
      <c r="G148" s="535"/>
      <c r="H148" s="526">
        <v>2560</v>
      </c>
      <c r="I148" s="526"/>
      <c r="J148" s="535"/>
      <c r="K148" s="535"/>
      <c r="L148" s="535"/>
      <c r="M148" s="535"/>
      <c r="N148" s="535"/>
      <c r="O148" s="535"/>
      <c r="P148" s="535"/>
      <c r="Q148" s="535"/>
      <c r="R148" s="535"/>
      <c r="S148" s="536"/>
      <c r="T148" s="536"/>
      <c r="U148" s="679">
        <f t="shared" si="10"/>
        <v>2560</v>
      </c>
    </row>
    <row r="149" spans="1:21" s="530" customFormat="1" ht="18" customHeight="1">
      <c r="A149" s="626" t="s">
        <v>752</v>
      </c>
      <c r="B149" s="535"/>
      <c r="C149" s="535"/>
      <c r="D149" s="535"/>
      <c r="E149" s="535"/>
      <c r="F149" s="535"/>
      <c r="G149" s="535"/>
      <c r="H149" s="526">
        <v>1920</v>
      </c>
      <c r="I149" s="526"/>
      <c r="J149" s="535"/>
      <c r="K149" s="535"/>
      <c r="L149" s="535"/>
      <c r="M149" s="535"/>
      <c r="N149" s="535"/>
      <c r="O149" s="535"/>
      <c r="P149" s="535"/>
      <c r="Q149" s="535"/>
      <c r="R149" s="535"/>
      <c r="S149" s="536"/>
      <c r="T149" s="536"/>
      <c r="U149" s="679">
        <f t="shared" si="10"/>
        <v>1920</v>
      </c>
    </row>
    <row r="150" spans="1:21" s="530" customFormat="1" ht="18" customHeight="1">
      <c r="A150" s="626" t="s">
        <v>505</v>
      </c>
      <c r="B150" s="535"/>
      <c r="C150" s="535"/>
      <c r="D150" s="535"/>
      <c r="E150" s="535"/>
      <c r="F150" s="535"/>
      <c r="G150" s="535"/>
      <c r="H150" s="526">
        <v>1920</v>
      </c>
      <c r="I150" s="526"/>
      <c r="J150" s="535"/>
      <c r="K150" s="535"/>
      <c r="L150" s="535"/>
      <c r="M150" s="535"/>
      <c r="N150" s="535"/>
      <c r="O150" s="535"/>
      <c r="P150" s="535"/>
      <c r="Q150" s="535"/>
      <c r="R150" s="535"/>
      <c r="S150" s="536"/>
      <c r="T150" s="536"/>
      <c r="U150" s="679">
        <f t="shared" si="10"/>
        <v>1920</v>
      </c>
    </row>
    <row r="151" spans="1:21" s="530" customFormat="1" ht="18" customHeight="1">
      <c r="A151" s="626" t="s">
        <v>753</v>
      </c>
      <c r="B151" s="535"/>
      <c r="C151" s="535"/>
      <c r="D151" s="535"/>
      <c r="E151" s="535"/>
      <c r="F151" s="535"/>
      <c r="G151" s="535"/>
      <c r="H151" s="526">
        <v>1280</v>
      </c>
      <c r="I151" s="526"/>
      <c r="J151" s="535"/>
      <c r="K151" s="535"/>
      <c r="L151" s="535"/>
      <c r="M151" s="535"/>
      <c r="N151" s="535"/>
      <c r="O151" s="535"/>
      <c r="P151" s="535"/>
      <c r="Q151" s="535"/>
      <c r="R151" s="535"/>
      <c r="S151" s="536"/>
      <c r="T151" s="536"/>
      <c r="U151" s="679">
        <f t="shared" si="10"/>
        <v>1280</v>
      </c>
    </row>
    <row r="152" spans="1:21" s="530" customFormat="1" ht="18" customHeight="1">
      <c r="A152" s="626" t="s">
        <v>754</v>
      </c>
      <c r="B152" s="535"/>
      <c r="C152" s="535"/>
      <c r="D152" s="535"/>
      <c r="E152" s="535"/>
      <c r="F152" s="535"/>
      <c r="G152" s="535"/>
      <c r="H152" s="526">
        <v>1280</v>
      </c>
      <c r="I152" s="526"/>
      <c r="J152" s="535"/>
      <c r="K152" s="535"/>
      <c r="L152" s="535"/>
      <c r="M152" s="535"/>
      <c r="N152" s="535"/>
      <c r="O152" s="535"/>
      <c r="P152" s="535"/>
      <c r="Q152" s="535"/>
      <c r="R152" s="535"/>
      <c r="S152" s="536"/>
      <c r="T152" s="536"/>
      <c r="U152" s="679">
        <f t="shared" si="10"/>
        <v>1280</v>
      </c>
    </row>
    <row r="153" spans="1:21" s="530" customFormat="1" ht="18" customHeight="1">
      <c r="A153" s="626" t="s">
        <v>429</v>
      </c>
      <c r="B153" s="535"/>
      <c r="C153" s="535"/>
      <c r="D153" s="535"/>
      <c r="E153" s="535"/>
      <c r="F153" s="535"/>
      <c r="G153" s="535"/>
      <c r="H153" s="526">
        <v>5760</v>
      </c>
      <c r="I153" s="526"/>
      <c r="J153" s="535"/>
      <c r="K153" s="535"/>
      <c r="L153" s="535"/>
      <c r="M153" s="535"/>
      <c r="N153" s="535"/>
      <c r="O153" s="535"/>
      <c r="P153" s="535"/>
      <c r="Q153" s="535"/>
      <c r="R153" s="535"/>
      <c r="S153" s="536"/>
      <c r="T153" s="536"/>
      <c r="U153" s="679">
        <f t="shared" si="10"/>
        <v>5760</v>
      </c>
    </row>
    <row r="154" spans="1:21" s="530" customFormat="1" ht="18" customHeight="1">
      <c r="A154" s="525" t="s">
        <v>52</v>
      </c>
      <c r="B154" s="535"/>
      <c r="C154" s="535"/>
      <c r="D154" s="535"/>
      <c r="E154" s="535"/>
      <c r="F154" s="535"/>
      <c r="G154" s="535"/>
      <c r="H154" s="526">
        <v>320</v>
      </c>
      <c r="I154" s="526"/>
      <c r="J154" s="535"/>
      <c r="K154" s="535"/>
      <c r="L154" s="535"/>
      <c r="M154" s="535"/>
      <c r="N154" s="535"/>
      <c r="O154" s="535"/>
      <c r="P154" s="535"/>
      <c r="Q154" s="535"/>
      <c r="R154" s="535"/>
      <c r="S154" s="536"/>
      <c r="T154" s="536"/>
      <c r="U154" s="679">
        <f t="shared" si="10"/>
        <v>320</v>
      </c>
    </row>
    <row r="155" spans="1:21" s="530" customFormat="1" ht="18" customHeight="1">
      <c r="A155" s="525" t="s">
        <v>756</v>
      </c>
      <c r="B155" s="526"/>
      <c r="C155" s="526"/>
      <c r="D155" s="526"/>
      <c r="E155" s="526"/>
      <c r="F155" s="526"/>
      <c r="G155" s="526"/>
      <c r="H155" s="526">
        <v>5440</v>
      </c>
      <c r="I155" s="526"/>
      <c r="J155" s="526"/>
      <c r="K155" s="526"/>
      <c r="L155" s="526"/>
      <c r="M155" s="526"/>
      <c r="N155" s="526"/>
      <c r="O155" s="526"/>
      <c r="P155" s="526"/>
      <c r="Q155" s="526"/>
      <c r="R155" s="526"/>
      <c r="S155" s="527"/>
      <c r="T155" s="527"/>
      <c r="U155" s="679">
        <f t="shared" si="10"/>
        <v>5440</v>
      </c>
    </row>
    <row r="156" spans="1:21" s="530" customFormat="1" ht="18" customHeight="1">
      <c r="A156" s="525" t="s">
        <v>504</v>
      </c>
      <c r="B156" s="526"/>
      <c r="C156" s="526"/>
      <c r="D156" s="526"/>
      <c r="E156" s="526"/>
      <c r="F156" s="526"/>
      <c r="G156" s="526"/>
      <c r="H156" s="526">
        <v>3200</v>
      </c>
      <c r="I156" s="526"/>
      <c r="J156" s="526"/>
      <c r="K156" s="526"/>
      <c r="L156" s="526"/>
      <c r="M156" s="526"/>
      <c r="N156" s="526"/>
      <c r="O156" s="526"/>
      <c r="P156" s="526"/>
      <c r="Q156" s="526"/>
      <c r="R156" s="526"/>
      <c r="S156" s="527"/>
      <c r="T156" s="527"/>
      <c r="U156" s="679">
        <f t="shared" si="10"/>
        <v>3200</v>
      </c>
    </row>
    <row r="157" spans="1:21" s="530" customFormat="1" ht="18" customHeight="1">
      <c r="A157" s="525" t="s">
        <v>506</v>
      </c>
      <c r="B157" s="526"/>
      <c r="C157" s="526"/>
      <c r="D157" s="526"/>
      <c r="E157" s="526"/>
      <c r="F157" s="526"/>
      <c r="G157" s="526"/>
      <c r="H157" s="526">
        <v>1280</v>
      </c>
      <c r="I157" s="526"/>
      <c r="J157" s="526"/>
      <c r="K157" s="526"/>
      <c r="L157" s="526"/>
      <c r="M157" s="526"/>
      <c r="N157" s="526"/>
      <c r="O157" s="526"/>
      <c r="P157" s="526"/>
      <c r="Q157" s="526"/>
      <c r="R157" s="526"/>
      <c r="S157" s="527"/>
      <c r="T157" s="527"/>
      <c r="U157" s="679">
        <f t="shared" si="10"/>
        <v>1280</v>
      </c>
    </row>
    <row r="158" spans="1:21" s="530" customFormat="1" ht="18" customHeight="1">
      <c r="A158" s="626" t="s">
        <v>45</v>
      </c>
      <c r="B158" s="535"/>
      <c r="C158" s="535"/>
      <c r="D158" s="535"/>
      <c r="E158" s="535"/>
      <c r="F158" s="535"/>
      <c r="G158" s="535"/>
      <c r="H158" s="526">
        <v>1920</v>
      </c>
      <c r="I158" s="526"/>
      <c r="J158" s="535"/>
      <c r="K158" s="535"/>
      <c r="L158" s="535"/>
      <c r="M158" s="535"/>
      <c r="N158" s="535"/>
      <c r="O158" s="535"/>
      <c r="P158" s="535"/>
      <c r="Q158" s="535"/>
      <c r="R158" s="535"/>
      <c r="S158" s="536"/>
      <c r="T158" s="536"/>
      <c r="U158" s="679">
        <f t="shared" si="10"/>
        <v>1920</v>
      </c>
    </row>
    <row r="159" spans="1:21" s="530" customFormat="1" ht="18" customHeight="1">
      <c r="A159" s="626" t="s">
        <v>507</v>
      </c>
      <c r="B159" s="535"/>
      <c r="C159" s="535"/>
      <c r="D159" s="535"/>
      <c r="E159" s="535"/>
      <c r="F159" s="535"/>
      <c r="G159" s="535"/>
      <c r="H159" s="526">
        <v>5760</v>
      </c>
      <c r="I159" s="526"/>
      <c r="J159" s="535"/>
      <c r="K159" s="535"/>
      <c r="L159" s="535"/>
      <c r="M159" s="535"/>
      <c r="N159" s="535"/>
      <c r="O159" s="535"/>
      <c r="P159" s="535"/>
      <c r="Q159" s="535"/>
      <c r="R159" s="535"/>
      <c r="S159" s="536"/>
      <c r="T159" s="536"/>
      <c r="U159" s="679">
        <f t="shared" si="10"/>
        <v>5760</v>
      </c>
    </row>
    <row r="160" spans="1:21" s="530" customFormat="1" ht="14.25">
      <c r="A160" s="531" t="s">
        <v>49</v>
      </c>
      <c r="B160" s="535"/>
      <c r="C160" s="535"/>
      <c r="D160" s="535"/>
      <c r="E160" s="535"/>
      <c r="F160" s="535"/>
      <c r="G160" s="535"/>
      <c r="H160" s="526">
        <v>1280</v>
      </c>
      <c r="I160" s="526"/>
      <c r="J160" s="535"/>
      <c r="K160" s="535"/>
      <c r="L160" s="535"/>
      <c r="M160" s="535"/>
      <c r="N160" s="535"/>
      <c r="O160" s="535"/>
      <c r="P160" s="535"/>
      <c r="Q160" s="535"/>
      <c r="R160" s="535"/>
      <c r="S160" s="536"/>
      <c r="T160" s="536"/>
      <c r="U160" s="679">
        <f t="shared" si="10"/>
        <v>1280</v>
      </c>
    </row>
    <row r="161" spans="1:21" s="530" customFormat="1" ht="39.75" customHeight="1">
      <c r="A161" s="539" t="s">
        <v>319</v>
      </c>
      <c r="B161" s="659"/>
      <c r="C161" s="659"/>
      <c r="D161" s="659"/>
      <c r="E161" s="659"/>
      <c r="F161" s="659"/>
      <c r="G161" s="659"/>
      <c r="H161" s="659"/>
      <c r="I161" s="659">
        <f>I162+I163</f>
        <v>560</v>
      </c>
      <c r="J161" s="659"/>
      <c r="K161" s="659"/>
      <c r="L161" s="659"/>
      <c r="M161" s="659"/>
      <c r="N161" s="659"/>
      <c r="O161" s="659"/>
      <c r="P161" s="659"/>
      <c r="Q161" s="659"/>
      <c r="R161" s="659"/>
      <c r="S161" s="659"/>
      <c r="T161" s="659"/>
      <c r="U161" s="863">
        <f t="shared" si="10"/>
        <v>560</v>
      </c>
    </row>
    <row r="162" spans="1:21" s="530" customFormat="1" ht="18" customHeight="1">
      <c r="A162" s="626" t="s">
        <v>643</v>
      </c>
      <c r="B162" s="696"/>
      <c r="C162" s="696"/>
      <c r="D162" s="696"/>
      <c r="E162" s="696"/>
      <c r="F162" s="696"/>
      <c r="G162" s="696"/>
      <c r="H162" s="526"/>
      <c r="I162" s="526">
        <v>280</v>
      </c>
      <c r="J162" s="696"/>
      <c r="K162" s="696"/>
      <c r="L162" s="696"/>
      <c r="M162" s="696"/>
      <c r="N162" s="696"/>
      <c r="O162" s="696"/>
      <c r="P162" s="696"/>
      <c r="Q162" s="696"/>
      <c r="R162" s="696"/>
      <c r="S162" s="697"/>
      <c r="T162" s="697"/>
      <c r="U162" s="679">
        <f t="shared" si="10"/>
        <v>280</v>
      </c>
    </row>
    <row r="163" spans="1:21" s="530" customFormat="1" ht="18" customHeight="1" thickBot="1">
      <c r="A163" s="626" t="s">
        <v>42</v>
      </c>
      <c r="B163" s="535"/>
      <c r="C163" s="535"/>
      <c r="D163" s="535"/>
      <c r="E163" s="535"/>
      <c r="F163" s="535"/>
      <c r="G163" s="535"/>
      <c r="H163" s="526"/>
      <c r="I163" s="526">
        <v>280</v>
      </c>
      <c r="J163" s="535"/>
      <c r="K163" s="535"/>
      <c r="L163" s="535"/>
      <c r="M163" s="535"/>
      <c r="N163" s="535"/>
      <c r="O163" s="535"/>
      <c r="P163" s="535"/>
      <c r="Q163" s="535"/>
      <c r="R163" s="535"/>
      <c r="S163" s="536"/>
      <c r="T163" s="536"/>
      <c r="U163" s="679">
        <f t="shared" si="10"/>
        <v>280</v>
      </c>
    </row>
    <row r="164" spans="1:21" s="530" customFormat="1" ht="30" customHeight="1" thickBot="1">
      <c r="A164" s="534" t="s">
        <v>430</v>
      </c>
      <c r="B164" s="688"/>
      <c r="C164" s="688"/>
      <c r="D164" s="688"/>
      <c r="E164" s="688"/>
      <c r="F164" s="688"/>
      <c r="G164" s="688"/>
      <c r="H164" s="688"/>
      <c r="I164" s="688"/>
      <c r="J164" s="688"/>
      <c r="K164" s="688"/>
      <c r="L164" s="688"/>
      <c r="M164" s="688"/>
      <c r="N164" s="688">
        <f>N165</f>
        <v>3531</v>
      </c>
      <c r="O164" s="688"/>
      <c r="P164" s="688"/>
      <c r="Q164" s="688"/>
      <c r="R164" s="688"/>
      <c r="S164" s="688"/>
      <c r="T164" s="688"/>
      <c r="U164" s="688">
        <f aca="true" t="shared" si="11" ref="U164:U194">SUM(B164:T164)</f>
        <v>3531</v>
      </c>
    </row>
    <row r="165" spans="1:21" s="512" customFormat="1" ht="18" customHeight="1" thickBot="1">
      <c r="A165" s="531" t="s">
        <v>431</v>
      </c>
      <c r="B165" s="689"/>
      <c r="C165" s="689"/>
      <c r="D165" s="689"/>
      <c r="E165" s="689"/>
      <c r="F165" s="689"/>
      <c r="G165" s="689"/>
      <c r="H165" s="689"/>
      <c r="I165" s="689"/>
      <c r="J165" s="689"/>
      <c r="K165" s="689"/>
      <c r="L165" s="689"/>
      <c r="M165" s="689"/>
      <c r="N165" s="689">
        <v>3531</v>
      </c>
      <c r="O165" s="689"/>
      <c r="P165" s="689"/>
      <c r="Q165" s="689"/>
      <c r="R165" s="689"/>
      <c r="S165" s="690"/>
      <c r="T165" s="690"/>
      <c r="U165" s="679">
        <f t="shared" si="11"/>
        <v>3531</v>
      </c>
    </row>
    <row r="166" spans="1:21" s="530" customFormat="1" ht="30" customHeight="1" thickBot="1">
      <c r="A166" s="534" t="s">
        <v>408</v>
      </c>
      <c r="B166" s="688"/>
      <c r="C166" s="688"/>
      <c r="D166" s="688">
        <f>D167</f>
        <v>413</v>
      </c>
      <c r="E166" s="688"/>
      <c r="F166" s="688"/>
      <c r="G166" s="688"/>
      <c r="H166" s="688"/>
      <c r="I166" s="688"/>
      <c r="J166" s="688"/>
      <c r="K166" s="688"/>
      <c r="L166" s="688"/>
      <c r="M166" s="688"/>
      <c r="N166" s="688"/>
      <c r="O166" s="688"/>
      <c r="P166" s="688">
        <f>P167</f>
        <v>-413</v>
      </c>
      <c r="Q166" s="688"/>
      <c r="R166" s="688"/>
      <c r="S166" s="688"/>
      <c r="T166" s="688"/>
      <c r="U166" s="688">
        <f t="shared" si="11"/>
        <v>0</v>
      </c>
    </row>
    <row r="167" spans="1:21" s="512" customFormat="1" ht="18" customHeight="1" thickBot="1">
      <c r="A167" s="531" t="s">
        <v>409</v>
      </c>
      <c r="B167" s="689"/>
      <c r="C167" s="689"/>
      <c r="D167" s="689">
        <v>413</v>
      </c>
      <c r="E167" s="689"/>
      <c r="F167" s="689"/>
      <c r="G167" s="689"/>
      <c r="H167" s="689"/>
      <c r="I167" s="689"/>
      <c r="J167" s="689"/>
      <c r="K167" s="689"/>
      <c r="L167" s="689"/>
      <c r="M167" s="689"/>
      <c r="N167" s="689"/>
      <c r="O167" s="689"/>
      <c r="P167" s="689">
        <v>-413</v>
      </c>
      <c r="Q167" s="689"/>
      <c r="R167" s="689"/>
      <c r="S167" s="690"/>
      <c r="T167" s="690"/>
      <c r="U167" s="679">
        <f t="shared" si="11"/>
        <v>0</v>
      </c>
    </row>
    <row r="168" spans="1:21" s="530" customFormat="1" ht="30" customHeight="1" thickBot="1">
      <c r="A168" s="534" t="s">
        <v>54</v>
      </c>
      <c r="B168" s="688"/>
      <c r="C168" s="688"/>
      <c r="D168" s="688"/>
      <c r="E168" s="688"/>
      <c r="F168" s="688"/>
      <c r="G168" s="688"/>
      <c r="H168" s="688"/>
      <c r="I168" s="688"/>
      <c r="J168" s="688"/>
      <c r="K168" s="688"/>
      <c r="L168" s="688"/>
      <c r="M168" s="688">
        <f>SUM(M169:M171)</f>
        <v>2400</v>
      </c>
      <c r="N168" s="688"/>
      <c r="O168" s="688"/>
      <c r="P168" s="688">
        <f>SUM(P169:P171)</f>
        <v>3000</v>
      </c>
      <c r="Q168" s="688"/>
      <c r="R168" s="688"/>
      <c r="S168" s="688"/>
      <c r="T168" s="688"/>
      <c r="U168" s="688">
        <f t="shared" si="11"/>
        <v>5400</v>
      </c>
    </row>
    <row r="169" spans="1:21" s="512" customFormat="1" ht="18" customHeight="1">
      <c r="A169" s="531" t="s">
        <v>414</v>
      </c>
      <c r="B169" s="689"/>
      <c r="C169" s="689"/>
      <c r="D169" s="689"/>
      <c r="E169" s="689"/>
      <c r="F169" s="689"/>
      <c r="G169" s="689"/>
      <c r="H169" s="689"/>
      <c r="I169" s="689"/>
      <c r="J169" s="689"/>
      <c r="K169" s="689"/>
      <c r="L169" s="689"/>
      <c r="M169" s="689">
        <v>1300</v>
      </c>
      <c r="N169" s="689"/>
      <c r="O169" s="689"/>
      <c r="P169" s="689"/>
      <c r="Q169" s="689"/>
      <c r="R169" s="689"/>
      <c r="S169" s="690"/>
      <c r="T169" s="690"/>
      <c r="U169" s="679">
        <f t="shared" si="11"/>
        <v>1300</v>
      </c>
    </row>
    <row r="170" spans="1:21" s="512" customFormat="1" ht="18" customHeight="1">
      <c r="A170" s="525" t="s">
        <v>427</v>
      </c>
      <c r="B170" s="691"/>
      <c r="C170" s="691"/>
      <c r="D170" s="691"/>
      <c r="E170" s="691"/>
      <c r="F170" s="691"/>
      <c r="G170" s="691"/>
      <c r="H170" s="691"/>
      <c r="I170" s="691"/>
      <c r="J170" s="691"/>
      <c r="K170" s="691"/>
      <c r="L170" s="691"/>
      <c r="M170" s="691"/>
      <c r="N170" s="691"/>
      <c r="O170" s="691"/>
      <c r="P170" s="691">
        <v>3000</v>
      </c>
      <c r="Q170" s="691"/>
      <c r="R170" s="691"/>
      <c r="S170" s="692"/>
      <c r="T170" s="692"/>
      <c r="U170" s="679">
        <f t="shared" si="11"/>
        <v>3000</v>
      </c>
    </row>
    <row r="171" spans="1:21" s="512" customFormat="1" ht="18" customHeight="1">
      <c r="A171" s="525" t="s">
        <v>50</v>
      </c>
      <c r="B171" s="691"/>
      <c r="C171" s="691"/>
      <c r="D171" s="691"/>
      <c r="E171" s="691"/>
      <c r="F171" s="691"/>
      <c r="G171" s="691"/>
      <c r="H171" s="691"/>
      <c r="I171" s="691"/>
      <c r="J171" s="691"/>
      <c r="K171" s="691"/>
      <c r="L171" s="691"/>
      <c r="M171" s="691">
        <v>1100</v>
      </c>
      <c r="N171" s="691"/>
      <c r="O171" s="691"/>
      <c r="P171" s="691"/>
      <c r="Q171" s="691"/>
      <c r="R171" s="691"/>
      <c r="S171" s="692"/>
      <c r="T171" s="692"/>
      <c r="U171" s="679">
        <f t="shared" si="11"/>
        <v>1100</v>
      </c>
    </row>
    <row r="172" spans="1:21" s="512" customFormat="1" ht="45.75" customHeight="1">
      <c r="A172" s="1354"/>
      <c r="B172" s="1355"/>
      <c r="C172" s="1355"/>
      <c r="D172" s="1355"/>
      <c r="E172" s="1355"/>
      <c r="F172" s="1355"/>
      <c r="G172" s="1355"/>
      <c r="H172" s="1355"/>
      <c r="I172" s="1355"/>
      <c r="J172" s="1355"/>
      <c r="K172" s="1355"/>
      <c r="L172" s="1355"/>
      <c r="M172" s="1355"/>
      <c r="N172" s="1355"/>
      <c r="O172" s="1355"/>
      <c r="P172" s="1355"/>
      <c r="Q172" s="1355"/>
      <c r="R172" s="1355"/>
      <c r="S172" s="1355"/>
      <c r="T172" s="1355"/>
      <c r="U172" s="1356"/>
    </row>
    <row r="173" spans="1:21" s="512" customFormat="1" ht="31.5" customHeight="1" thickBot="1">
      <c r="A173" s="628" t="s">
        <v>691</v>
      </c>
      <c r="B173" s="924"/>
      <c r="C173" s="924"/>
      <c r="D173" s="924">
        <f aca="true" t="shared" si="12" ref="D173:F174">D174</f>
        <v>293811</v>
      </c>
      <c r="E173" s="924">
        <f t="shared" si="12"/>
        <v>50953</v>
      </c>
      <c r="F173" s="924">
        <f t="shared" si="12"/>
        <v>7156</v>
      </c>
      <c r="G173" s="924"/>
      <c r="H173" s="924"/>
      <c r="I173" s="924"/>
      <c r="J173" s="924"/>
      <c r="K173" s="924"/>
      <c r="L173" s="924"/>
      <c r="M173" s="924"/>
      <c r="N173" s="924"/>
      <c r="O173" s="924"/>
      <c r="P173" s="924"/>
      <c r="Q173" s="924"/>
      <c r="R173" s="924"/>
      <c r="S173" s="924"/>
      <c r="T173" s="924"/>
      <c r="U173" s="694">
        <f t="shared" si="11"/>
        <v>351920</v>
      </c>
    </row>
    <row r="174" spans="1:21" ht="27" thickBot="1" thickTop="1">
      <c r="A174" s="537" t="s">
        <v>318</v>
      </c>
      <c r="B174" s="695"/>
      <c r="C174" s="695"/>
      <c r="D174" s="695">
        <f t="shared" si="12"/>
        <v>293811</v>
      </c>
      <c r="E174" s="695">
        <f t="shared" si="12"/>
        <v>50953</v>
      </c>
      <c r="F174" s="695">
        <f t="shared" si="12"/>
        <v>7156</v>
      </c>
      <c r="G174" s="695"/>
      <c r="H174" s="695"/>
      <c r="I174" s="695"/>
      <c r="J174" s="695"/>
      <c r="K174" s="695"/>
      <c r="L174" s="695"/>
      <c r="M174" s="695"/>
      <c r="N174" s="695"/>
      <c r="O174" s="695"/>
      <c r="P174" s="695"/>
      <c r="Q174" s="695"/>
      <c r="R174" s="695"/>
      <c r="S174" s="695"/>
      <c r="T174" s="695"/>
      <c r="U174" s="684">
        <f t="shared" si="11"/>
        <v>351920</v>
      </c>
    </row>
    <row r="175" spans="1:21" ht="33" customHeight="1">
      <c r="A175" s="538" t="s">
        <v>692</v>
      </c>
      <c r="B175" s="698"/>
      <c r="C175" s="698"/>
      <c r="D175" s="698">
        <f>SUM(D176:D250)</f>
        <v>293811</v>
      </c>
      <c r="E175" s="698">
        <f>SUM(E176:E250)</f>
        <v>50953</v>
      </c>
      <c r="F175" s="698">
        <f>SUM(F176:F250)</f>
        <v>7156</v>
      </c>
      <c r="G175" s="698"/>
      <c r="H175" s="698"/>
      <c r="I175" s="698"/>
      <c r="J175" s="698"/>
      <c r="K175" s="698"/>
      <c r="L175" s="698"/>
      <c r="M175" s="698"/>
      <c r="N175" s="698"/>
      <c r="O175" s="698"/>
      <c r="P175" s="698"/>
      <c r="Q175" s="698"/>
      <c r="R175" s="698"/>
      <c r="S175" s="698"/>
      <c r="T175" s="698"/>
      <c r="U175" s="699">
        <f t="shared" si="11"/>
        <v>351920</v>
      </c>
    </row>
    <row r="176" spans="1:21" ht="18" customHeight="1">
      <c r="A176" s="626" t="s">
        <v>643</v>
      </c>
      <c r="B176" s="700"/>
      <c r="C176" s="700"/>
      <c r="D176" s="700">
        <v>2565</v>
      </c>
      <c r="E176" s="700">
        <v>451</v>
      </c>
      <c r="F176" s="700">
        <v>64</v>
      </c>
      <c r="G176" s="700"/>
      <c r="H176" s="700"/>
      <c r="I176" s="700"/>
      <c r="J176" s="700"/>
      <c r="K176" s="700"/>
      <c r="L176" s="700"/>
      <c r="M176" s="700"/>
      <c r="N176" s="700"/>
      <c r="O176" s="700"/>
      <c r="P176" s="700"/>
      <c r="Q176" s="700"/>
      <c r="R176" s="700"/>
      <c r="S176" s="701"/>
      <c r="T176" s="701"/>
      <c r="U176" s="679">
        <f t="shared" si="11"/>
        <v>3080</v>
      </c>
    </row>
    <row r="177" spans="1:21" ht="18" customHeight="1">
      <c r="A177" s="626" t="s">
        <v>644</v>
      </c>
      <c r="B177" s="839"/>
      <c r="C177" s="839"/>
      <c r="D177" s="839">
        <v>3036</v>
      </c>
      <c r="E177" s="839">
        <v>530</v>
      </c>
      <c r="F177" s="839">
        <v>74</v>
      </c>
      <c r="G177" s="839"/>
      <c r="H177" s="839"/>
      <c r="I177" s="839"/>
      <c r="J177" s="839"/>
      <c r="K177" s="839"/>
      <c r="L177" s="839"/>
      <c r="M177" s="839"/>
      <c r="N177" s="839"/>
      <c r="O177" s="839"/>
      <c r="P177" s="839"/>
      <c r="Q177" s="839"/>
      <c r="R177" s="839"/>
      <c r="S177" s="840"/>
      <c r="T177" s="840"/>
      <c r="U177" s="679">
        <f t="shared" si="11"/>
        <v>3640</v>
      </c>
    </row>
    <row r="178" spans="1:21" ht="18" customHeight="1">
      <c r="A178" s="626" t="s">
        <v>645</v>
      </c>
      <c r="B178" s="839"/>
      <c r="C178" s="839"/>
      <c r="D178" s="839">
        <v>4184</v>
      </c>
      <c r="E178" s="839">
        <v>753</v>
      </c>
      <c r="F178" s="839">
        <v>103</v>
      </c>
      <c r="G178" s="839"/>
      <c r="H178" s="839"/>
      <c r="I178" s="839"/>
      <c r="J178" s="839"/>
      <c r="K178" s="839"/>
      <c r="L178" s="839"/>
      <c r="M178" s="839"/>
      <c r="N178" s="839"/>
      <c r="O178" s="839"/>
      <c r="P178" s="839"/>
      <c r="Q178" s="839"/>
      <c r="R178" s="839"/>
      <c r="S178" s="840"/>
      <c r="T178" s="840"/>
      <c r="U178" s="679">
        <f t="shared" si="11"/>
        <v>5040</v>
      </c>
    </row>
    <row r="179" spans="1:21" ht="18" customHeight="1">
      <c r="A179" s="626" t="s">
        <v>646</v>
      </c>
      <c r="B179" s="839"/>
      <c r="C179" s="839"/>
      <c r="D179" s="839">
        <v>3023</v>
      </c>
      <c r="E179" s="839">
        <v>544</v>
      </c>
      <c r="F179" s="839">
        <v>73</v>
      </c>
      <c r="G179" s="839"/>
      <c r="H179" s="839"/>
      <c r="I179" s="839"/>
      <c r="J179" s="839"/>
      <c r="K179" s="839"/>
      <c r="L179" s="839"/>
      <c r="M179" s="839"/>
      <c r="N179" s="839"/>
      <c r="O179" s="839"/>
      <c r="P179" s="839"/>
      <c r="Q179" s="839"/>
      <c r="R179" s="839"/>
      <c r="S179" s="840"/>
      <c r="T179" s="840"/>
      <c r="U179" s="679">
        <f t="shared" si="11"/>
        <v>3640</v>
      </c>
    </row>
    <row r="180" spans="1:21" ht="18" customHeight="1">
      <c r="A180" s="626" t="s">
        <v>432</v>
      </c>
      <c r="B180" s="700"/>
      <c r="C180" s="700"/>
      <c r="D180" s="700">
        <v>3022</v>
      </c>
      <c r="E180" s="700">
        <v>544</v>
      </c>
      <c r="F180" s="700">
        <v>74</v>
      </c>
      <c r="G180" s="700"/>
      <c r="H180" s="700"/>
      <c r="I180" s="700"/>
      <c r="J180" s="700"/>
      <c r="K180" s="700"/>
      <c r="L180" s="700"/>
      <c r="M180" s="700"/>
      <c r="N180" s="700"/>
      <c r="O180" s="700"/>
      <c r="P180" s="700"/>
      <c r="Q180" s="700"/>
      <c r="R180" s="700"/>
      <c r="S180" s="701"/>
      <c r="T180" s="701"/>
      <c r="U180" s="679">
        <f t="shared" si="11"/>
        <v>3640</v>
      </c>
    </row>
    <row r="181" spans="1:21" ht="18" customHeight="1">
      <c r="A181" s="626" t="s">
        <v>647</v>
      </c>
      <c r="B181" s="839"/>
      <c r="C181" s="839"/>
      <c r="D181" s="839">
        <v>2093</v>
      </c>
      <c r="E181" s="839">
        <v>375</v>
      </c>
      <c r="F181" s="839">
        <v>52</v>
      </c>
      <c r="G181" s="839"/>
      <c r="H181" s="839"/>
      <c r="I181" s="839"/>
      <c r="J181" s="839"/>
      <c r="K181" s="839"/>
      <c r="L181" s="839"/>
      <c r="M181" s="839"/>
      <c r="N181" s="839"/>
      <c r="O181" s="839"/>
      <c r="P181" s="839"/>
      <c r="Q181" s="839"/>
      <c r="R181" s="839"/>
      <c r="S181" s="840"/>
      <c r="T181" s="840"/>
      <c r="U181" s="679">
        <f t="shared" si="11"/>
        <v>2520</v>
      </c>
    </row>
    <row r="182" spans="1:21" ht="18" customHeight="1">
      <c r="A182" s="626" t="s">
        <v>648</v>
      </c>
      <c r="B182" s="839"/>
      <c r="C182" s="839"/>
      <c r="D182" s="839">
        <v>2574</v>
      </c>
      <c r="E182" s="839">
        <v>443</v>
      </c>
      <c r="F182" s="839">
        <v>63</v>
      </c>
      <c r="G182" s="839"/>
      <c r="H182" s="839"/>
      <c r="I182" s="839"/>
      <c r="J182" s="839"/>
      <c r="K182" s="839"/>
      <c r="L182" s="839"/>
      <c r="M182" s="839"/>
      <c r="N182" s="839"/>
      <c r="O182" s="839"/>
      <c r="P182" s="839"/>
      <c r="Q182" s="839"/>
      <c r="R182" s="839"/>
      <c r="S182" s="840"/>
      <c r="T182" s="840"/>
      <c r="U182" s="679">
        <f t="shared" si="11"/>
        <v>3080</v>
      </c>
    </row>
    <row r="183" spans="1:21" ht="18" customHeight="1">
      <c r="A183" s="626" t="s">
        <v>649</v>
      </c>
      <c r="B183" s="839"/>
      <c r="C183" s="839"/>
      <c r="D183" s="839">
        <v>3034</v>
      </c>
      <c r="E183" s="839">
        <v>530</v>
      </c>
      <c r="F183" s="839">
        <v>76</v>
      </c>
      <c r="G183" s="839"/>
      <c r="H183" s="839"/>
      <c r="I183" s="839"/>
      <c r="J183" s="839"/>
      <c r="K183" s="839"/>
      <c r="L183" s="839"/>
      <c r="M183" s="839"/>
      <c r="N183" s="839"/>
      <c r="O183" s="839"/>
      <c r="P183" s="839"/>
      <c r="Q183" s="839"/>
      <c r="R183" s="839"/>
      <c r="S183" s="840"/>
      <c r="T183" s="840"/>
      <c r="U183" s="679">
        <f t="shared" si="11"/>
        <v>3640</v>
      </c>
    </row>
    <row r="184" spans="1:21" ht="18" customHeight="1">
      <c r="A184" s="626" t="s">
        <v>650</v>
      </c>
      <c r="B184" s="700"/>
      <c r="C184" s="700"/>
      <c r="D184" s="700">
        <v>3740</v>
      </c>
      <c r="E184" s="700">
        <v>648</v>
      </c>
      <c r="F184" s="700">
        <v>92</v>
      </c>
      <c r="G184" s="700"/>
      <c r="H184" s="700"/>
      <c r="I184" s="700"/>
      <c r="J184" s="700"/>
      <c r="K184" s="700"/>
      <c r="L184" s="700"/>
      <c r="M184" s="700"/>
      <c r="N184" s="700"/>
      <c r="O184" s="700"/>
      <c r="P184" s="700"/>
      <c r="Q184" s="700"/>
      <c r="R184" s="700"/>
      <c r="S184" s="701"/>
      <c r="T184" s="701"/>
      <c r="U184" s="679">
        <f t="shared" si="11"/>
        <v>4480</v>
      </c>
    </row>
    <row r="185" spans="1:21" ht="18" customHeight="1">
      <c r="A185" s="626" t="s">
        <v>651</v>
      </c>
      <c r="B185" s="839"/>
      <c r="C185" s="839"/>
      <c r="D185" s="839">
        <v>4735</v>
      </c>
      <c r="E185" s="839">
        <v>1027</v>
      </c>
      <c r="F185" s="839">
        <v>118</v>
      </c>
      <c r="G185" s="839"/>
      <c r="H185" s="839"/>
      <c r="I185" s="839"/>
      <c r="J185" s="839"/>
      <c r="K185" s="839"/>
      <c r="L185" s="839"/>
      <c r="M185" s="839"/>
      <c r="N185" s="839"/>
      <c r="O185" s="839"/>
      <c r="P185" s="839"/>
      <c r="Q185" s="839"/>
      <c r="R185" s="839"/>
      <c r="S185" s="840"/>
      <c r="T185" s="840"/>
      <c r="U185" s="679">
        <f t="shared" si="11"/>
        <v>5880</v>
      </c>
    </row>
    <row r="186" spans="1:21" ht="18" customHeight="1">
      <c r="A186" s="626" t="s">
        <v>652</v>
      </c>
      <c r="B186" s="839"/>
      <c r="C186" s="839"/>
      <c r="D186" s="839">
        <v>3036</v>
      </c>
      <c r="E186" s="839">
        <v>529</v>
      </c>
      <c r="F186" s="839">
        <v>75</v>
      </c>
      <c r="G186" s="839"/>
      <c r="H186" s="839"/>
      <c r="I186" s="839"/>
      <c r="J186" s="839"/>
      <c r="K186" s="839"/>
      <c r="L186" s="839"/>
      <c r="M186" s="839"/>
      <c r="N186" s="839"/>
      <c r="O186" s="839"/>
      <c r="P186" s="839"/>
      <c r="Q186" s="839"/>
      <c r="R186" s="839"/>
      <c r="S186" s="840"/>
      <c r="T186" s="840"/>
      <c r="U186" s="679">
        <f t="shared" si="11"/>
        <v>3640</v>
      </c>
    </row>
    <row r="187" spans="1:21" ht="18" customHeight="1">
      <c r="A187" s="626" t="s">
        <v>414</v>
      </c>
      <c r="B187" s="839"/>
      <c r="C187" s="839"/>
      <c r="D187" s="839">
        <v>2572</v>
      </c>
      <c r="E187" s="839">
        <v>445</v>
      </c>
      <c r="F187" s="839">
        <v>63</v>
      </c>
      <c r="G187" s="839"/>
      <c r="H187" s="839"/>
      <c r="I187" s="839"/>
      <c r="J187" s="839"/>
      <c r="K187" s="839"/>
      <c r="L187" s="839"/>
      <c r="M187" s="839"/>
      <c r="N187" s="839"/>
      <c r="O187" s="839"/>
      <c r="P187" s="839"/>
      <c r="Q187" s="839"/>
      <c r="R187" s="839"/>
      <c r="S187" s="840"/>
      <c r="T187" s="840"/>
      <c r="U187" s="679">
        <f t="shared" si="11"/>
        <v>3080</v>
      </c>
    </row>
    <row r="188" spans="1:21" ht="18" customHeight="1">
      <c r="A188" s="626" t="s">
        <v>678</v>
      </c>
      <c r="B188" s="700"/>
      <c r="C188" s="700"/>
      <c r="D188" s="700">
        <v>4928</v>
      </c>
      <c r="E188" s="700">
        <v>832</v>
      </c>
      <c r="F188" s="700">
        <v>120</v>
      </c>
      <c r="G188" s="700"/>
      <c r="H188" s="700"/>
      <c r="I188" s="700"/>
      <c r="J188" s="700"/>
      <c r="K188" s="700"/>
      <c r="L188" s="700"/>
      <c r="M188" s="700"/>
      <c r="N188" s="700"/>
      <c r="O188" s="700"/>
      <c r="P188" s="700"/>
      <c r="Q188" s="700"/>
      <c r="R188" s="700"/>
      <c r="S188" s="701"/>
      <c r="T188" s="701"/>
      <c r="U188" s="679">
        <f t="shared" si="11"/>
        <v>5880</v>
      </c>
    </row>
    <row r="189" spans="1:21" ht="18" customHeight="1">
      <c r="A189" s="626" t="s">
        <v>679</v>
      </c>
      <c r="B189" s="839"/>
      <c r="C189" s="839"/>
      <c r="D189" s="839">
        <v>7003</v>
      </c>
      <c r="E189" s="839">
        <v>1224</v>
      </c>
      <c r="F189" s="839">
        <v>173</v>
      </c>
      <c r="G189" s="839"/>
      <c r="H189" s="839"/>
      <c r="I189" s="839"/>
      <c r="J189" s="839"/>
      <c r="K189" s="839"/>
      <c r="L189" s="839"/>
      <c r="M189" s="839"/>
      <c r="N189" s="839"/>
      <c r="O189" s="839"/>
      <c r="P189" s="839"/>
      <c r="Q189" s="839"/>
      <c r="R189" s="839"/>
      <c r="S189" s="840"/>
      <c r="T189" s="840"/>
      <c r="U189" s="679">
        <f t="shared" si="11"/>
        <v>8400</v>
      </c>
    </row>
    <row r="190" spans="1:21" ht="18" customHeight="1">
      <c r="A190" s="626" t="s">
        <v>680</v>
      </c>
      <c r="B190" s="839"/>
      <c r="C190" s="839"/>
      <c r="D190" s="839">
        <v>3510</v>
      </c>
      <c r="E190" s="839">
        <v>604</v>
      </c>
      <c r="F190" s="839">
        <v>86</v>
      </c>
      <c r="G190" s="839"/>
      <c r="H190" s="839"/>
      <c r="I190" s="839"/>
      <c r="J190" s="839"/>
      <c r="K190" s="839"/>
      <c r="L190" s="839"/>
      <c r="M190" s="839"/>
      <c r="N190" s="839"/>
      <c r="O190" s="839"/>
      <c r="P190" s="839"/>
      <c r="Q190" s="839"/>
      <c r="R190" s="839"/>
      <c r="S190" s="840"/>
      <c r="T190" s="840"/>
      <c r="U190" s="679">
        <f t="shared" si="11"/>
        <v>4200</v>
      </c>
    </row>
    <row r="191" spans="1:21" ht="18" customHeight="1">
      <c r="A191" s="626" t="s">
        <v>635</v>
      </c>
      <c r="B191" s="839"/>
      <c r="C191" s="839"/>
      <c r="D191" s="839">
        <v>6083</v>
      </c>
      <c r="E191" s="839">
        <v>1048</v>
      </c>
      <c r="F191" s="839">
        <v>149</v>
      </c>
      <c r="G191" s="839"/>
      <c r="H191" s="839"/>
      <c r="I191" s="839"/>
      <c r="J191" s="839"/>
      <c r="K191" s="839"/>
      <c r="L191" s="839"/>
      <c r="M191" s="839"/>
      <c r="N191" s="839"/>
      <c r="O191" s="839"/>
      <c r="P191" s="839"/>
      <c r="Q191" s="839"/>
      <c r="R191" s="839"/>
      <c r="S191" s="840"/>
      <c r="T191" s="840"/>
      <c r="U191" s="679">
        <f t="shared" si="11"/>
        <v>7280</v>
      </c>
    </row>
    <row r="192" spans="1:21" ht="18" customHeight="1">
      <c r="A192" s="626" t="s">
        <v>681</v>
      </c>
      <c r="B192" s="700"/>
      <c r="C192" s="700"/>
      <c r="D192" s="700">
        <v>2578</v>
      </c>
      <c r="E192" s="700">
        <v>438</v>
      </c>
      <c r="F192" s="700">
        <v>64</v>
      </c>
      <c r="G192" s="700"/>
      <c r="H192" s="700"/>
      <c r="I192" s="700"/>
      <c r="J192" s="700"/>
      <c r="K192" s="700"/>
      <c r="L192" s="700"/>
      <c r="M192" s="700"/>
      <c r="N192" s="700"/>
      <c r="O192" s="700"/>
      <c r="P192" s="700"/>
      <c r="Q192" s="700"/>
      <c r="R192" s="700"/>
      <c r="S192" s="701"/>
      <c r="T192" s="701"/>
      <c r="U192" s="679">
        <f t="shared" si="11"/>
        <v>3080</v>
      </c>
    </row>
    <row r="193" spans="1:21" ht="18" customHeight="1">
      <c r="A193" s="626" t="s">
        <v>682</v>
      </c>
      <c r="B193" s="839"/>
      <c r="C193" s="839"/>
      <c r="D193" s="839">
        <v>3035</v>
      </c>
      <c r="E193" s="839">
        <v>530</v>
      </c>
      <c r="F193" s="839">
        <v>75</v>
      </c>
      <c r="G193" s="839"/>
      <c r="H193" s="839"/>
      <c r="I193" s="839"/>
      <c r="J193" s="839"/>
      <c r="K193" s="839"/>
      <c r="L193" s="839"/>
      <c r="M193" s="839"/>
      <c r="N193" s="839"/>
      <c r="O193" s="839"/>
      <c r="P193" s="839"/>
      <c r="Q193" s="839"/>
      <c r="R193" s="839"/>
      <c r="S193" s="840"/>
      <c r="T193" s="840"/>
      <c r="U193" s="679">
        <f t="shared" si="11"/>
        <v>3640</v>
      </c>
    </row>
    <row r="194" spans="1:21" ht="18" customHeight="1">
      <c r="A194" s="626" t="s">
        <v>683</v>
      </c>
      <c r="B194" s="839"/>
      <c r="C194" s="839"/>
      <c r="D194" s="839">
        <v>3502</v>
      </c>
      <c r="E194" s="839">
        <v>612</v>
      </c>
      <c r="F194" s="839">
        <v>86</v>
      </c>
      <c r="G194" s="839"/>
      <c r="H194" s="839"/>
      <c r="I194" s="839"/>
      <c r="J194" s="839"/>
      <c r="K194" s="839"/>
      <c r="L194" s="839"/>
      <c r="M194" s="839"/>
      <c r="N194" s="839"/>
      <c r="O194" s="839"/>
      <c r="P194" s="839"/>
      <c r="Q194" s="839"/>
      <c r="R194" s="839"/>
      <c r="S194" s="840"/>
      <c r="T194" s="840"/>
      <c r="U194" s="679">
        <f t="shared" si="11"/>
        <v>4200</v>
      </c>
    </row>
    <row r="195" spans="1:21" ht="18" customHeight="1">
      <c r="A195" s="626" t="s">
        <v>684</v>
      </c>
      <c r="B195" s="839"/>
      <c r="C195" s="839"/>
      <c r="D195" s="839">
        <v>3500</v>
      </c>
      <c r="E195" s="839">
        <v>600</v>
      </c>
      <c r="F195" s="839">
        <v>100</v>
      </c>
      <c r="G195" s="839"/>
      <c r="H195" s="839"/>
      <c r="I195" s="839"/>
      <c r="J195" s="839"/>
      <c r="K195" s="839"/>
      <c r="L195" s="839"/>
      <c r="M195" s="839"/>
      <c r="N195" s="839"/>
      <c r="O195" s="839"/>
      <c r="P195" s="839"/>
      <c r="Q195" s="839"/>
      <c r="R195" s="839"/>
      <c r="S195" s="840"/>
      <c r="T195" s="840"/>
      <c r="U195" s="679">
        <f aca="true" t="shared" si="13" ref="U195:U250">SUM(B195:T195)</f>
        <v>4200</v>
      </c>
    </row>
    <row r="196" spans="1:21" ht="18" customHeight="1">
      <c r="A196" s="626" t="s">
        <v>685</v>
      </c>
      <c r="B196" s="700"/>
      <c r="C196" s="700"/>
      <c r="D196" s="700">
        <v>1886</v>
      </c>
      <c r="E196" s="700">
        <v>307</v>
      </c>
      <c r="F196" s="700">
        <v>47</v>
      </c>
      <c r="G196" s="700"/>
      <c r="H196" s="700"/>
      <c r="I196" s="700"/>
      <c r="J196" s="700"/>
      <c r="K196" s="700"/>
      <c r="L196" s="700"/>
      <c r="M196" s="700"/>
      <c r="N196" s="700"/>
      <c r="O196" s="700"/>
      <c r="P196" s="700"/>
      <c r="Q196" s="700"/>
      <c r="R196" s="700"/>
      <c r="S196" s="701"/>
      <c r="T196" s="701"/>
      <c r="U196" s="679">
        <f t="shared" si="13"/>
        <v>2240</v>
      </c>
    </row>
    <row r="197" spans="1:21" ht="18" customHeight="1">
      <c r="A197" s="626" t="s">
        <v>428</v>
      </c>
      <c r="B197" s="839"/>
      <c r="C197" s="839"/>
      <c r="D197" s="839">
        <v>3035</v>
      </c>
      <c r="E197" s="839">
        <v>530</v>
      </c>
      <c r="F197" s="839">
        <v>75</v>
      </c>
      <c r="G197" s="839"/>
      <c r="H197" s="839"/>
      <c r="I197" s="839"/>
      <c r="J197" s="839"/>
      <c r="K197" s="839"/>
      <c r="L197" s="839"/>
      <c r="M197" s="839"/>
      <c r="N197" s="839"/>
      <c r="O197" s="839"/>
      <c r="P197" s="839"/>
      <c r="Q197" s="839"/>
      <c r="R197" s="839"/>
      <c r="S197" s="840"/>
      <c r="T197" s="840"/>
      <c r="U197" s="679">
        <f t="shared" si="13"/>
        <v>3640</v>
      </c>
    </row>
    <row r="198" spans="1:21" ht="18" customHeight="1">
      <c r="A198" s="626" t="s">
        <v>686</v>
      </c>
      <c r="B198" s="839"/>
      <c r="C198" s="839"/>
      <c r="D198" s="839">
        <v>3268</v>
      </c>
      <c r="E198" s="839">
        <v>571</v>
      </c>
      <c r="F198" s="839">
        <v>81</v>
      </c>
      <c r="G198" s="839"/>
      <c r="H198" s="839"/>
      <c r="I198" s="839"/>
      <c r="J198" s="839"/>
      <c r="K198" s="839"/>
      <c r="L198" s="839"/>
      <c r="M198" s="839"/>
      <c r="N198" s="839"/>
      <c r="O198" s="839"/>
      <c r="P198" s="839"/>
      <c r="Q198" s="839"/>
      <c r="R198" s="839"/>
      <c r="S198" s="840"/>
      <c r="T198" s="840"/>
      <c r="U198" s="679">
        <f t="shared" si="13"/>
        <v>3920</v>
      </c>
    </row>
    <row r="199" spans="1:21" ht="18" customHeight="1">
      <c r="A199" s="626" t="s">
        <v>687</v>
      </c>
      <c r="B199" s="839"/>
      <c r="C199" s="839"/>
      <c r="D199" s="839">
        <v>4669</v>
      </c>
      <c r="E199" s="839">
        <v>816</v>
      </c>
      <c r="F199" s="839">
        <v>115</v>
      </c>
      <c r="G199" s="839"/>
      <c r="H199" s="839"/>
      <c r="I199" s="839"/>
      <c r="J199" s="839"/>
      <c r="K199" s="839"/>
      <c r="L199" s="839"/>
      <c r="M199" s="839"/>
      <c r="N199" s="839"/>
      <c r="O199" s="839"/>
      <c r="P199" s="839"/>
      <c r="Q199" s="839"/>
      <c r="R199" s="839"/>
      <c r="S199" s="840"/>
      <c r="T199" s="840"/>
      <c r="U199" s="679">
        <f t="shared" si="13"/>
        <v>5600</v>
      </c>
    </row>
    <row r="200" spans="1:21" ht="18" customHeight="1">
      <c r="A200" s="626" t="s">
        <v>412</v>
      </c>
      <c r="B200" s="700"/>
      <c r="C200" s="700"/>
      <c r="D200" s="700">
        <v>4417</v>
      </c>
      <c r="E200" s="700">
        <v>795</v>
      </c>
      <c r="F200" s="700">
        <v>108</v>
      </c>
      <c r="G200" s="700"/>
      <c r="H200" s="700"/>
      <c r="I200" s="700"/>
      <c r="J200" s="700"/>
      <c r="K200" s="700"/>
      <c r="L200" s="700"/>
      <c r="M200" s="700"/>
      <c r="N200" s="700"/>
      <c r="O200" s="700"/>
      <c r="P200" s="700"/>
      <c r="Q200" s="700"/>
      <c r="R200" s="700"/>
      <c r="S200" s="701"/>
      <c r="T200" s="701"/>
      <c r="U200" s="679">
        <f t="shared" si="13"/>
        <v>5320</v>
      </c>
    </row>
    <row r="201" spans="1:21" ht="18" customHeight="1">
      <c r="A201" s="626" t="s">
        <v>732</v>
      </c>
      <c r="B201" s="839"/>
      <c r="C201" s="839"/>
      <c r="D201" s="839">
        <v>2568</v>
      </c>
      <c r="E201" s="839">
        <v>449</v>
      </c>
      <c r="F201" s="839">
        <v>63</v>
      </c>
      <c r="G201" s="839"/>
      <c r="H201" s="839"/>
      <c r="I201" s="839"/>
      <c r="J201" s="839"/>
      <c r="K201" s="839"/>
      <c r="L201" s="839"/>
      <c r="M201" s="839"/>
      <c r="N201" s="839"/>
      <c r="O201" s="839"/>
      <c r="P201" s="839"/>
      <c r="Q201" s="839"/>
      <c r="R201" s="839"/>
      <c r="S201" s="840"/>
      <c r="T201" s="840"/>
      <c r="U201" s="679">
        <f t="shared" si="13"/>
        <v>3080</v>
      </c>
    </row>
    <row r="202" spans="1:21" ht="18" customHeight="1">
      <c r="A202" s="626" t="s">
        <v>733</v>
      </c>
      <c r="B202" s="839"/>
      <c r="C202" s="839"/>
      <c r="D202" s="839">
        <v>1870</v>
      </c>
      <c r="E202" s="839">
        <v>323</v>
      </c>
      <c r="F202" s="839">
        <v>47</v>
      </c>
      <c r="G202" s="839"/>
      <c r="H202" s="839"/>
      <c r="I202" s="839"/>
      <c r="J202" s="839"/>
      <c r="K202" s="839"/>
      <c r="L202" s="839"/>
      <c r="M202" s="839"/>
      <c r="N202" s="839"/>
      <c r="O202" s="839"/>
      <c r="P202" s="839"/>
      <c r="Q202" s="839"/>
      <c r="R202" s="839"/>
      <c r="S202" s="840"/>
      <c r="T202" s="840"/>
      <c r="U202" s="679">
        <f t="shared" si="13"/>
        <v>2240</v>
      </c>
    </row>
    <row r="203" spans="1:21" ht="18" customHeight="1">
      <c r="A203" s="626" t="s">
        <v>734</v>
      </c>
      <c r="B203" s="839"/>
      <c r="C203" s="839"/>
      <c r="D203" s="839">
        <v>3969</v>
      </c>
      <c r="E203" s="839">
        <v>693</v>
      </c>
      <c r="F203" s="839">
        <v>98</v>
      </c>
      <c r="G203" s="839"/>
      <c r="H203" s="839"/>
      <c r="I203" s="839"/>
      <c r="J203" s="839"/>
      <c r="K203" s="839"/>
      <c r="L203" s="839"/>
      <c r="M203" s="839"/>
      <c r="N203" s="839"/>
      <c r="O203" s="839"/>
      <c r="P203" s="839"/>
      <c r="Q203" s="839"/>
      <c r="R203" s="839"/>
      <c r="S203" s="840"/>
      <c r="T203" s="840"/>
      <c r="U203" s="679">
        <f t="shared" si="13"/>
        <v>4760</v>
      </c>
    </row>
    <row r="204" spans="1:21" ht="18" customHeight="1">
      <c r="A204" s="626" t="s">
        <v>735</v>
      </c>
      <c r="B204" s="700"/>
      <c r="C204" s="700"/>
      <c r="D204" s="700">
        <v>4950</v>
      </c>
      <c r="E204" s="700">
        <v>809</v>
      </c>
      <c r="F204" s="700">
        <v>121</v>
      </c>
      <c r="G204" s="700"/>
      <c r="H204" s="700"/>
      <c r="I204" s="700"/>
      <c r="J204" s="700"/>
      <c r="K204" s="700"/>
      <c r="L204" s="700"/>
      <c r="M204" s="700"/>
      <c r="N204" s="700"/>
      <c r="O204" s="700"/>
      <c r="P204" s="700"/>
      <c r="Q204" s="700"/>
      <c r="R204" s="700"/>
      <c r="S204" s="701"/>
      <c r="T204" s="701"/>
      <c r="U204" s="679">
        <f t="shared" si="13"/>
        <v>5880</v>
      </c>
    </row>
    <row r="205" spans="1:21" ht="18" customHeight="1">
      <c r="A205" s="626" t="s">
        <v>736</v>
      </c>
      <c r="B205" s="839"/>
      <c r="C205" s="839"/>
      <c r="D205" s="839">
        <v>2334</v>
      </c>
      <c r="E205" s="839">
        <v>408</v>
      </c>
      <c r="F205" s="839">
        <v>58</v>
      </c>
      <c r="G205" s="839"/>
      <c r="H205" s="839"/>
      <c r="I205" s="839"/>
      <c r="J205" s="839"/>
      <c r="K205" s="839"/>
      <c r="L205" s="839"/>
      <c r="M205" s="839"/>
      <c r="N205" s="839"/>
      <c r="O205" s="839"/>
      <c r="P205" s="839"/>
      <c r="Q205" s="839"/>
      <c r="R205" s="839"/>
      <c r="S205" s="840"/>
      <c r="T205" s="840"/>
      <c r="U205" s="679">
        <f t="shared" si="13"/>
        <v>2800</v>
      </c>
    </row>
    <row r="206" spans="1:21" ht="18" customHeight="1">
      <c r="A206" s="626" t="s">
        <v>737</v>
      </c>
      <c r="B206" s="839"/>
      <c r="C206" s="839"/>
      <c r="D206" s="839">
        <v>4203</v>
      </c>
      <c r="E206" s="839">
        <v>734</v>
      </c>
      <c r="F206" s="839">
        <v>103</v>
      </c>
      <c r="G206" s="839"/>
      <c r="H206" s="839"/>
      <c r="I206" s="839"/>
      <c r="J206" s="839"/>
      <c r="K206" s="839"/>
      <c r="L206" s="839"/>
      <c r="M206" s="839"/>
      <c r="N206" s="839"/>
      <c r="O206" s="839"/>
      <c r="P206" s="839"/>
      <c r="Q206" s="839"/>
      <c r="R206" s="839"/>
      <c r="S206" s="840"/>
      <c r="T206" s="840"/>
      <c r="U206" s="679">
        <f t="shared" si="13"/>
        <v>5040</v>
      </c>
    </row>
    <row r="207" spans="1:21" ht="18" customHeight="1">
      <c r="A207" s="626" t="s">
        <v>738</v>
      </c>
      <c r="B207" s="839"/>
      <c r="C207" s="839"/>
      <c r="D207" s="839">
        <v>3502</v>
      </c>
      <c r="E207" s="839">
        <v>612</v>
      </c>
      <c r="F207" s="839">
        <v>86</v>
      </c>
      <c r="G207" s="839"/>
      <c r="H207" s="839"/>
      <c r="I207" s="839"/>
      <c r="J207" s="839"/>
      <c r="K207" s="839"/>
      <c r="L207" s="839"/>
      <c r="M207" s="839"/>
      <c r="N207" s="839"/>
      <c r="O207" s="839"/>
      <c r="P207" s="839"/>
      <c r="Q207" s="839"/>
      <c r="R207" s="839"/>
      <c r="S207" s="840"/>
      <c r="T207" s="840"/>
      <c r="U207" s="679">
        <f t="shared" si="13"/>
        <v>4200</v>
      </c>
    </row>
    <row r="208" spans="1:21" ht="18" customHeight="1">
      <c r="A208" s="626" t="s">
        <v>739</v>
      </c>
      <c r="B208" s="839"/>
      <c r="C208" s="839"/>
      <c r="D208" s="839">
        <v>3506</v>
      </c>
      <c r="E208" s="839">
        <v>608</v>
      </c>
      <c r="F208" s="839">
        <v>86</v>
      </c>
      <c r="G208" s="839"/>
      <c r="H208" s="839"/>
      <c r="I208" s="839"/>
      <c r="J208" s="839"/>
      <c r="K208" s="839"/>
      <c r="L208" s="839"/>
      <c r="M208" s="839"/>
      <c r="N208" s="839"/>
      <c r="O208" s="839"/>
      <c r="P208" s="839"/>
      <c r="Q208" s="839"/>
      <c r="R208" s="839"/>
      <c r="S208" s="840"/>
      <c r="T208" s="840"/>
      <c r="U208" s="679">
        <f t="shared" si="13"/>
        <v>4200</v>
      </c>
    </row>
    <row r="209" spans="1:21" ht="18" customHeight="1">
      <c r="A209" s="626" t="s">
        <v>740</v>
      </c>
      <c r="B209" s="700"/>
      <c r="C209" s="700"/>
      <c r="D209" s="700">
        <v>6970</v>
      </c>
      <c r="E209" s="700">
        <v>1255</v>
      </c>
      <c r="F209" s="700">
        <v>175</v>
      </c>
      <c r="G209" s="700"/>
      <c r="H209" s="700"/>
      <c r="I209" s="700"/>
      <c r="J209" s="700"/>
      <c r="K209" s="700"/>
      <c r="L209" s="700"/>
      <c r="M209" s="700"/>
      <c r="N209" s="700"/>
      <c r="O209" s="700"/>
      <c r="P209" s="700"/>
      <c r="Q209" s="700"/>
      <c r="R209" s="700"/>
      <c r="S209" s="701"/>
      <c r="T209" s="701"/>
      <c r="U209" s="679">
        <f t="shared" si="13"/>
        <v>8400</v>
      </c>
    </row>
    <row r="210" spans="1:21" ht="18" customHeight="1">
      <c r="A210" s="626" t="s">
        <v>741</v>
      </c>
      <c r="B210" s="839"/>
      <c r="C210" s="839"/>
      <c r="D210" s="839">
        <v>3976</v>
      </c>
      <c r="E210" s="839">
        <v>685</v>
      </c>
      <c r="F210" s="839">
        <v>99</v>
      </c>
      <c r="G210" s="839"/>
      <c r="H210" s="839"/>
      <c r="I210" s="839"/>
      <c r="J210" s="839"/>
      <c r="K210" s="839"/>
      <c r="L210" s="839"/>
      <c r="M210" s="839"/>
      <c r="N210" s="839"/>
      <c r="O210" s="839"/>
      <c r="P210" s="839"/>
      <c r="Q210" s="839"/>
      <c r="R210" s="839"/>
      <c r="S210" s="840"/>
      <c r="T210" s="840"/>
      <c r="U210" s="679">
        <f t="shared" si="13"/>
        <v>4760</v>
      </c>
    </row>
    <row r="211" spans="1:21" ht="18" customHeight="1">
      <c r="A211" s="626" t="s">
        <v>742</v>
      </c>
      <c r="B211" s="839"/>
      <c r="C211" s="839"/>
      <c r="D211" s="839">
        <v>6070</v>
      </c>
      <c r="E211" s="839">
        <v>1061</v>
      </c>
      <c r="F211" s="839">
        <v>149</v>
      </c>
      <c r="G211" s="839"/>
      <c r="H211" s="839"/>
      <c r="I211" s="839"/>
      <c r="J211" s="839"/>
      <c r="K211" s="839"/>
      <c r="L211" s="839"/>
      <c r="M211" s="839"/>
      <c r="N211" s="839"/>
      <c r="O211" s="839"/>
      <c r="P211" s="839"/>
      <c r="Q211" s="839"/>
      <c r="R211" s="839"/>
      <c r="S211" s="840"/>
      <c r="T211" s="840"/>
      <c r="U211" s="679">
        <f t="shared" si="13"/>
        <v>7280</v>
      </c>
    </row>
    <row r="212" spans="1:21" ht="18" customHeight="1">
      <c r="A212" s="626" t="s">
        <v>743</v>
      </c>
      <c r="B212" s="839"/>
      <c r="C212" s="839"/>
      <c r="D212" s="839">
        <v>3969</v>
      </c>
      <c r="E212" s="839">
        <v>693</v>
      </c>
      <c r="F212" s="839">
        <v>98</v>
      </c>
      <c r="G212" s="839"/>
      <c r="H212" s="839"/>
      <c r="I212" s="839"/>
      <c r="J212" s="839"/>
      <c r="K212" s="839"/>
      <c r="L212" s="839"/>
      <c r="M212" s="839"/>
      <c r="N212" s="839"/>
      <c r="O212" s="839"/>
      <c r="P212" s="839"/>
      <c r="Q212" s="839"/>
      <c r="R212" s="839"/>
      <c r="S212" s="840"/>
      <c r="T212" s="840"/>
      <c r="U212" s="679">
        <f t="shared" si="13"/>
        <v>4760</v>
      </c>
    </row>
    <row r="213" spans="1:21" ht="18" customHeight="1">
      <c r="A213" s="626" t="s">
        <v>744</v>
      </c>
      <c r="B213" s="700"/>
      <c r="C213" s="700"/>
      <c r="D213" s="700">
        <v>3276</v>
      </c>
      <c r="E213" s="700">
        <v>564</v>
      </c>
      <c r="F213" s="700">
        <v>80</v>
      </c>
      <c r="G213" s="700"/>
      <c r="H213" s="700"/>
      <c r="I213" s="700"/>
      <c r="J213" s="700"/>
      <c r="K213" s="700"/>
      <c r="L213" s="700"/>
      <c r="M213" s="700"/>
      <c r="N213" s="700"/>
      <c r="O213" s="700"/>
      <c r="P213" s="700"/>
      <c r="Q213" s="700"/>
      <c r="R213" s="700"/>
      <c r="S213" s="701"/>
      <c r="T213" s="701"/>
      <c r="U213" s="679">
        <f t="shared" si="13"/>
        <v>3920</v>
      </c>
    </row>
    <row r="214" spans="1:21" ht="18" customHeight="1">
      <c r="A214" s="626" t="s">
        <v>745</v>
      </c>
      <c r="B214" s="839"/>
      <c r="C214" s="839"/>
      <c r="D214" s="839">
        <v>7350</v>
      </c>
      <c r="E214" s="839">
        <v>975</v>
      </c>
      <c r="F214" s="839">
        <v>75</v>
      </c>
      <c r="G214" s="839"/>
      <c r="H214" s="839"/>
      <c r="I214" s="839"/>
      <c r="J214" s="839"/>
      <c r="K214" s="839"/>
      <c r="L214" s="839"/>
      <c r="M214" s="839"/>
      <c r="N214" s="839"/>
      <c r="O214" s="839"/>
      <c r="P214" s="839"/>
      <c r="Q214" s="839"/>
      <c r="R214" s="839"/>
      <c r="S214" s="840"/>
      <c r="T214" s="840"/>
      <c r="U214" s="679">
        <f t="shared" si="13"/>
        <v>8400</v>
      </c>
    </row>
    <row r="215" spans="1:21" ht="18" customHeight="1">
      <c r="A215" s="626" t="s">
        <v>746</v>
      </c>
      <c r="B215" s="839"/>
      <c r="C215" s="839"/>
      <c r="D215" s="839">
        <v>1872</v>
      </c>
      <c r="E215" s="839">
        <v>322</v>
      </c>
      <c r="F215" s="839">
        <v>46</v>
      </c>
      <c r="G215" s="839"/>
      <c r="H215" s="839"/>
      <c r="I215" s="839"/>
      <c r="J215" s="839"/>
      <c r="K215" s="839"/>
      <c r="L215" s="839"/>
      <c r="M215" s="839"/>
      <c r="N215" s="839"/>
      <c r="O215" s="839"/>
      <c r="P215" s="839"/>
      <c r="Q215" s="839"/>
      <c r="R215" s="839"/>
      <c r="S215" s="840"/>
      <c r="T215" s="840"/>
      <c r="U215" s="679">
        <f t="shared" si="13"/>
        <v>2240</v>
      </c>
    </row>
    <row r="216" spans="1:21" ht="18" customHeight="1">
      <c r="A216" s="626" t="s">
        <v>433</v>
      </c>
      <c r="B216" s="839"/>
      <c r="C216" s="839"/>
      <c r="D216" s="839">
        <v>1866</v>
      </c>
      <c r="E216" s="839">
        <v>328</v>
      </c>
      <c r="F216" s="839">
        <v>46</v>
      </c>
      <c r="G216" s="839"/>
      <c r="H216" s="839"/>
      <c r="I216" s="839"/>
      <c r="J216" s="839"/>
      <c r="K216" s="839"/>
      <c r="L216" s="839"/>
      <c r="M216" s="839"/>
      <c r="N216" s="839"/>
      <c r="O216" s="839"/>
      <c r="P216" s="839"/>
      <c r="Q216" s="839"/>
      <c r="R216" s="839"/>
      <c r="S216" s="840"/>
      <c r="T216" s="840"/>
      <c r="U216" s="679">
        <f t="shared" si="13"/>
        <v>2240</v>
      </c>
    </row>
    <row r="217" spans="1:21" ht="18" customHeight="1">
      <c r="A217" s="626" t="s">
        <v>637</v>
      </c>
      <c r="B217" s="700"/>
      <c r="C217" s="700"/>
      <c r="D217" s="700">
        <v>3736</v>
      </c>
      <c r="E217" s="700">
        <v>652</v>
      </c>
      <c r="F217" s="700">
        <v>92</v>
      </c>
      <c r="G217" s="700"/>
      <c r="H217" s="700"/>
      <c r="I217" s="700"/>
      <c r="J217" s="700"/>
      <c r="K217" s="700"/>
      <c r="L217" s="700"/>
      <c r="M217" s="700"/>
      <c r="N217" s="700"/>
      <c r="O217" s="700"/>
      <c r="P217" s="700"/>
      <c r="Q217" s="700"/>
      <c r="R217" s="700"/>
      <c r="S217" s="701"/>
      <c r="T217" s="701"/>
      <c r="U217" s="679">
        <f t="shared" si="13"/>
        <v>4480</v>
      </c>
    </row>
    <row r="218" spans="1:21" ht="18" customHeight="1">
      <c r="A218" s="626" t="s">
        <v>638</v>
      </c>
      <c r="B218" s="839"/>
      <c r="C218" s="839"/>
      <c r="D218" s="839">
        <v>3269</v>
      </c>
      <c r="E218" s="839">
        <v>571</v>
      </c>
      <c r="F218" s="839">
        <v>80</v>
      </c>
      <c r="G218" s="839"/>
      <c r="H218" s="839"/>
      <c r="I218" s="839"/>
      <c r="J218" s="839"/>
      <c r="K218" s="839"/>
      <c r="L218" s="839"/>
      <c r="M218" s="839"/>
      <c r="N218" s="839"/>
      <c r="O218" s="839"/>
      <c r="P218" s="839"/>
      <c r="Q218" s="839"/>
      <c r="R218" s="839"/>
      <c r="S218" s="840"/>
      <c r="T218" s="840"/>
      <c r="U218" s="679">
        <f t="shared" si="13"/>
        <v>3920</v>
      </c>
    </row>
    <row r="219" spans="1:21" ht="18" customHeight="1">
      <c r="A219" s="626" t="s">
        <v>747</v>
      </c>
      <c r="B219" s="839"/>
      <c r="C219" s="839"/>
      <c r="D219" s="839">
        <v>6539</v>
      </c>
      <c r="E219" s="839">
        <v>1140</v>
      </c>
      <c r="F219" s="839">
        <v>161</v>
      </c>
      <c r="G219" s="839"/>
      <c r="H219" s="839"/>
      <c r="I219" s="839"/>
      <c r="J219" s="839"/>
      <c r="K219" s="839"/>
      <c r="L219" s="839"/>
      <c r="M219" s="839"/>
      <c r="N219" s="839"/>
      <c r="O219" s="839"/>
      <c r="P219" s="839"/>
      <c r="Q219" s="839"/>
      <c r="R219" s="839"/>
      <c r="S219" s="840"/>
      <c r="T219" s="840"/>
      <c r="U219" s="679">
        <f t="shared" si="13"/>
        <v>7840</v>
      </c>
    </row>
    <row r="220" spans="1:21" ht="18" customHeight="1">
      <c r="A220" s="626" t="s">
        <v>639</v>
      </c>
      <c r="B220" s="839"/>
      <c r="C220" s="839"/>
      <c r="D220" s="839">
        <v>3265</v>
      </c>
      <c r="E220" s="839">
        <v>570</v>
      </c>
      <c r="F220" s="839">
        <v>85</v>
      </c>
      <c r="G220" s="839"/>
      <c r="H220" s="839"/>
      <c r="I220" s="839"/>
      <c r="J220" s="839"/>
      <c r="K220" s="839"/>
      <c r="L220" s="839"/>
      <c r="M220" s="839"/>
      <c r="N220" s="839"/>
      <c r="O220" s="839"/>
      <c r="P220" s="839"/>
      <c r="Q220" s="839"/>
      <c r="R220" s="839"/>
      <c r="S220" s="840"/>
      <c r="T220" s="840"/>
      <c r="U220" s="679">
        <f t="shared" si="13"/>
        <v>3920</v>
      </c>
    </row>
    <row r="221" spans="1:21" ht="18" customHeight="1">
      <c r="A221" s="626" t="s">
        <v>748</v>
      </c>
      <c r="B221" s="700"/>
      <c r="C221" s="700"/>
      <c r="D221" s="700">
        <v>4162</v>
      </c>
      <c r="E221" s="700">
        <v>736</v>
      </c>
      <c r="F221" s="700">
        <v>102</v>
      </c>
      <c r="G221" s="700"/>
      <c r="H221" s="700"/>
      <c r="I221" s="700"/>
      <c r="J221" s="700"/>
      <c r="K221" s="700"/>
      <c r="L221" s="700"/>
      <c r="M221" s="700"/>
      <c r="N221" s="700"/>
      <c r="O221" s="700"/>
      <c r="P221" s="700"/>
      <c r="Q221" s="700"/>
      <c r="R221" s="700"/>
      <c r="S221" s="701"/>
      <c r="T221" s="701"/>
      <c r="U221" s="679">
        <f t="shared" si="13"/>
        <v>5000</v>
      </c>
    </row>
    <row r="222" spans="1:21" ht="18" customHeight="1">
      <c r="A222" s="626" t="s">
        <v>749</v>
      </c>
      <c r="B222" s="839"/>
      <c r="C222" s="839"/>
      <c r="D222" s="839">
        <v>2806</v>
      </c>
      <c r="E222" s="839">
        <v>484</v>
      </c>
      <c r="F222" s="839">
        <v>70</v>
      </c>
      <c r="G222" s="839"/>
      <c r="H222" s="839"/>
      <c r="I222" s="839"/>
      <c r="J222" s="839"/>
      <c r="K222" s="839"/>
      <c r="L222" s="839"/>
      <c r="M222" s="839"/>
      <c r="N222" s="839"/>
      <c r="O222" s="839"/>
      <c r="P222" s="839"/>
      <c r="Q222" s="839"/>
      <c r="R222" s="839"/>
      <c r="S222" s="840"/>
      <c r="T222" s="840"/>
      <c r="U222" s="679">
        <f t="shared" si="13"/>
        <v>3360</v>
      </c>
    </row>
    <row r="223" spans="1:21" ht="18" customHeight="1">
      <c r="A223" s="626" t="s">
        <v>641</v>
      </c>
      <c r="B223" s="839"/>
      <c r="C223" s="839"/>
      <c r="D223" s="839">
        <v>3733</v>
      </c>
      <c r="E223" s="839">
        <v>654</v>
      </c>
      <c r="F223" s="839">
        <v>93</v>
      </c>
      <c r="G223" s="839"/>
      <c r="H223" s="839"/>
      <c r="I223" s="839"/>
      <c r="J223" s="839"/>
      <c r="K223" s="839"/>
      <c r="L223" s="839"/>
      <c r="M223" s="839"/>
      <c r="N223" s="839"/>
      <c r="O223" s="839"/>
      <c r="P223" s="839"/>
      <c r="Q223" s="839"/>
      <c r="R223" s="839"/>
      <c r="S223" s="840"/>
      <c r="T223" s="840"/>
      <c r="U223" s="679">
        <f t="shared" si="13"/>
        <v>4480</v>
      </c>
    </row>
    <row r="224" spans="1:21" ht="18" customHeight="1">
      <c r="A224" s="626" t="s">
        <v>750</v>
      </c>
      <c r="B224" s="839"/>
      <c r="C224" s="839"/>
      <c r="D224" s="839">
        <v>4913</v>
      </c>
      <c r="E224" s="839">
        <v>846</v>
      </c>
      <c r="F224" s="839">
        <v>121</v>
      </c>
      <c r="G224" s="839"/>
      <c r="H224" s="839"/>
      <c r="I224" s="839"/>
      <c r="J224" s="839"/>
      <c r="K224" s="839"/>
      <c r="L224" s="839"/>
      <c r="M224" s="839"/>
      <c r="N224" s="839"/>
      <c r="O224" s="839"/>
      <c r="P224" s="839"/>
      <c r="Q224" s="839"/>
      <c r="R224" s="839"/>
      <c r="S224" s="840"/>
      <c r="T224" s="840"/>
      <c r="U224" s="679">
        <f t="shared" si="13"/>
        <v>5880</v>
      </c>
    </row>
    <row r="225" spans="1:21" ht="18" customHeight="1">
      <c r="A225" s="626" t="s">
        <v>751</v>
      </c>
      <c r="B225" s="839"/>
      <c r="C225" s="839"/>
      <c r="D225" s="839">
        <v>3778</v>
      </c>
      <c r="E225" s="839">
        <v>609</v>
      </c>
      <c r="F225" s="839">
        <v>93</v>
      </c>
      <c r="G225" s="839"/>
      <c r="H225" s="839"/>
      <c r="I225" s="839"/>
      <c r="J225" s="839"/>
      <c r="K225" s="839"/>
      <c r="L225" s="839"/>
      <c r="M225" s="839"/>
      <c r="N225" s="839"/>
      <c r="O225" s="839"/>
      <c r="P225" s="839"/>
      <c r="Q225" s="839"/>
      <c r="R225" s="839"/>
      <c r="S225" s="840"/>
      <c r="T225" s="840"/>
      <c r="U225" s="679">
        <f t="shared" si="13"/>
        <v>4480</v>
      </c>
    </row>
    <row r="226" spans="1:21" ht="18" customHeight="1">
      <c r="A226" s="626" t="s">
        <v>752</v>
      </c>
      <c r="B226" s="700"/>
      <c r="C226" s="700"/>
      <c r="D226" s="700">
        <v>3293</v>
      </c>
      <c r="E226" s="700">
        <v>547</v>
      </c>
      <c r="F226" s="700">
        <v>80</v>
      </c>
      <c r="G226" s="700"/>
      <c r="H226" s="700"/>
      <c r="I226" s="700"/>
      <c r="J226" s="700"/>
      <c r="K226" s="700"/>
      <c r="L226" s="700"/>
      <c r="M226" s="700"/>
      <c r="N226" s="700"/>
      <c r="O226" s="700"/>
      <c r="P226" s="700"/>
      <c r="Q226" s="700"/>
      <c r="R226" s="700"/>
      <c r="S226" s="701"/>
      <c r="T226" s="701"/>
      <c r="U226" s="679">
        <f t="shared" si="13"/>
        <v>3920</v>
      </c>
    </row>
    <row r="227" spans="1:21" ht="18" customHeight="1">
      <c r="A227" s="626" t="s">
        <v>505</v>
      </c>
      <c r="B227" s="839"/>
      <c r="C227" s="839"/>
      <c r="D227" s="839">
        <v>5615</v>
      </c>
      <c r="E227" s="839">
        <v>967</v>
      </c>
      <c r="F227" s="839">
        <v>138</v>
      </c>
      <c r="G227" s="839"/>
      <c r="H227" s="839"/>
      <c r="I227" s="839"/>
      <c r="J227" s="839"/>
      <c r="K227" s="839"/>
      <c r="L227" s="839"/>
      <c r="M227" s="839"/>
      <c r="N227" s="839"/>
      <c r="O227" s="839"/>
      <c r="P227" s="839"/>
      <c r="Q227" s="839"/>
      <c r="R227" s="839"/>
      <c r="S227" s="840"/>
      <c r="T227" s="840"/>
      <c r="U227" s="679">
        <f t="shared" si="13"/>
        <v>6720</v>
      </c>
    </row>
    <row r="228" spans="1:21" ht="18" customHeight="1">
      <c r="A228" s="626" t="s">
        <v>753</v>
      </c>
      <c r="B228" s="839"/>
      <c r="C228" s="839"/>
      <c r="D228" s="839">
        <v>3739</v>
      </c>
      <c r="E228" s="839">
        <v>649</v>
      </c>
      <c r="F228" s="839">
        <v>92</v>
      </c>
      <c r="G228" s="839"/>
      <c r="H228" s="839"/>
      <c r="I228" s="839"/>
      <c r="J228" s="839"/>
      <c r="K228" s="839"/>
      <c r="L228" s="839"/>
      <c r="M228" s="839"/>
      <c r="N228" s="839"/>
      <c r="O228" s="839"/>
      <c r="P228" s="839"/>
      <c r="Q228" s="839"/>
      <c r="R228" s="839"/>
      <c r="S228" s="840"/>
      <c r="T228" s="840"/>
      <c r="U228" s="679">
        <f t="shared" si="13"/>
        <v>4480</v>
      </c>
    </row>
    <row r="229" spans="1:21" ht="18" customHeight="1">
      <c r="A229" s="626" t="s">
        <v>642</v>
      </c>
      <c r="B229" s="839"/>
      <c r="C229" s="839"/>
      <c r="D229" s="839">
        <v>3275</v>
      </c>
      <c r="E229" s="839">
        <v>564</v>
      </c>
      <c r="F229" s="839">
        <v>81</v>
      </c>
      <c r="G229" s="839"/>
      <c r="H229" s="839"/>
      <c r="I229" s="839"/>
      <c r="J229" s="839"/>
      <c r="K229" s="839"/>
      <c r="L229" s="839"/>
      <c r="M229" s="839"/>
      <c r="N229" s="839"/>
      <c r="O229" s="839"/>
      <c r="P229" s="839"/>
      <c r="Q229" s="839"/>
      <c r="R229" s="839"/>
      <c r="S229" s="840"/>
      <c r="T229" s="840"/>
      <c r="U229" s="679">
        <f t="shared" si="13"/>
        <v>3920</v>
      </c>
    </row>
    <row r="230" spans="1:21" ht="18" customHeight="1">
      <c r="A230" s="626" t="s">
        <v>754</v>
      </c>
      <c r="B230" s="839"/>
      <c r="C230" s="839"/>
      <c r="D230" s="839">
        <v>2335</v>
      </c>
      <c r="E230" s="839">
        <v>408</v>
      </c>
      <c r="F230" s="839">
        <v>57</v>
      </c>
      <c r="G230" s="839"/>
      <c r="H230" s="839"/>
      <c r="I230" s="839"/>
      <c r="J230" s="839"/>
      <c r="K230" s="839"/>
      <c r="L230" s="839"/>
      <c r="M230" s="839"/>
      <c r="N230" s="839"/>
      <c r="O230" s="839"/>
      <c r="P230" s="839"/>
      <c r="Q230" s="839"/>
      <c r="R230" s="839"/>
      <c r="S230" s="840"/>
      <c r="T230" s="840"/>
      <c r="U230" s="679">
        <f t="shared" si="13"/>
        <v>2800</v>
      </c>
    </row>
    <row r="231" spans="1:21" ht="18" customHeight="1">
      <c r="A231" s="626" t="s">
        <v>429</v>
      </c>
      <c r="B231" s="700"/>
      <c r="C231" s="700"/>
      <c r="D231" s="700">
        <v>3740</v>
      </c>
      <c r="E231" s="700">
        <v>648</v>
      </c>
      <c r="F231" s="700">
        <v>92</v>
      </c>
      <c r="G231" s="700"/>
      <c r="H231" s="700"/>
      <c r="I231" s="700"/>
      <c r="J231" s="700"/>
      <c r="K231" s="700"/>
      <c r="L231" s="700"/>
      <c r="M231" s="700"/>
      <c r="N231" s="700"/>
      <c r="O231" s="700"/>
      <c r="P231" s="700"/>
      <c r="Q231" s="700"/>
      <c r="R231" s="700"/>
      <c r="S231" s="701"/>
      <c r="T231" s="701"/>
      <c r="U231" s="679">
        <f t="shared" si="13"/>
        <v>4480</v>
      </c>
    </row>
    <row r="232" spans="1:21" ht="18" customHeight="1">
      <c r="A232" s="525" t="s">
        <v>52</v>
      </c>
      <c r="B232" s="839"/>
      <c r="C232" s="839"/>
      <c r="D232" s="839">
        <v>4670</v>
      </c>
      <c r="E232" s="839">
        <v>816</v>
      </c>
      <c r="F232" s="839">
        <v>114</v>
      </c>
      <c r="G232" s="839"/>
      <c r="H232" s="839"/>
      <c r="I232" s="839"/>
      <c r="J232" s="839"/>
      <c r="K232" s="839"/>
      <c r="L232" s="839"/>
      <c r="M232" s="839"/>
      <c r="N232" s="839"/>
      <c r="O232" s="839"/>
      <c r="P232" s="839"/>
      <c r="Q232" s="839"/>
      <c r="R232" s="839"/>
      <c r="S232" s="840"/>
      <c r="T232" s="840"/>
      <c r="U232" s="679">
        <f t="shared" si="13"/>
        <v>5600</v>
      </c>
    </row>
    <row r="233" spans="1:21" ht="18" customHeight="1">
      <c r="A233" s="525" t="s">
        <v>755</v>
      </c>
      <c r="B233" s="839"/>
      <c r="C233" s="839"/>
      <c r="D233" s="839">
        <v>2808</v>
      </c>
      <c r="E233" s="839">
        <v>483</v>
      </c>
      <c r="F233" s="839">
        <v>69</v>
      </c>
      <c r="G233" s="839"/>
      <c r="H233" s="839"/>
      <c r="I233" s="839"/>
      <c r="J233" s="839"/>
      <c r="K233" s="839"/>
      <c r="L233" s="839"/>
      <c r="M233" s="839"/>
      <c r="N233" s="839"/>
      <c r="O233" s="839"/>
      <c r="P233" s="839"/>
      <c r="Q233" s="839"/>
      <c r="R233" s="839"/>
      <c r="S233" s="840"/>
      <c r="T233" s="840"/>
      <c r="U233" s="679">
        <f t="shared" si="13"/>
        <v>3360</v>
      </c>
    </row>
    <row r="234" spans="1:21" ht="18" customHeight="1">
      <c r="A234" s="525" t="s">
        <v>756</v>
      </c>
      <c r="B234" s="839"/>
      <c r="C234" s="839"/>
      <c r="D234" s="839">
        <v>7280</v>
      </c>
      <c r="E234" s="839">
        <v>1222</v>
      </c>
      <c r="F234" s="839">
        <v>178</v>
      </c>
      <c r="G234" s="839"/>
      <c r="H234" s="839"/>
      <c r="I234" s="839"/>
      <c r="J234" s="839"/>
      <c r="K234" s="839"/>
      <c r="L234" s="839"/>
      <c r="M234" s="839"/>
      <c r="N234" s="839"/>
      <c r="O234" s="839"/>
      <c r="P234" s="839"/>
      <c r="Q234" s="839"/>
      <c r="R234" s="839"/>
      <c r="S234" s="840"/>
      <c r="T234" s="840"/>
      <c r="U234" s="679">
        <f t="shared" si="13"/>
        <v>8680</v>
      </c>
    </row>
    <row r="235" spans="1:21" ht="18" customHeight="1">
      <c r="A235" s="525" t="s">
        <v>504</v>
      </c>
      <c r="B235" s="839"/>
      <c r="C235" s="839"/>
      <c r="D235" s="839">
        <v>10741</v>
      </c>
      <c r="E235" s="839">
        <v>1876</v>
      </c>
      <c r="F235" s="839">
        <v>263</v>
      </c>
      <c r="G235" s="839"/>
      <c r="H235" s="839"/>
      <c r="I235" s="839"/>
      <c r="J235" s="839"/>
      <c r="K235" s="839"/>
      <c r="L235" s="839"/>
      <c r="M235" s="839"/>
      <c r="N235" s="839"/>
      <c r="O235" s="839"/>
      <c r="P235" s="839"/>
      <c r="Q235" s="839"/>
      <c r="R235" s="839"/>
      <c r="S235" s="840"/>
      <c r="T235" s="840"/>
      <c r="U235" s="679">
        <f t="shared" si="13"/>
        <v>12880</v>
      </c>
    </row>
    <row r="236" spans="1:21" ht="18" customHeight="1">
      <c r="A236" s="525" t="s">
        <v>757</v>
      </c>
      <c r="B236" s="839"/>
      <c r="C236" s="839"/>
      <c r="D236" s="839">
        <v>3272</v>
      </c>
      <c r="E236" s="839">
        <v>568</v>
      </c>
      <c r="F236" s="839">
        <v>80</v>
      </c>
      <c r="G236" s="839"/>
      <c r="H236" s="839"/>
      <c r="I236" s="839"/>
      <c r="J236" s="839"/>
      <c r="K236" s="839"/>
      <c r="L236" s="839"/>
      <c r="M236" s="839"/>
      <c r="N236" s="839"/>
      <c r="O236" s="839"/>
      <c r="P236" s="839"/>
      <c r="Q236" s="839"/>
      <c r="R236" s="839"/>
      <c r="S236" s="840"/>
      <c r="T236" s="840"/>
      <c r="U236" s="679">
        <f t="shared" si="13"/>
        <v>3920</v>
      </c>
    </row>
    <row r="237" spans="1:21" ht="18" customHeight="1">
      <c r="A237" s="525" t="s">
        <v>434</v>
      </c>
      <c r="B237" s="839"/>
      <c r="C237" s="839"/>
      <c r="D237" s="839">
        <v>3284</v>
      </c>
      <c r="E237" s="839">
        <v>555</v>
      </c>
      <c r="F237" s="839">
        <v>81</v>
      </c>
      <c r="G237" s="839"/>
      <c r="H237" s="839"/>
      <c r="I237" s="839"/>
      <c r="J237" s="839"/>
      <c r="K237" s="839"/>
      <c r="L237" s="839"/>
      <c r="M237" s="839"/>
      <c r="N237" s="839"/>
      <c r="O237" s="839"/>
      <c r="P237" s="839"/>
      <c r="Q237" s="839"/>
      <c r="R237" s="839"/>
      <c r="S237" s="840"/>
      <c r="T237" s="840"/>
      <c r="U237" s="679">
        <f t="shared" si="13"/>
        <v>3920</v>
      </c>
    </row>
    <row r="238" spans="1:21" ht="18" customHeight="1">
      <c r="A238" s="525" t="s">
        <v>506</v>
      </c>
      <c r="B238" s="700"/>
      <c r="C238" s="700"/>
      <c r="D238" s="700">
        <v>5137</v>
      </c>
      <c r="E238" s="700">
        <v>897</v>
      </c>
      <c r="F238" s="700">
        <v>126</v>
      </c>
      <c r="G238" s="700"/>
      <c r="H238" s="700"/>
      <c r="I238" s="700"/>
      <c r="J238" s="700"/>
      <c r="K238" s="700"/>
      <c r="L238" s="700"/>
      <c r="M238" s="700"/>
      <c r="N238" s="700"/>
      <c r="O238" s="700"/>
      <c r="P238" s="700"/>
      <c r="Q238" s="700"/>
      <c r="R238" s="700"/>
      <c r="S238" s="701"/>
      <c r="T238" s="701"/>
      <c r="U238" s="679">
        <f t="shared" si="13"/>
        <v>6160</v>
      </c>
    </row>
    <row r="239" spans="1:21" ht="18" customHeight="1">
      <c r="A239" s="626" t="s">
        <v>45</v>
      </c>
      <c r="B239" s="839"/>
      <c r="C239" s="839"/>
      <c r="D239" s="839">
        <v>4670</v>
      </c>
      <c r="E239" s="839">
        <v>815</v>
      </c>
      <c r="F239" s="839">
        <v>115</v>
      </c>
      <c r="G239" s="839"/>
      <c r="H239" s="839"/>
      <c r="I239" s="839"/>
      <c r="J239" s="839"/>
      <c r="K239" s="839"/>
      <c r="L239" s="839"/>
      <c r="M239" s="839"/>
      <c r="N239" s="839"/>
      <c r="O239" s="839"/>
      <c r="P239" s="839"/>
      <c r="Q239" s="839"/>
      <c r="R239" s="839"/>
      <c r="S239" s="840"/>
      <c r="T239" s="840"/>
      <c r="U239" s="679">
        <f t="shared" si="13"/>
        <v>5600</v>
      </c>
    </row>
    <row r="240" spans="1:21" ht="18" customHeight="1">
      <c r="A240" s="626" t="s">
        <v>48</v>
      </c>
      <c r="B240" s="839"/>
      <c r="C240" s="839"/>
      <c r="D240" s="839">
        <v>4673</v>
      </c>
      <c r="E240" s="839">
        <v>812</v>
      </c>
      <c r="F240" s="839">
        <v>115</v>
      </c>
      <c r="G240" s="839"/>
      <c r="H240" s="839"/>
      <c r="I240" s="839"/>
      <c r="J240" s="839"/>
      <c r="K240" s="839"/>
      <c r="L240" s="839"/>
      <c r="M240" s="839"/>
      <c r="N240" s="839"/>
      <c r="O240" s="839"/>
      <c r="P240" s="839"/>
      <c r="Q240" s="839"/>
      <c r="R240" s="839"/>
      <c r="S240" s="840"/>
      <c r="T240" s="840"/>
      <c r="U240" s="679">
        <f t="shared" si="13"/>
        <v>5600</v>
      </c>
    </row>
    <row r="241" spans="1:21" ht="18" customHeight="1">
      <c r="A241" s="626" t="s">
        <v>507</v>
      </c>
      <c r="B241" s="839"/>
      <c r="C241" s="839"/>
      <c r="D241" s="839">
        <v>3275</v>
      </c>
      <c r="E241" s="839">
        <v>564</v>
      </c>
      <c r="F241" s="839">
        <v>81</v>
      </c>
      <c r="G241" s="839"/>
      <c r="H241" s="839"/>
      <c r="I241" s="839"/>
      <c r="J241" s="839"/>
      <c r="K241" s="839"/>
      <c r="L241" s="839"/>
      <c r="M241" s="839"/>
      <c r="N241" s="839"/>
      <c r="O241" s="839"/>
      <c r="P241" s="839"/>
      <c r="Q241" s="839"/>
      <c r="R241" s="839"/>
      <c r="S241" s="840"/>
      <c r="T241" s="840"/>
      <c r="U241" s="679">
        <f t="shared" si="13"/>
        <v>3920</v>
      </c>
    </row>
    <row r="242" spans="1:21" ht="25.5">
      <c r="A242" s="531" t="s">
        <v>760</v>
      </c>
      <c r="B242" s="839"/>
      <c r="C242" s="839"/>
      <c r="D242" s="839">
        <v>5837</v>
      </c>
      <c r="E242" s="839">
        <v>1020</v>
      </c>
      <c r="F242" s="839">
        <v>143</v>
      </c>
      <c r="G242" s="839"/>
      <c r="H242" s="839"/>
      <c r="I242" s="839"/>
      <c r="J242" s="839"/>
      <c r="K242" s="839"/>
      <c r="L242" s="839"/>
      <c r="M242" s="839"/>
      <c r="N242" s="839"/>
      <c r="O242" s="839"/>
      <c r="P242" s="839"/>
      <c r="Q242" s="839"/>
      <c r="R242" s="839"/>
      <c r="S242" s="840"/>
      <c r="T242" s="840"/>
      <c r="U242" s="679">
        <f t="shared" si="13"/>
        <v>7000</v>
      </c>
    </row>
    <row r="243" spans="1:21" ht="25.5">
      <c r="A243" s="531" t="s">
        <v>221</v>
      </c>
      <c r="B243" s="839"/>
      <c r="C243" s="839"/>
      <c r="D243" s="839">
        <v>5141</v>
      </c>
      <c r="E243" s="839">
        <v>893</v>
      </c>
      <c r="F243" s="839">
        <v>126</v>
      </c>
      <c r="G243" s="839"/>
      <c r="H243" s="839"/>
      <c r="I243" s="839"/>
      <c r="J243" s="839"/>
      <c r="K243" s="839"/>
      <c r="L243" s="839"/>
      <c r="M243" s="839"/>
      <c r="N243" s="839"/>
      <c r="O243" s="839"/>
      <c r="P243" s="839"/>
      <c r="Q243" s="839"/>
      <c r="R243" s="839"/>
      <c r="S243" s="840"/>
      <c r="T243" s="840"/>
      <c r="U243" s="679">
        <f t="shared" si="13"/>
        <v>6160</v>
      </c>
    </row>
    <row r="244" spans="1:21" ht="25.5">
      <c r="A244" s="626" t="s">
        <v>759</v>
      </c>
      <c r="B244" s="839"/>
      <c r="C244" s="839"/>
      <c r="D244" s="839">
        <v>5634</v>
      </c>
      <c r="E244" s="839">
        <v>948</v>
      </c>
      <c r="F244" s="839">
        <v>138</v>
      </c>
      <c r="G244" s="839"/>
      <c r="H244" s="839"/>
      <c r="I244" s="839"/>
      <c r="J244" s="839"/>
      <c r="K244" s="839"/>
      <c r="L244" s="839"/>
      <c r="M244" s="839"/>
      <c r="N244" s="839"/>
      <c r="O244" s="839"/>
      <c r="P244" s="839"/>
      <c r="Q244" s="839"/>
      <c r="R244" s="839"/>
      <c r="S244" s="840"/>
      <c r="T244" s="840"/>
      <c r="U244" s="679">
        <f t="shared" si="13"/>
        <v>6720</v>
      </c>
    </row>
    <row r="245" spans="1:21" ht="25.5">
      <c r="A245" s="838" t="s">
        <v>676</v>
      </c>
      <c r="B245" s="839"/>
      <c r="C245" s="839"/>
      <c r="D245" s="839">
        <v>4203</v>
      </c>
      <c r="E245" s="839">
        <v>734</v>
      </c>
      <c r="F245" s="839">
        <v>103</v>
      </c>
      <c r="G245" s="839"/>
      <c r="H245" s="839"/>
      <c r="I245" s="839"/>
      <c r="J245" s="839"/>
      <c r="K245" s="839"/>
      <c r="L245" s="839"/>
      <c r="M245" s="839"/>
      <c r="N245" s="839"/>
      <c r="O245" s="839"/>
      <c r="P245" s="839"/>
      <c r="Q245" s="839"/>
      <c r="R245" s="839"/>
      <c r="S245" s="840"/>
      <c r="T245" s="840"/>
      <c r="U245" s="679">
        <f t="shared" si="13"/>
        <v>5040</v>
      </c>
    </row>
    <row r="246" spans="1:21" ht="25.5">
      <c r="A246" s="626" t="s">
        <v>55</v>
      </c>
      <c r="B246" s="839"/>
      <c r="C246" s="839"/>
      <c r="D246" s="839">
        <v>2336</v>
      </c>
      <c r="E246" s="839">
        <v>406</v>
      </c>
      <c r="F246" s="839">
        <v>58</v>
      </c>
      <c r="G246" s="839"/>
      <c r="H246" s="839"/>
      <c r="I246" s="839"/>
      <c r="J246" s="839"/>
      <c r="K246" s="839"/>
      <c r="L246" s="839"/>
      <c r="M246" s="839"/>
      <c r="N246" s="839"/>
      <c r="O246" s="839"/>
      <c r="P246" s="839"/>
      <c r="Q246" s="839"/>
      <c r="R246" s="839"/>
      <c r="S246" s="840"/>
      <c r="T246" s="840"/>
      <c r="U246" s="679">
        <f t="shared" si="13"/>
        <v>2800</v>
      </c>
    </row>
    <row r="247" spans="1:21" ht="18" customHeight="1">
      <c r="A247" s="531" t="s">
        <v>49</v>
      </c>
      <c r="B247" s="700"/>
      <c r="C247" s="700"/>
      <c r="D247" s="700">
        <v>3735</v>
      </c>
      <c r="E247" s="700">
        <v>653</v>
      </c>
      <c r="F247" s="700">
        <v>92</v>
      </c>
      <c r="G247" s="700"/>
      <c r="H247" s="700"/>
      <c r="I247" s="700"/>
      <c r="J247" s="700"/>
      <c r="K247" s="700"/>
      <c r="L247" s="700"/>
      <c r="M247" s="700"/>
      <c r="N247" s="700"/>
      <c r="O247" s="700"/>
      <c r="P247" s="700"/>
      <c r="Q247" s="700"/>
      <c r="R247" s="700"/>
      <c r="S247" s="701"/>
      <c r="T247" s="701"/>
      <c r="U247" s="679">
        <f t="shared" si="13"/>
        <v>4480</v>
      </c>
    </row>
    <row r="248" spans="1:21" ht="18" customHeight="1">
      <c r="A248" s="531" t="s">
        <v>50</v>
      </c>
      <c r="B248" s="839"/>
      <c r="C248" s="839"/>
      <c r="D248" s="839">
        <v>1792</v>
      </c>
      <c r="E248" s="839">
        <v>391</v>
      </c>
      <c r="F248" s="839">
        <v>57</v>
      </c>
      <c r="G248" s="839"/>
      <c r="H248" s="839"/>
      <c r="I248" s="839"/>
      <c r="J248" s="839"/>
      <c r="K248" s="839"/>
      <c r="L248" s="839"/>
      <c r="M248" s="839"/>
      <c r="N248" s="839"/>
      <c r="O248" s="839"/>
      <c r="P248" s="839"/>
      <c r="Q248" s="839"/>
      <c r="R248" s="839"/>
      <c r="S248" s="840"/>
      <c r="T248" s="840"/>
      <c r="U248" s="679">
        <f t="shared" si="13"/>
        <v>2240</v>
      </c>
    </row>
    <row r="249" spans="1:21" ht="18" customHeight="1">
      <c r="A249" s="531" t="s">
        <v>51</v>
      </c>
      <c r="B249" s="839"/>
      <c r="C249" s="839"/>
      <c r="D249" s="839">
        <v>4679</v>
      </c>
      <c r="E249" s="839">
        <v>806</v>
      </c>
      <c r="F249" s="839">
        <v>115</v>
      </c>
      <c r="G249" s="839"/>
      <c r="H249" s="839"/>
      <c r="I249" s="839"/>
      <c r="J249" s="839"/>
      <c r="K249" s="839"/>
      <c r="L249" s="839"/>
      <c r="M249" s="839"/>
      <c r="N249" s="839"/>
      <c r="O249" s="839"/>
      <c r="P249" s="839"/>
      <c r="Q249" s="839"/>
      <c r="R249" s="839"/>
      <c r="S249" s="840"/>
      <c r="T249" s="840"/>
      <c r="U249" s="679">
        <f t="shared" si="13"/>
        <v>5600</v>
      </c>
    </row>
    <row r="250" spans="1:21" ht="18" customHeight="1">
      <c r="A250" s="626" t="s">
        <v>508</v>
      </c>
      <c r="B250" s="700"/>
      <c r="C250" s="700"/>
      <c r="D250" s="700">
        <v>1167</v>
      </c>
      <c r="E250" s="700">
        <v>204</v>
      </c>
      <c r="F250" s="700">
        <v>29</v>
      </c>
      <c r="G250" s="700"/>
      <c r="H250" s="700"/>
      <c r="I250" s="700"/>
      <c r="J250" s="700"/>
      <c r="K250" s="700"/>
      <c r="L250" s="700"/>
      <c r="M250" s="700"/>
      <c r="N250" s="700"/>
      <c r="O250" s="700"/>
      <c r="P250" s="700"/>
      <c r="Q250" s="700"/>
      <c r="R250" s="700"/>
      <c r="S250" s="701"/>
      <c r="T250" s="700"/>
      <c r="U250" s="679">
        <f t="shared" si="13"/>
        <v>1400</v>
      </c>
    </row>
    <row r="251" ht="12.75">
      <c r="A251" s="630"/>
    </row>
    <row r="252" ht="12.75">
      <c r="A252" s="630"/>
    </row>
    <row r="253" ht="12.75">
      <c r="A253" s="630"/>
    </row>
    <row r="254" ht="12.75">
      <c r="A254" s="630"/>
    </row>
    <row r="255" ht="12.75">
      <c r="A255" s="630"/>
    </row>
    <row r="256" spans="1:3" ht="14.25">
      <c r="A256" s="1475" t="s">
        <v>117</v>
      </c>
      <c r="B256" s="1478"/>
      <c r="C256" s="1478" t="s">
        <v>118</v>
      </c>
    </row>
    <row r="257" spans="1:3" ht="14.25">
      <c r="A257" s="1475" t="s">
        <v>119</v>
      </c>
      <c r="B257" s="1477"/>
      <c r="C257" s="1477" t="s">
        <v>120</v>
      </c>
    </row>
    <row r="258" spans="1:3" ht="14.25">
      <c r="A258" s="1476"/>
      <c r="B258" s="1477"/>
      <c r="C258" s="1477" t="s">
        <v>121</v>
      </c>
    </row>
    <row r="259" ht="12.75">
      <c r="A259" s="630"/>
    </row>
    <row r="260" ht="12.75">
      <c r="A260" s="630"/>
    </row>
    <row r="261" ht="12.75">
      <c r="A261" s="630"/>
    </row>
    <row r="262" ht="12.75">
      <c r="A262" s="630"/>
    </row>
    <row r="263" ht="12.75">
      <c r="A263" s="630"/>
    </row>
    <row r="264" ht="12.75">
      <c r="A264" s="630"/>
    </row>
    <row r="265" ht="12.75">
      <c r="A265" s="630"/>
    </row>
    <row r="266" ht="12.75">
      <c r="A266" s="630"/>
    </row>
    <row r="267" ht="12.75">
      <c r="A267" s="630"/>
    </row>
    <row r="268" ht="12.75">
      <c r="A268" s="630"/>
    </row>
    <row r="269" ht="12.75">
      <c r="A269" s="630"/>
    </row>
    <row r="270" ht="12.75">
      <c r="A270" s="630"/>
    </row>
    <row r="271" ht="12.75">
      <c r="A271" s="630"/>
    </row>
    <row r="272" ht="12.75">
      <c r="A272" s="630"/>
    </row>
    <row r="273" ht="12.75">
      <c r="A273" s="630"/>
    </row>
    <row r="274" ht="12.75">
      <c r="A274" s="630"/>
    </row>
    <row r="275" ht="12.75">
      <c r="A275" s="630"/>
    </row>
    <row r="276" ht="12.75">
      <c r="A276" s="630"/>
    </row>
    <row r="277" ht="12.75">
      <c r="A277" s="630"/>
    </row>
    <row r="278" ht="12.75">
      <c r="A278" s="630"/>
    </row>
    <row r="279" ht="12.75">
      <c r="A279" s="630"/>
    </row>
    <row r="280" ht="12.75">
      <c r="A280" s="630"/>
    </row>
    <row r="281" ht="12.75">
      <c r="A281" s="630"/>
    </row>
    <row r="282" ht="12.75">
      <c r="A282" s="630"/>
    </row>
    <row r="283" ht="12.75">
      <c r="A283" s="630"/>
    </row>
    <row r="284" ht="12.75">
      <c r="A284" s="630"/>
    </row>
    <row r="285" ht="12.75">
      <c r="A285" s="630"/>
    </row>
    <row r="286" ht="12.75">
      <c r="A286" s="630"/>
    </row>
    <row r="287" ht="12.75">
      <c r="A287" s="630"/>
    </row>
    <row r="288" ht="12.75">
      <c r="A288" s="630"/>
    </row>
    <row r="289" ht="12.75">
      <c r="A289" s="630"/>
    </row>
    <row r="290" ht="12.75">
      <c r="A290" s="630"/>
    </row>
    <row r="291" ht="12.75">
      <c r="A291" s="630"/>
    </row>
    <row r="292" ht="12.75">
      <c r="A292" s="630"/>
    </row>
    <row r="293" ht="12.75">
      <c r="A293" s="630"/>
    </row>
    <row r="294" ht="12.75">
      <c r="A294" s="630"/>
    </row>
    <row r="295" ht="12.75">
      <c r="A295" s="630"/>
    </row>
    <row r="296" ht="12.75">
      <c r="A296" s="630"/>
    </row>
    <row r="297" ht="12.75">
      <c r="A297" s="630"/>
    </row>
    <row r="298" ht="12.75">
      <c r="A298" s="630"/>
    </row>
    <row r="299" ht="12.75">
      <c r="A299" s="630"/>
    </row>
    <row r="300" ht="12.75">
      <c r="A300" s="630"/>
    </row>
    <row r="301" ht="12.75">
      <c r="A301" s="630"/>
    </row>
    <row r="302" ht="12.75">
      <c r="A302" s="630"/>
    </row>
    <row r="303" ht="12.75">
      <c r="A303" s="630"/>
    </row>
    <row r="304" ht="12.75">
      <c r="A304" s="630"/>
    </row>
    <row r="305" ht="12.75">
      <c r="A305" s="630"/>
    </row>
    <row r="306" ht="12.75">
      <c r="A306" s="630"/>
    </row>
    <row r="307" ht="12.75">
      <c r="A307" s="630"/>
    </row>
    <row r="308" ht="12.75">
      <c r="A308" s="630"/>
    </row>
    <row r="309" ht="12.75">
      <c r="A309" s="630"/>
    </row>
    <row r="310" ht="12.75">
      <c r="A310" s="630"/>
    </row>
    <row r="311" ht="12.75">
      <c r="A311" s="630"/>
    </row>
    <row r="312" ht="12.75">
      <c r="A312" s="630"/>
    </row>
    <row r="313" ht="12.75">
      <c r="A313" s="630"/>
    </row>
    <row r="314" ht="12.75">
      <c r="A314" s="630"/>
    </row>
    <row r="315" ht="12.75">
      <c r="A315" s="630"/>
    </row>
    <row r="316" ht="12.75">
      <c r="A316" s="630"/>
    </row>
    <row r="317" ht="12.75">
      <c r="A317" s="630"/>
    </row>
    <row r="318" ht="12.75">
      <c r="A318" s="630"/>
    </row>
    <row r="319" ht="12.75">
      <c r="A319" s="630"/>
    </row>
  </sheetData>
  <mergeCells count="1">
    <mergeCell ref="B3:D3"/>
  </mergeCells>
  <printOptions/>
  <pageMargins left="0.3937007874015748" right="0.3937007874015748" top="0.9055118110236221" bottom="0.7086614173228347" header="0.5118110236220472" footer="0.5118110236220472"/>
  <pageSetup firstPageNumber="61" useFirstPageNumber="1" horizontalDpi="600" verticalDpi="600" orientation="landscape" paperSize="9" scale="57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5"/>
  <dimension ref="A1:Z43"/>
  <sheetViews>
    <sheetView zoomScale="70" zoomScaleNormal="70" zoomScaleSheetLayoutView="75" workbookViewId="0" topLeftCell="A1">
      <selection activeCell="D10" sqref="D10:D11"/>
    </sheetView>
  </sheetViews>
  <sheetFormatPr defaultColWidth="9.00390625" defaultRowHeight="12.75"/>
  <cols>
    <col min="1" max="1" width="5.75390625" style="275" customWidth="1"/>
    <col min="2" max="2" width="8.25390625" style="275" customWidth="1"/>
    <col min="3" max="3" width="47.875" style="46" customWidth="1"/>
    <col min="4" max="4" width="18.75390625" style="1" customWidth="1"/>
    <col min="5" max="12" width="13.75390625" style="1" customWidth="1"/>
    <col min="13" max="16" width="13.75390625" style="2" customWidth="1"/>
    <col min="17" max="17" width="22.75390625" style="1" customWidth="1"/>
    <col min="18" max="18" width="13.875" style="1" customWidth="1"/>
    <col min="19" max="16384" width="9.125" style="1" customWidth="1"/>
  </cols>
  <sheetData>
    <row r="1" spans="14:15" ht="15">
      <c r="N1" s="1" t="s">
        <v>195</v>
      </c>
      <c r="O1" s="1"/>
    </row>
    <row r="2" spans="2:15" ht="15" customHeight="1">
      <c r="B2" s="276"/>
      <c r="N2" s="1" t="s">
        <v>308</v>
      </c>
      <c r="O2" s="1"/>
    </row>
    <row r="3" spans="3:15" ht="15.75">
      <c r="C3" s="277" t="s">
        <v>85</v>
      </c>
      <c r="N3" s="1" t="s">
        <v>523</v>
      </c>
      <c r="O3" s="1"/>
    </row>
    <row r="4" spans="14:15" ht="14.25" customHeight="1">
      <c r="N4" s="1" t="s">
        <v>446</v>
      </c>
      <c r="O4" s="1"/>
    </row>
    <row r="5" spans="3:12" ht="6" customHeight="1">
      <c r="C5" s="278"/>
      <c r="D5" s="2"/>
      <c r="E5" s="2"/>
      <c r="F5" s="2"/>
      <c r="G5" s="2"/>
      <c r="H5" s="2"/>
      <c r="I5" s="2"/>
      <c r="J5" s="2"/>
      <c r="K5" s="2"/>
      <c r="L5" s="2"/>
    </row>
    <row r="6" spans="3:16" ht="20.25" customHeight="1" thickBot="1">
      <c r="C6" s="278"/>
      <c r="D6" s="2"/>
      <c r="E6" s="2"/>
      <c r="F6" s="2"/>
      <c r="G6" s="2"/>
      <c r="H6" s="2"/>
      <c r="I6" s="2"/>
      <c r="J6" s="2"/>
      <c r="K6" s="2"/>
      <c r="L6" s="2"/>
      <c r="M6" s="279"/>
      <c r="N6" s="279"/>
      <c r="O6" s="279"/>
      <c r="P6" s="280" t="s">
        <v>524</v>
      </c>
    </row>
    <row r="7" spans="1:16" ht="18" customHeight="1" thickTop="1">
      <c r="A7" s="281"/>
      <c r="B7" s="281"/>
      <c r="C7" s="282" t="s">
        <v>525</v>
      </c>
      <c r="D7" s="282" t="s">
        <v>86</v>
      </c>
      <c r="E7" s="1466" t="s">
        <v>527</v>
      </c>
      <c r="F7" s="1467"/>
      <c r="G7" s="1467"/>
      <c r="H7" s="1467"/>
      <c r="I7" s="1467"/>
      <c r="J7" s="1467"/>
      <c r="K7" s="1467"/>
      <c r="L7" s="1467"/>
      <c r="M7" s="1467"/>
      <c r="N7" s="1467"/>
      <c r="O7" s="1467"/>
      <c r="P7" s="1468"/>
    </row>
    <row r="8" spans="1:16" ht="26.25" customHeight="1" thickBot="1">
      <c r="A8" s="283" t="s">
        <v>528</v>
      </c>
      <c r="B8" s="284" t="s">
        <v>87</v>
      </c>
      <c r="C8" s="285" t="s">
        <v>88</v>
      </c>
      <c r="D8" s="285" t="s">
        <v>531</v>
      </c>
      <c r="E8" s="285" t="s">
        <v>532</v>
      </c>
      <c r="F8" s="285" t="s">
        <v>533</v>
      </c>
      <c r="G8" s="285" t="s">
        <v>534</v>
      </c>
      <c r="H8" s="285" t="s">
        <v>535</v>
      </c>
      <c r="I8" s="285" t="s">
        <v>536</v>
      </c>
      <c r="J8" s="285" t="s">
        <v>537</v>
      </c>
      <c r="K8" s="285" t="s">
        <v>538</v>
      </c>
      <c r="L8" s="285" t="s">
        <v>539</v>
      </c>
      <c r="M8" s="286" t="s">
        <v>540</v>
      </c>
      <c r="N8" s="286" t="s">
        <v>541</v>
      </c>
      <c r="O8" s="286" t="s">
        <v>542</v>
      </c>
      <c r="P8" s="286" t="s">
        <v>543</v>
      </c>
    </row>
    <row r="9" spans="1:22" s="22" customFormat="1" ht="14.25" thickBot="1" thickTop="1">
      <c r="A9" s="287">
        <v>1</v>
      </c>
      <c r="B9" s="287">
        <v>2</v>
      </c>
      <c r="C9" s="288">
        <v>3</v>
      </c>
      <c r="D9" s="289">
        <v>4</v>
      </c>
      <c r="E9" s="289">
        <v>5</v>
      </c>
      <c r="F9" s="289">
        <v>6</v>
      </c>
      <c r="G9" s="289">
        <v>7</v>
      </c>
      <c r="H9" s="289">
        <v>8</v>
      </c>
      <c r="I9" s="289">
        <v>9</v>
      </c>
      <c r="J9" s="289">
        <v>10</v>
      </c>
      <c r="K9" s="289">
        <v>11</v>
      </c>
      <c r="L9" s="289">
        <v>12</v>
      </c>
      <c r="M9" s="289">
        <v>13</v>
      </c>
      <c r="N9" s="289">
        <v>14</v>
      </c>
      <c r="O9" s="289">
        <v>15</v>
      </c>
      <c r="P9" s="289">
        <v>16</v>
      </c>
      <c r="Q9" s="33"/>
      <c r="R9" s="33"/>
      <c r="S9" s="33"/>
      <c r="T9" s="33"/>
      <c r="U9" s="33"/>
      <c r="V9" s="33"/>
    </row>
    <row r="10" spans="1:26" s="276" customFormat="1" ht="30.75" customHeight="1" thickBot="1" thickTop="1">
      <c r="A10" s="290"/>
      <c r="B10" s="291"/>
      <c r="C10" s="292" t="s">
        <v>89</v>
      </c>
      <c r="D10" s="293">
        <f>SUM(E10:P10)</f>
        <v>829070</v>
      </c>
      <c r="E10" s="294"/>
      <c r="F10" s="294"/>
      <c r="G10" s="294"/>
      <c r="H10" s="294"/>
      <c r="I10" s="294"/>
      <c r="J10" s="294"/>
      <c r="K10" s="294"/>
      <c r="L10" s="294">
        <f aca="true" t="shared" si="0" ref="L10:P11">L11</f>
        <v>-40256</v>
      </c>
      <c r="M10" s="294">
        <f t="shared" si="0"/>
        <v>23404</v>
      </c>
      <c r="N10" s="294">
        <f t="shared" si="0"/>
        <v>65652</v>
      </c>
      <c r="O10" s="294">
        <f t="shared" si="0"/>
        <v>-189000</v>
      </c>
      <c r="P10" s="294">
        <f t="shared" si="0"/>
        <v>969270</v>
      </c>
      <c r="Q10" s="295">
        <f>D10-'doch Pr'!F8</f>
        <v>0</v>
      </c>
      <c r="R10" s="296"/>
      <c r="S10" s="296"/>
      <c r="T10" s="296"/>
      <c r="U10" s="296"/>
      <c r="V10" s="296"/>
      <c r="W10" s="297"/>
      <c r="X10" s="297"/>
      <c r="Y10" s="297"/>
      <c r="Z10" s="297"/>
    </row>
    <row r="11" spans="1:26" s="302" customFormat="1" ht="24" customHeight="1" thickBot="1" thickTop="1">
      <c r="A11" s="298"/>
      <c r="B11" s="298"/>
      <c r="C11" s="299" t="s">
        <v>546</v>
      </c>
      <c r="D11" s="293">
        <f aca="true" t="shared" si="1" ref="D11:D28">SUM(E11:P11)</f>
        <v>829070</v>
      </c>
      <c r="E11" s="293"/>
      <c r="F11" s="293"/>
      <c r="G11" s="293"/>
      <c r="H11" s="293"/>
      <c r="I11" s="293"/>
      <c r="J11" s="293"/>
      <c r="K11" s="293"/>
      <c r="L11" s="293">
        <f t="shared" si="0"/>
        <v>-40256</v>
      </c>
      <c r="M11" s="293">
        <f t="shared" si="0"/>
        <v>23404</v>
      </c>
      <c r="N11" s="293">
        <f t="shared" si="0"/>
        <v>65652</v>
      </c>
      <c r="O11" s="293">
        <f t="shared" si="0"/>
        <v>-189000</v>
      </c>
      <c r="P11" s="293">
        <f t="shared" si="0"/>
        <v>969270</v>
      </c>
      <c r="Q11" s="300"/>
      <c r="R11" s="301"/>
      <c r="S11" s="301"/>
      <c r="T11" s="301"/>
      <c r="U11" s="301"/>
      <c r="V11" s="301"/>
      <c r="W11" s="301"/>
      <c r="X11" s="301"/>
      <c r="Y11" s="301"/>
      <c r="Z11" s="301"/>
    </row>
    <row r="12" spans="1:16" ht="23.25" customHeight="1" thickTop="1">
      <c r="A12" s="303"/>
      <c r="B12" s="303"/>
      <c r="C12" s="304" t="s">
        <v>90</v>
      </c>
      <c r="D12" s="305">
        <f t="shared" si="1"/>
        <v>829070</v>
      </c>
      <c r="E12" s="305"/>
      <c r="F12" s="305"/>
      <c r="G12" s="305"/>
      <c r="H12" s="305"/>
      <c r="I12" s="305"/>
      <c r="J12" s="305"/>
      <c r="K12" s="305"/>
      <c r="L12" s="305">
        <f>L13+L23</f>
        <v>-40256</v>
      </c>
      <c r="M12" s="305">
        <f>M13+M23</f>
        <v>23404</v>
      </c>
      <c r="N12" s="305">
        <f>N13+N23</f>
        <v>65652</v>
      </c>
      <c r="O12" s="305">
        <f>O13+O23</f>
        <v>-189000</v>
      </c>
      <c r="P12" s="305">
        <f>P13+P23</f>
        <v>969270</v>
      </c>
    </row>
    <row r="13" spans="1:16" ht="25.5" customHeight="1">
      <c r="A13" s="303"/>
      <c r="B13" s="303"/>
      <c r="C13" s="306" t="s">
        <v>84</v>
      </c>
      <c r="D13" s="307">
        <f t="shared" si="1"/>
        <v>-636294</v>
      </c>
      <c r="E13" s="307"/>
      <c r="F13" s="307"/>
      <c r="G13" s="307"/>
      <c r="H13" s="307"/>
      <c r="I13" s="307"/>
      <c r="J13" s="307"/>
      <c r="K13" s="307"/>
      <c r="L13" s="307">
        <f>L14+L17</f>
        <v>-39300</v>
      </c>
      <c r="M13" s="307">
        <f>M14+M17</f>
        <v>857</v>
      </c>
      <c r="N13" s="307">
        <f>N14+N17</f>
        <v>2149</v>
      </c>
      <c r="O13" s="307">
        <f>O14+O17</f>
        <v>-300000</v>
      </c>
      <c r="P13" s="307">
        <f>P14+P17</f>
        <v>-300000</v>
      </c>
    </row>
    <row r="14" spans="1:16" s="48" customFormat="1" ht="39.75" customHeight="1" thickBot="1">
      <c r="A14" s="308"/>
      <c r="B14" s="308"/>
      <c r="C14" s="309" t="s">
        <v>78</v>
      </c>
      <c r="D14" s="310">
        <f t="shared" si="1"/>
        <v>857</v>
      </c>
      <c r="E14" s="310"/>
      <c r="F14" s="310"/>
      <c r="G14" s="310"/>
      <c r="H14" s="310"/>
      <c r="I14" s="310"/>
      <c r="J14" s="310"/>
      <c r="K14" s="310"/>
      <c r="L14" s="310"/>
      <c r="M14" s="310">
        <f>M15</f>
        <v>857</v>
      </c>
      <c r="N14" s="310"/>
      <c r="O14" s="310"/>
      <c r="P14" s="310"/>
    </row>
    <row r="15" spans="1:16" s="4" customFormat="1" ht="21.75" customHeight="1" thickTop="1">
      <c r="A15" s="311">
        <v>801</v>
      </c>
      <c r="B15" s="311"/>
      <c r="C15" s="312" t="s">
        <v>554</v>
      </c>
      <c r="D15" s="41">
        <f t="shared" si="1"/>
        <v>857</v>
      </c>
      <c r="E15" s="41"/>
      <c r="F15" s="41"/>
      <c r="G15" s="41"/>
      <c r="H15" s="41"/>
      <c r="I15" s="41"/>
      <c r="J15" s="41"/>
      <c r="K15" s="41"/>
      <c r="L15" s="41"/>
      <c r="M15" s="41">
        <f>M16</f>
        <v>857</v>
      </c>
      <c r="N15" s="41"/>
      <c r="O15" s="41"/>
      <c r="P15" s="41"/>
    </row>
    <row r="16" spans="1:16" s="313" customFormat="1" ht="22.5" customHeight="1">
      <c r="A16" s="427"/>
      <c r="B16" s="428">
        <v>80101</v>
      </c>
      <c r="C16" s="129" t="s">
        <v>60</v>
      </c>
      <c r="D16" s="43">
        <f>SUM(E16:P16)</f>
        <v>857</v>
      </c>
      <c r="E16" s="43"/>
      <c r="F16" s="43"/>
      <c r="G16" s="43"/>
      <c r="H16" s="43"/>
      <c r="I16" s="43"/>
      <c r="J16" s="43"/>
      <c r="K16" s="43"/>
      <c r="L16" s="43"/>
      <c r="M16" s="43">
        <v>857</v>
      </c>
      <c r="N16" s="43"/>
      <c r="O16" s="43"/>
      <c r="P16" s="43"/>
    </row>
    <row r="17" spans="1:16" s="48" customFormat="1" ht="51" customHeight="1" thickBot="1">
      <c r="A17" s="308"/>
      <c r="B17" s="308"/>
      <c r="C17" s="309" t="s">
        <v>71</v>
      </c>
      <c r="D17" s="310">
        <f t="shared" si="1"/>
        <v>-637151</v>
      </c>
      <c r="E17" s="310"/>
      <c r="F17" s="310"/>
      <c r="G17" s="310"/>
      <c r="H17" s="310"/>
      <c r="I17" s="310"/>
      <c r="J17" s="310"/>
      <c r="K17" s="310"/>
      <c r="L17" s="310">
        <f>L18+L20</f>
        <v>-39300</v>
      </c>
      <c r="M17" s="310"/>
      <c r="N17" s="310">
        <f>N18+N20</f>
        <v>2149</v>
      </c>
      <c r="O17" s="310">
        <f>O18+O20</f>
        <v>-300000</v>
      </c>
      <c r="P17" s="310">
        <f>P18+P20</f>
        <v>-300000</v>
      </c>
    </row>
    <row r="18" spans="1:16" s="4" customFormat="1" ht="21.75" customHeight="1" thickTop="1">
      <c r="A18" s="311">
        <v>851</v>
      </c>
      <c r="B18" s="311"/>
      <c r="C18" s="312" t="s">
        <v>557</v>
      </c>
      <c r="D18" s="41">
        <f t="shared" si="1"/>
        <v>2149</v>
      </c>
      <c r="E18" s="41"/>
      <c r="F18" s="41"/>
      <c r="G18" s="41"/>
      <c r="H18" s="41"/>
      <c r="I18" s="41"/>
      <c r="J18" s="41"/>
      <c r="K18" s="41"/>
      <c r="L18" s="41"/>
      <c r="M18" s="41"/>
      <c r="N18" s="41">
        <f>N19</f>
        <v>2149</v>
      </c>
      <c r="O18" s="41"/>
      <c r="P18" s="41"/>
    </row>
    <row r="19" spans="1:16" s="737" customFormat="1" ht="22.5" customHeight="1">
      <c r="A19" s="735"/>
      <c r="B19" s="735">
        <v>85195</v>
      </c>
      <c r="C19" s="736" t="s">
        <v>553</v>
      </c>
      <c r="D19" s="454">
        <f t="shared" si="1"/>
        <v>2149</v>
      </c>
      <c r="E19" s="454"/>
      <c r="F19" s="454"/>
      <c r="G19" s="454"/>
      <c r="H19" s="454"/>
      <c r="I19" s="454"/>
      <c r="J19" s="1120"/>
      <c r="K19" s="454"/>
      <c r="L19" s="454"/>
      <c r="M19" s="454"/>
      <c r="N19" s="454">
        <v>2149</v>
      </c>
      <c r="O19" s="454"/>
      <c r="P19" s="454"/>
    </row>
    <row r="20" spans="1:16" s="4" customFormat="1" ht="21.75" customHeight="1">
      <c r="A20" s="311">
        <v>852</v>
      </c>
      <c r="B20" s="311"/>
      <c r="C20" s="312" t="s">
        <v>555</v>
      </c>
      <c r="D20" s="41">
        <f t="shared" si="1"/>
        <v>-639300</v>
      </c>
      <c r="E20" s="41"/>
      <c r="F20" s="41"/>
      <c r="G20" s="41"/>
      <c r="H20" s="41"/>
      <c r="I20" s="41"/>
      <c r="J20" s="41"/>
      <c r="K20" s="41"/>
      <c r="L20" s="41">
        <f>L21+L22</f>
        <v>-39300</v>
      </c>
      <c r="M20" s="41"/>
      <c r="N20" s="41"/>
      <c r="O20" s="41">
        <f>O21+O22</f>
        <v>-300000</v>
      </c>
      <c r="P20" s="41">
        <f>P21+P22</f>
        <v>-300000</v>
      </c>
    </row>
    <row r="21" spans="1:16" s="313" customFormat="1" ht="45">
      <c r="A21" s="427"/>
      <c r="B21" s="428">
        <v>85212</v>
      </c>
      <c r="C21" s="129" t="s">
        <v>144</v>
      </c>
      <c r="D21" s="43">
        <f t="shared" si="1"/>
        <v>-600000</v>
      </c>
      <c r="E21" s="43"/>
      <c r="F21" s="43"/>
      <c r="G21" s="43"/>
      <c r="H21" s="43"/>
      <c r="I21" s="43"/>
      <c r="J21" s="677"/>
      <c r="K21" s="43"/>
      <c r="L21" s="43"/>
      <c r="M21" s="43"/>
      <c r="N21" s="43"/>
      <c r="O21" s="43">
        <v>-300000</v>
      </c>
      <c r="P21" s="43">
        <v>-300000</v>
      </c>
    </row>
    <row r="22" spans="1:16" s="737" customFormat="1" ht="30">
      <c r="A22" s="1119"/>
      <c r="B22" s="735">
        <v>85228</v>
      </c>
      <c r="C22" s="736" t="s">
        <v>142</v>
      </c>
      <c r="D22" s="43">
        <f t="shared" si="1"/>
        <v>-39300</v>
      </c>
      <c r="E22" s="454"/>
      <c r="F22" s="454"/>
      <c r="G22" s="454"/>
      <c r="H22" s="454"/>
      <c r="I22" s="454"/>
      <c r="J22" s="1120"/>
      <c r="K22" s="454"/>
      <c r="L22" s="454">
        <v>-39300</v>
      </c>
      <c r="M22" s="454"/>
      <c r="N22" s="454"/>
      <c r="O22" s="454"/>
      <c r="P22" s="454"/>
    </row>
    <row r="23" spans="1:16" ht="21.75" customHeight="1">
      <c r="A23" s="303"/>
      <c r="B23" s="303"/>
      <c r="C23" s="306" t="s">
        <v>210</v>
      </c>
      <c r="D23" s="307">
        <f aca="true" t="shared" si="2" ref="D23:D35">SUM(E23:P23)</f>
        <v>1465364</v>
      </c>
      <c r="E23" s="307"/>
      <c r="F23" s="307"/>
      <c r="G23" s="307"/>
      <c r="H23" s="307"/>
      <c r="I23" s="307"/>
      <c r="J23" s="307"/>
      <c r="K23" s="307"/>
      <c r="L23" s="307">
        <f>L28+L31+L24</f>
        <v>-956</v>
      </c>
      <c r="M23" s="307">
        <f>M28+M31+M24</f>
        <v>22547</v>
      </c>
      <c r="N23" s="307">
        <f>N28+N31+N24</f>
        <v>63503</v>
      </c>
      <c r="O23" s="307">
        <f>O28+O31+O24</f>
        <v>111000</v>
      </c>
      <c r="P23" s="307">
        <f>P28+P31+P24</f>
        <v>1269270</v>
      </c>
    </row>
    <row r="24" spans="1:16" s="48" customFormat="1" ht="39.75" customHeight="1" thickBot="1">
      <c r="A24" s="308"/>
      <c r="B24" s="308"/>
      <c r="C24" s="309" t="s">
        <v>78</v>
      </c>
      <c r="D24" s="310">
        <f t="shared" si="2"/>
        <v>1313270</v>
      </c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>
        <f>O25</f>
        <v>51000</v>
      </c>
      <c r="P24" s="310">
        <f>P25</f>
        <v>1262270</v>
      </c>
    </row>
    <row r="25" spans="1:16" s="4" customFormat="1" ht="21.75" customHeight="1" thickTop="1">
      <c r="A25" s="311">
        <v>852</v>
      </c>
      <c r="B25" s="311"/>
      <c r="C25" s="312" t="s">
        <v>555</v>
      </c>
      <c r="D25" s="41">
        <f t="shared" si="2"/>
        <v>1313270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>
        <f>SUM(O26:O27)</f>
        <v>51000</v>
      </c>
      <c r="P25" s="41">
        <f>SUM(P26:P27)</f>
        <v>1262270</v>
      </c>
    </row>
    <row r="26" spans="1:16" s="313" customFormat="1" ht="22.5" customHeight="1">
      <c r="A26" s="427"/>
      <c r="B26" s="428">
        <v>85201</v>
      </c>
      <c r="C26" s="129" t="s">
        <v>190</v>
      </c>
      <c r="D26" s="43">
        <f>SUM(E26:P26)</f>
        <v>795560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>
        <f>13500+37500</f>
        <v>51000</v>
      </c>
      <c r="P26" s="43">
        <f>26800+123750+96810+233200+264000</f>
        <v>744560</v>
      </c>
    </row>
    <row r="27" spans="1:16" s="313" customFormat="1" ht="22.5" customHeight="1">
      <c r="A27" s="1272"/>
      <c r="B27" s="428">
        <v>85202</v>
      </c>
      <c r="C27" s="129" t="s">
        <v>82</v>
      </c>
      <c r="D27" s="43">
        <f>SUM(E27:P27)</f>
        <v>517710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>
        <f>235150+134300+148260</f>
        <v>517710</v>
      </c>
    </row>
    <row r="28" spans="1:16" s="48" customFormat="1" ht="51" customHeight="1" thickBot="1">
      <c r="A28" s="308"/>
      <c r="B28" s="308"/>
      <c r="C28" s="309" t="s">
        <v>79</v>
      </c>
      <c r="D28" s="310">
        <f t="shared" si="1"/>
        <v>7000</v>
      </c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>
        <f>P29</f>
        <v>7000</v>
      </c>
    </row>
    <row r="29" spans="1:16" s="4" customFormat="1" ht="32.25" thickTop="1">
      <c r="A29" s="311">
        <v>754</v>
      </c>
      <c r="B29" s="311"/>
      <c r="C29" s="1096" t="s">
        <v>548</v>
      </c>
      <c r="D29" s="41">
        <f>SUM(E29:P29)</f>
        <v>7000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>
        <f>P30</f>
        <v>7000</v>
      </c>
    </row>
    <row r="30" spans="1:16" s="313" customFormat="1" ht="30">
      <c r="A30" s="427"/>
      <c r="B30" s="428">
        <v>75411</v>
      </c>
      <c r="C30" s="1095" t="s">
        <v>284</v>
      </c>
      <c r="D30" s="43">
        <f>SUM(E30:P30)</f>
        <v>7000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>
        <v>7000</v>
      </c>
    </row>
    <row r="31" spans="1:16" s="48" customFormat="1" ht="48" customHeight="1" thickBot="1">
      <c r="A31" s="308"/>
      <c r="B31" s="308"/>
      <c r="C31" s="309" t="s">
        <v>317</v>
      </c>
      <c r="D31" s="310">
        <f t="shared" si="2"/>
        <v>145094</v>
      </c>
      <c r="E31" s="310"/>
      <c r="F31" s="310"/>
      <c r="G31" s="310"/>
      <c r="H31" s="310"/>
      <c r="I31" s="310"/>
      <c r="J31" s="310"/>
      <c r="K31" s="310"/>
      <c r="L31" s="310">
        <f>L32+L34</f>
        <v>-956</v>
      </c>
      <c r="M31" s="310">
        <f>M32+M34</f>
        <v>22547</v>
      </c>
      <c r="N31" s="310">
        <f>N32+N34</f>
        <v>63503</v>
      </c>
      <c r="O31" s="310">
        <f>O32+O34</f>
        <v>60000</v>
      </c>
      <c r="P31" s="310"/>
    </row>
    <row r="32" spans="1:16" s="4" customFormat="1" ht="21.75" customHeight="1" thickTop="1">
      <c r="A32" s="311">
        <v>851</v>
      </c>
      <c r="B32" s="311"/>
      <c r="C32" s="312" t="s">
        <v>557</v>
      </c>
      <c r="D32" s="41">
        <f t="shared" si="2"/>
        <v>120000</v>
      </c>
      <c r="E32" s="41"/>
      <c r="F32" s="41"/>
      <c r="G32" s="41"/>
      <c r="H32" s="41"/>
      <c r="I32" s="41"/>
      <c r="J32" s="41"/>
      <c r="K32" s="41"/>
      <c r="L32" s="41"/>
      <c r="M32" s="41"/>
      <c r="N32" s="41">
        <f>N33</f>
        <v>60000</v>
      </c>
      <c r="O32" s="41">
        <f>O33</f>
        <v>60000</v>
      </c>
      <c r="P32" s="41"/>
    </row>
    <row r="33" spans="1:16" s="737" customFormat="1" ht="22.5" customHeight="1">
      <c r="A33" s="735"/>
      <c r="B33" s="735">
        <v>85141</v>
      </c>
      <c r="C33" s="736" t="s">
        <v>451</v>
      </c>
      <c r="D33" s="454">
        <f t="shared" si="2"/>
        <v>120000</v>
      </c>
      <c r="E33" s="454"/>
      <c r="F33" s="454"/>
      <c r="G33" s="454"/>
      <c r="H33" s="454"/>
      <c r="I33" s="454"/>
      <c r="J33" s="454"/>
      <c r="K33" s="454"/>
      <c r="L33" s="454"/>
      <c r="M33" s="454"/>
      <c r="N33" s="454">
        <v>60000</v>
      </c>
      <c r="O33" s="454">
        <v>60000</v>
      </c>
      <c r="P33" s="454"/>
    </row>
    <row r="34" spans="1:16" s="4" customFormat="1" ht="34.5" customHeight="1">
      <c r="A34" s="311">
        <v>853</v>
      </c>
      <c r="B34" s="311"/>
      <c r="C34" s="312" t="s">
        <v>598</v>
      </c>
      <c r="D34" s="41">
        <f t="shared" si="2"/>
        <v>25094</v>
      </c>
      <c r="E34" s="41"/>
      <c r="F34" s="41"/>
      <c r="G34" s="41"/>
      <c r="H34" s="41"/>
      <c r="I34" s="41"/>
      <c r="J34" s="41"/>
      <c r="K34" s="41"/>
      <c r="L34" s="41">
        <f>L35</f>
        <v>-956</v>
      </c>
      <c r="M34" s="41">
        <f>M35</f>
        <v>22547</v>
      </c>
      <c r="N34" s="41">
        <f>N35</f>
        <v>3503</v>
      </c>
      <c r="O34" s="41"/>
      <c r="P34" s="41"/>
    </row>
    <row r="35" spans="1:16" s="313" customFormat="1" ht="22.5" customHeight="1">
      <c r="A35" s="428"/>
      <c r="B35" s="428">
        <v>85334</v>
      </c>
      <c r="C35" s="129" t="s">
        <v>222</v>
      </c>
      <c r="D35" s="43">
        <f t="shared" si="2"/>
        <v>25094</v>
      </c>
      <c r="E35" s="43"/>
      <c r="F35" s="43"/>
      <c r="G35" s="43"/>
      <c r="H35" s="43"/>
      <c r="I35" s="43"/>
      <c r="J35" s="677"/>
      <c r="K35" s="43"/>
      <c r="L35" s="43">
        <v>-956</v>
      </c>
      <c r="M35" s="43">
        <v>22547</v>
      </c>
      <c r="N35" s="43">
        <v>3503</v>
      </c>
      <c r="O35" s="43"/>
      <c r="P35" s="43"/>
    </row>
    <row r="41" spans="3:4" ht="15">
      <c r="C41" s="1475" t="s">
        <v>117</v>
      </c>
      <c r="D41" s="1478" t="s">
        <v>118</v>
      </c>
    </row>
    <row r="42" spans="3:4" ht="15">
      <c r="C42" s="1475" t="s">
        <v>119</v>
      </c>
      <c r="D42" s="1477" t="s">
        <v>120</v>
      </c>
    </row>
    <row r="43" spans="3:4" ht="15">
      <c r="C43" s="1476"/>
      <c r="D43" s="1477" t="s">
        <v>121</v>
      </c>
    </row>
  </sheetData>
  <mergeCells count="1">
    <mergeCell ref="E7:P7"/>
  </mergeCells>
  <printOptions horizontalCentered="1"/>
  <pageMargins left="0.3937007874015748" right="0.3937007874015748" top="0.34" bottom="0.4724409448818898" header="0.19" footer="0.3937007874015748"/>
  <pageSetup firstPageNumber="68" useFirstPageNumber="1" horizontalDpi="300" verticalDpi="300" orientation="landscape" paperSize="9" scale="56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6"/>
  <dimension ref="A1:R507"/>
  <sheetViews>
    <sheetView zoomScale="68" zoomScaleNormal="68" zoomScaleSheetLayoutView="75" workbookViewId="0" topLeftCell="A8">
      <pane ySplit="1020" topLeftCell="BM1" activePane="bottomLeft" state="split"/>
      <selection pane="topLeft" activeCell="L8" sqref="L8"/>
      <selection pane="bottomLeft" activeCell="N2" sqref="N2"/>
    </sheetView>
  </sheetViews>
  <sheetFormatPr defaultColWidth="9.00390625" defaultRowHeight="12.75"/>
  <cols>
    <col min="1" max="1" width="6.25390625" style="1" customWidth="1"/>
    <col min="2" max="2" width="8.125" style="1" customWidth="1"/>
    <col min="3" max="3" width="47.875" style="1" customWidth="1"/>
    <col min="4" max="4" width="17.75390625" style="2" customWidth="1"/>
    <col min="5" max="16" width="14.375" style="2" customWidth="1"/>
    <col min="17" max="17" width="10.25390625" style="851" bestFit="1" customWidth="1"/>
    <col min="18" max="16384" width="9.125" style="1" customWidth="1"/>
  </cols>
  <sheetData>
    <row r="1" ht="19.5" customHeight="1">
      <c r="N1" s="2" t="s">
        <v>196</v>
      </c>
    </row>
    <row r="2" ht="19.5" customHeight="1">
      <c r="N2" s="1" t="s">
        <v>308</v>
      </c>
    </row>
    <row r="3" spans="3:14" ht="19.5" customHeight="1">
      <c r="C3" s="3" t="s">
        <v>522</v>
      </c>
      <c r="N3" s="1" t="s">
        <v>523</v>
      </c>
    </row>
    <row r="4" spans="3:14" ht="19.5" customHeight="1">
      <c r="C4" s="4"/>
      <c r="N4" s="1" t="s">
        <v>446</v>
      </c>
    </row>
    <row r="5" ht="18">
      <c r="C5" s="4"/>
    </row>
    <row r="6" spans="8:16" ht="18.75" thickBot="1">
      <c r="H6" s="5"/>
      <c r="P6" s="2" t="s">
        <v>524</v>
      </c>
    </row>
    <row r="7" spans="1:16" ht="19.5" customHeight="1" thickTop="1">
      <c r="A7" s="6"/>
      <c r="B7" s="6"/>
      <c r="C7" s="7" t="s">
        <v>525</v>
      </c>
      <c r="D7" s="8" t="s">
        <v>526</v>
      </c>
      <c r="E7" s="9"/>
      <c r="F7" s="10" t="s">
        <v>527</v>
      </c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1:16" ht="23.25" customHeight="1" thickBot="1">
      <c r="A8" s="12" t="s">
        <v>528</v>
      </c>
      <c r="B8" s="12" t="s">
        <v>529</v>
      </c>
      <c r="C8" s="13" t="s">
        <v>530</v>
      </c>
      <c r="D8" s="14" t="s">
        <v>531</v>
      </c>
      <c r="E8" s="15" t="s">
        <v>532</v>
      </c>
      <c r="F8" s="15" t="s">
        <v>533</v>
      </c>
      <c r="G8" s="15" t="s">
        <v>534</v>
      </c>
      <c r="H8" s="15" t="s">
        <v>535</v>
      </c>
      <c r="I8" s="15" t="s">
        <v>536</v>
      </c>
      <c r="J8" s="15" t="s">
        <v>537</v>
      </c>
      <c r="K8" s="15" t="s">
        <v>538</v>
      </c>
      <c r="L8" s="1129" t="s">
        <v>539</v>
      </c>
      <c r="M8" s="15" t="s">
        <v>540</v>
      </c>
      <c r="N8" s="15" t="s">
        <v>541</v>
      </c>
      <c r="O8" s="15" t="s">
        <v>542</v>
      </c>
      <c r="P8" s="15" t="s">
        <v>543</v>
      </c>
    </row>
    <row r="9" spans="1:17" s="18" customFormat="1" ht="14.25" customHeight="1" thickBot="1" thickTop="1">
      <c r="A9" s="16">
        <v>1</v>
      </c>
      <c r="B9" s="16">
        <v>2</v>
      </c>
      <c r="C9" s="16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851"/>
    </row>
    <row r="10" spans="1:17" s="22" customFormat="1" ht="24.75" customHeight="1" thickBot="1" thickTop="1">
      <c r="A10" s="19"/>
      <c r="B10" s="19"/>
      <c r="C10" s="20" t="s">
        <v>544</v>
      </c>
      <c r="D10" s="21">
        <f>SUM(E10:P10)</f>
        <v>829070</v>
      </c>
      <c r="E10" s="21">
        <f aca="true" t="shared" si="0" ref="E10:P10">E12+E135+E139+E143+E148+E152+E160+E164+E168+E172+E176+E192+E199+E203+E210</f>
        <v>-22583</v>
      </c>
      <c r="F10" s="21">
        <f t="shared" si="0"/>
        <v>-117565</v>
      </c>
      <c r="G10" s="21">
        <f t="shared" si="0"/>
        <v>-379769</v>
      </c>
      <c r="H10" s="21">
        <f t="shared" si="0"/>
        <v>-515690</v>
      </c>
      <c r="I10" s="21">
        <f t="shared" si="0"/>
        <v>-722109</v>
      </c>
      <c r="J10" s="21">
        <f t="shared" si="0"/>
        <v>-1979985</v>
      </c>
      <c r="K10" s="21">
        <f t="shared" si="0"/>
        <v>-1597162</v>
      </c>
      <c r="L10" s="21">
        <f t="shared" si="0"/>
        <v>-49519478</v>
      </c>
      <c r="M10" s="21">
        <f t="shared" si="0"/>
        <v>47102398</v>
      </c>
      <c r="N10" s="21">
        <f t="shared" si="0"/>
        <v>5174072</v>
      </c>
      <c r="O10" s="21">
        <f t="shared" si="0"/>
        <v>2649823</v>
      </c>
      <c r="P10" s="21">
        <f t="shared" si="0"/>
        <v>757118</v>
      </c>
      <c r="Q10" s="852"/>
    </row>
    <row r="11" spans="1:17" s="22" customFormat="1" ht="12.75" customHeight="1">
      <c r="A11" s="23"/>
      <c r="B11" s="23"/>
      <c r="C11" s="24" t="s">
        <v>545</v>
      </c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851"/>
    </row>
    <row r="12" spans="1:17" s="22" customFormat="1" ht="24" customHeight="1">
      <c r="A12" s="23"/>
      <c r="B12" s="23"/>
      <c r="C12" s="27" t="s">
        <v>546</v>
      </c>
      <c r="D12" s="28">
        <f>SUM(E12:P12)</f>
        <v>-1198589</v>
      </c>
      <c r="E12" s="29"/>
      <c r="F12" s="29">
        <f>F13+F17+F23+F29+F36+F51+F82+F96+F129</f>
        <v>-80000</v>
      </c>
      <c r="G12" s="29"/>
      <c r="H12" s="29"/>
      <c r="I12" s="29"/>
      <c r="J12" s="29">
        <f aca="true" t="shared" si="1" ref="J12:P12">J13+J17+J23+J29+J36+J51+J82+J96+J129</f>
        <v>-1258026</v>
      </c>
      <c r="K12" s="29">
        <f t="shared" si="1"/>
        <v>-931654</v>
      </c>
      <c r="L12" s="29">
        <f t="shared" si="1"/>
        <v>-39221873</v>
      </c>
      <c r="M12" s="29">
        <f t="shared" si="1"/>
        <v>34154981</v>
      </c>
      <c r="N12" s="29">
        <f t="shared" si="1"/>
        <v>4683793</v>
      </c>
      <c r="O12" s="29">
        <f t="shared" si="1"/>
        <v>1676743</v>
      </c>
      <c r="P12" s="29">
        <f t="shared" si="1"/>
        <v>-222553</v>
      </c>
      <c r="Q12" s="851"/>
    </row>
    <row r="13" spans="1:18" s="33" customFormat="1" ht="21.75" customHeight="1">
      <c r="A13" s="30"/>
      <c r="B13" s="30"/>
      <c r="C13" s="31" t="s">
        <v>236</v>
      </c>
      <c r="D13" s="32">
        <f>SUM(E13:P13)</f>
        <v>2200</v>
      </c>
      <c r="E13" s="32"/>
      <c r="F13" s="32"/>
      <c r="G13" s="32"/>
      <c r="H13" s="32"/>
      <c r="I13" s="32"/>
      <c r="J13" s="32"/>
      <c r="K13" s="32"/>
      <c r="L13" s="32"/>
      <c r="M13" s="32">
        <f>M14</f>
        <v>2200</v>
      </c>
      <c r="N13" s="32"/>
      <c r="O13" s="32"/>
      <c r="P13" s="32"/>
      <c r="Q13" s="853"/>
      <c r="R13" s="34"/>
    </row>
    <row r="14" spans="1:17" s="22" customFormat="1" ht="21.75" customHeight="1" thickBot="1">
      <c r="A14" s="35"/>
      <c r="B14" s="35"/>
      <c r="C14" s="36" t="s">
        <v>547</v>
      </c>
      <c r="D14" s="37">
        <f>SUM(E14:P14)</f>
        <v>2200</v>
      </c>
      <c r="E14" s="37"/>
      <c r="F14" s="37"/>
      <c r="G14" s="37"/>
      <c r="H14" s="37"/>
      <c r="I14" s="37"/>
      <c r="J14" s="37"/>
      <c r="K14" s="37"/>
      <c r="L14" s="37"/>
      <c r="M14" s="37">
        <f>M15</f>
        <v>2200</v>
      </c>
      <c r="N14" s="37"/>
      <c r="O14" s="37"/>
      <c r="P14" s="37"/>
      <c r="Q14" s="851"/>
    </row>
    <row r="15" spans="1:17" s="22" customFormat="1" ht="21.75" customHeight="1" thickTop="1">
      <c r="A15" s="38">
        <v>758</v>
      </c>
      <c r="B15" s="39"/>
      <c r="C15" s="40" t="s">
        <v>549</v>
      </c>
      <c r="D15" s="41">
        <f>SUM(E15:P15)</f>
        <v>2200</v>
      </c>
      <c r="E15" s="41"/>
      <c r="F15" s="41"/>
      <c r="G15" s="41"/>
      <c r="H15" s="41"/>
      <c r="I15" s="41"/>
      <c r="J15" s="41"/>
      <c r="K15" s="41"/>
      <c r="L15" s="41"/>
      <c r="M15" s="41">
        <f>M16</f>
        <v>2200</v>
      </c>
      <c r="N15" s="41"/>
      <c r="O15" s="41"/>
      <c r="P15" s="41"/>
      <c r="Q15" s="851"/>
    </row>
    <row r="16" spans="1:17" s="130" customFormat="1" ht="21.75" customHeight="1">
      <c r="A16" s="42"/>
      <c r="B16" s="428">
        <v>75860</v>
      </c>
      <c r="C16" s="849" t="s">
        <v>205</v>
      </c>
      <c r="D16" s="43">
        <f>SUM(E16:P16)</f>
        <v>2200</v>
      </c>
      <c r="E16" s="43"/>
      <c r="F16" s="43"/>
      <c r="G16" s="43"/>
      <c r="H16" s="43"/>
      <c r="I16" s="43"/>
      <c r="J16" s="43"/>
      <c r="K16" s="43"/>
      <c r="L16" s="43"/>
      <c r="M16" s="43">
        <v>2200</v>
      </c>
      <c r="N16" s="43"/>
      <c r="O16" s="43"/>
      <c r="P16" s="43"/>
      <c r="Q16" s="854"/>
    </row>
    <row r="17" spans="1:18" s="33" customFormat="1" ht="21.75" customHeight="1">
      <c r="A17" s="30"/>
      <c r="B17" s="30"/>
      <c r="C17" s="31" t="s">
        <v>237</v>
      </c>
      <c r="D17" s="32">
        <f aca="true" t="shared" si="2" ref="D17:D109">SUM(E17:P17)</f>
        <v>-786837</v>
      </c>
      <c r="E17" s="32"/>
      <c r="F17" s="32"/>
      <c r="G17" s="32"/>
      <c r="H17" s="32"/>
      <c r="I17" s="32"/>
      <c r="J17" s="32"/>
      <c r="K17" s="32"/>
      <c r="L17" s="32"/>
      <c r="M17" s="32">
        <f>M18</f>
        <v>-766934</v>
      </c>
      <c r="N17" s="32">
        <f>N18</f>
        <v>-7727</v>
      </c>
      <c r="O17" s="32">
        <f>O18</f>
        <v>-6641</v>
      </c>
      <c r="P17" s="32">
        <f>P18</f>
        <v>-5535</v>
      </c>
      <c r="Q17" s="853"/>
      <c r="R17" s="34"/>
    </row>
    <row r="18" spans="1:17" s="22" customFormat="1" ht="21.75" customHeight="1" thickBot="1">
      <c r="A18" s="35"/>
      <c r="B18" s="35"/>
      <c r="C18" s="36" t="s">
        <v>547</v>
      </c>
      <c r="D18" s="37">
        <f t="shared" si="2"/>
        <v>-786837</v>
      </c>
      <c r="E18" s="37"/>
      <c r="F18" s="37"/>
      <c r="G18" s="37"/>
      <c r="H18" s="37"/>
      <c r="I18" s="37"/>
      <c r="J18" s="37"/>
      <c r="K18" s="37"/>
      <c r="L18" s="37"/>
      <c r="M18" s="37">
        <f>M19+M21</f>
        <v>-766934</v>
      </c>
      <c r="N18" s="37">
        <f>N19+N21</f>
        <v>-7727</v>
      </c>
      <c r="O18" s="37">
        <f>O19+O21</f>
        <v>-6641</v>
      </c>
      <c r="P18" s="37">
        <f>P19+P21</f>
        <v>-5535</v>
      </c>
      <c r="Q18" s="851"/>
    </row>
    <row r="19" spans="1:17" s="22" customFormat="1" ht="21.75" customHeight="1" thickTop="1">
      <c r="A19" s="38">
        <v>758</v>
      </c>
      <c r="B19" s="39"/>
      <c r="C19" s="40" t="s">
        <v>549</v>
      </c>
      <c r="D19" s="41">
        <f t="shared" si="2"/>
        <v>-793337</v>
      </c>
      <c r="E19" s="41"/>
      <c r="F19" s="41"/>
      <c r="G19" s="41"/>
      <c r="H19" s="41"/>
      <c r="I19" s="41"/>
      <c r="J19" s="41"/>
      <c r="K19" s="41"/>
      <c r="L19" s="41"/>
      <c r="M19" s="41">
        <f>SUM(M20)</f>
        <v>-793337</v>
      </c>
      <c r="N19" s="41"/>
      <c r="O19" s="41"/>
      <c r="P19" s="41"/>
      <c r="Q19" s="851"/>
    </row>
    <row r="20" spans="1:17" s="130" customFormat="1" ht="21.75" customHeight="1">
      <c r="A20" s="42"/>
      <c r="B20" s="428">
        <v>75818</v>
      </c>
      <c r="C20" s="129" t="s">
        <v>550</v>
      </c>
      <c r="D20" s="43">
        <f t="shared" si="2"/>
        <v>-793337</v>
      </c>
      <c r="E20" s="43"/>
      <c r="F20" s="43"/>
      <c r="G20" s="43"/>
      <c r="H20" s="43"/>
      <c r="I20" s="43"/>
      <c r="J20" s="43"/>
      <c r="K20" s="43"/>
      <c r="L20" s="43"/>
      <c r="M20" s="43">
        <v>-793337</v>
      </c>
      <c r="N20" s="43"/>
      <c r="O20" s="43"/>
      <c r="P20" s="43"/>
      <c r="Q20" s="854"/>
    </row>
    <row r="21" spans="1:17" s="22" customFormat="1" ht="21.75" customHeight="1">
      <c r="A21" s="38">
        <v>852</v>
      </c>
      <c r="B21" s="39"/>
      <c r="C21" s="40" t="s">
        <v>555</v>
      </c>
      <c r="D21" s="41">
        <f>SUM(E21:P21)</f>
        <v>6500</v>
      </c>
      <c r="E21" s="41"/>
      <c r="F21" s="41"/>
      <c r="G21" s="41"/>
      <c r="H21" s="41"/>
      <c r="I21" s="41"/>
      <c r="J21" s="41"/>
      <c r="K21" s="41"/>
      <c r="L21" s="41"/>
      <c r="M21" s="41">
        <f>M22</f>
        <v>26403</v>
      </c>
      <c r="N21" s="41">
        <f>N22</f>
        <v>-7727</v>
      </c>
      <c r="O21" s="41">
        <f>O22</f>
        <v>-6641</v>
      </c>
      <c r="P21" s="41">
        <f>P22</f>
        <v>-5535</v>
      </c>
      <c r="Q21" s="851"/>
    </row>
    <row r="22" spans="1:17" s="130" customFormat="1" ht="21.75" customHeight="1">
      <c r="A22" s="42"/>
      <c r="B22" s="428">
        <v>85204</v>
      </c>
      <c r="C22" s="129" t="s">
        <v>440</v>
      </c>
      <c r="D22" s="43">
        <f aca="true" t="shared" si="3" ref="D22:D33">SUM(E22:P22)</f>
        <v>6500</v>
      </c>
      <c r="E22" s="43"/>
      <c r="F22" s="43"/>
      <c r="G22" s="43"/>
      <c r="H22" s="43"/>
      <c r="I22" s="43"/>
      <c r="J22" s="43"/>
      <c r="K22" s="43"/>
      <c r="L22" s="43"/>
      <c r="M22" s="43">
        <v>26403</v>
      </c>
      <c r="N22" s="43">
        <v>-7727</v>
      </c>
      <c r="O22" s="43">
        <v>-6641</v>
      </c>
      <c r="P22" s="43">
        <v>-5535</v>
      </c>
      <c r="Q22" s="854"/>
    </row>
    <row r="23" spans="1:18" s="33" customFormat="1" ht="31.5">
      <c r="A23" s="30"/>
      <c r="B23" s="30"/>
      <c r="C23" s="31" t="s">
        <v>482</v>
      </c>
      <c r="D23" s="32">
        <f t="shared" si="3"/>
        <v>140000</v>
      </c>
      <c r="E23" s="32"/>
      <c r="F23" s="32"/>
      <c r="G23" s="32"/>
      <c r="H23" s="32"/>
      <c r="I23" s="32"/>
      <c r="J23" s="32">
        <f>J24</f>
        <v>-871000</v>
      </c>
      <c r="K23" s="32">
        <f>K24</f>
        <v>-300000</v>
      </c>
      <c r="L23" s="32"/>
      <c r="M23" s="32">
        <f>M24</f>
        <v>1171000</v>
      </c>
      <c r="N23" s="32"/>
      <c r="O23" s="32">
        <f>O24</f>
        <v>140000</v>
      </c>
      <c r="P23" s="32"/>
      <c r="Q23" s="853"/>
      <c r="R23" s="34"/>
    </row>
    <row r="24" spans="1:17" s="22" customFormat="1" ht="21.75" customHeight="1" thickBot="1">
      <c r="A24" s="35"/>
      <c r="B24" s="35"/>
      <c r="C24" s="36" t="s">
        <v>547</v>
      </c>
      <c r="D24" s="37">
        <f t="shared" si="3"/>
        <v>140000</v>
      </c>
      <c r="E24" s="37"/>
      <c r="F24" s="37"/>
      <c r="G24" s="37"/>
      <c r="H24" s="37"/>
      <c r="I24" s="37"/>
      <c r="J24" s="37">
        <f>J25+J27</f>
        <v>-871000</v>
      </c>
      <c r="K24" s="37">
        <f>K25+K27</f>
        <v>-300000</v>
      </c>
      <c r="L24" s="37"/>
      <c r="M24" s="37">
        <f>M25+M27</f>
        <v>1171000</v>
      </c>
      <c r="N24" s="37"/>
      <c r="O24" s="37">
        <f>O25+O27</f>
        <v>140000</v>
      </c>
      <c r="P24" s="37"/>
      <c r="Q24" s="851"/>
    </row>
    <row r="25" spans="1:17" s="22" customFormat="1" ht="21.75" customHeight="1" thickTop="1">
      <c r="A25" s="38">
        <v>600</v>
      </c>
      <c r="B25" s="39"/>
      <c r="C25" s="40" t="s">
        <v>551</v>
      </c>
      <c r="D25" s="41">
        <f t="shared" si="3"/>
        <v>140000</v>
      </c>
      <c r="E25" s="41"/>
      <c r="F25" s="41"/>
      <c r="G25" s="41"/>
      <c r="H25" s="41"/>
      <c r="I25" s="41"/>
      <c r="J25" s="41"/>
      <c r="K25" s="41">
        <f>K26</f>
        <v>-300000</v>
      </c>
      <c r="L25" s="41"/>
      <c r="M25" s="41">
        <f>M26</f>
        <v>300000</v>
      </c>
      <c r="N25" s="41"/>
      <c r="O25" s="41">
        <f>O26</f>
        <v>140000</v>
      </c>
      <c r="P25" s="41"/>
      <c r="Q25" s="851"/>
    </row>
    <row r="26" spans="1:17" s="130" customFormat="1" ht="18">
      <c r="A26" s="42"/>
      <c r="B26" s="428">
        <v>60095</v>
      </c>
      <c r="C26" s="129" t="s">
        <v>553</v>
      </c>
      <c r="D26" s="43">
        <f t="shared" si="3"/>
        <v>140000</v>
      </c>
      <c r="E26" s="43"/>
      <c r="F26" s="43"/>
      <c r="G26" s="43"/>
      <c r="H26" s="43"/>
      <c r="I26" s="43"/>
      <c r="J26" s="43"/>
      <c r="K26" s="43">
        <v>-300000</v>
      </c>
      <c r="L26" s="43"/>
      <c r="M26" s="43">
        <v>300000</v>
      </c>
      <c r="N26" s="43"/>
      <c r="O26" s="43">
        <v>140000</v>
      </c>
      <c r="P26" s="43"/>
      <c r="Q26" s="854"/>
    </row>
    <row r="27" spans="1:17" s="22" customFormat="1" ht="21.75" customHeight="1">
      <c r="A27" s="38">
        <v>700</v>
      </c>
      <c r="B27" s="39"/>
      <c r="C27" s="40" t="s">
        <v>586</v>
      </c>
      <c r="D27" s="41">
        <f>SUM(E27:P27)</f>
        <v>0</v>
      </c>
      <c r="E27" s="41"/>
      <c r="F27" s="41"/>
      <c r="G27" s="41"/>
      <c r="H27" s="41"/>
      <c r="I27" s="41"/>
      <c r="J27" s="41">
        <f>J28</f>
        <v>-871000</v>
      </c>
      <c r="K27" s="41"/>
      <c r="L27" s="41"/>
      <c r="M27" s="41">
        <f>M28</f>
        <v>871000</v>
      </c>
      <c r="N27" s="41"/>
      <c r="O27" s="41"/>
      <c r="P27" s="41"/>
      <c r="Q27" s="851"/>
    </row>
    <row r="28" spans="1:17" s="130" customFormat="1" ht="18">
      <c r="A28" s="42"/>
      <c r="B28" s="428">
        <v>70021</v>
      </c>
      <c r="C28" s="129" t="s">
        <v>455</v>
      </c>
      <c r="D28" s="43">
        <f>SUM(E28:P28)</f>
        <v>0</v>
      </c>
      <c r="E28" s="43"/>
      <c r="F28" s="43"/>
      <c r="G28" s="43"/>
      <c r="H28" s="43"/>
      <c r="I28" s="43"/>
      <c r="J28" s="43">
        <v>-871000</v>
      </c>
      <c r="K28" s="43"/>
      <c r="L28" s="43"/>
      <c r="M28" s="43">
        <v>871000</v>
      </c>
      <c r="N28" s="43"/>
      <c r="O28" s="43"/>
      <c r="P28" s="43"/>
      <c r="Q28" s="854"/>
    </row>
    <row r="29" spans="1:18" s="33" customFormat="1" ht="21.75" customHeight="1">
      <c r="A29" s="30"/>
      <c r="B29" s="30"/>
      <c r="C29" s="31" t="s">
        <v>238</v>
      </c>
      <c r="D29" s="32">
        <f t="shared" si="3"/>
        <v>18700</v>
      </c>
      <c r="E29" s="32"/>
      <c r="F29" s="32"/>
      <c r="G29" s="32"/>
      <c r="H29" s="32"/>
      <c r="I29" s="32"/>
      <c r="J29" s="32">
        <f>J30</f>
        <v>-380000</v>
      </c>
      <c r="K29" s="32">
        <f aca="true" t="shared" si="4" ref="K29:P29">K30</f>
        <v>-400000</v>
      </c>
      <c r="L29" s="32">
        <f t="shared" si="4"/>
        <v>-357000</v>
      </c>
      <c r="M29" s="32"/>
      <c r="N29" s="32">
        <f t="shared" si="4"/>
        <v>18700</v>
      </c>
      <c r="O29" s="32">
        <f t="shared" si="4"/>
        <v>1000000</v>
      </c>
      <c r="P29" s="32">
        <f t="shared" si="4"/>
        <v>137000</v>
      </c>
      <c r="Q29" s="853"/>
      <c r="R29" s="34"/>
    </row>
    <row r="30" spans="1:17" s="22" customFormat="1" ht="21.75" customHeight="1" thickBot="1">
      <c r="A30" s="35"/>
      <c r="B30" s="35"/>
      <c r="C30" s="36" t="s">
        <v>547</v>
      </c>
      <c r="D30" s="37">
        <f t="shared" si="3"/>
        <v>18700</v>
      </c>
      <c r="E30" s="37"/>
      <c r="F30" s="37"/>
      <c r="G30" s="37"/>
      <c r="H30" s="37"/>
      <c r="I30" s="37"/>
      <c r="J30" s="37">
        <f>J31+J34</f>
        <v>-380000</v>
      </c>
      <c r="K30" s="37">
        <f aca="true" t="shared" si="5" ref="K30:P30">K31+K34</f>
        <v>-400000</v>
      </c>
      <c r="L30" s="37">
        <f t="shared" si="5"/>
        <v>-357000</v>
      </c>
      <c r="M30" s="37"/>
      <c r="N30" s="37">
        <f t="shared" si="5"/>
        <v>18700</v>
      </c>
      <c r="O30" s="37">
        <f t="shared" si="5"/>
        <v>1000000</v>
      </c>
      <c r="P30" s="37">
        <f t="shared" si="5"/>
        <v>137000</v>
      </c>
      <c r="Q30" s="851"/>
    </row>
    <row r="31" spans="1:17" s="22" customFormat="1" ht="21.75" customHeight="1" thickTop="1">
      <c r="A31" s="38">
        <v>600</v>
      </c>
      <c r="B31" s="39"/>
      <c r="C31" s="40" t="s">
        <v>551</v>
      </c>
      <c r="D31" s="41">
        <f t="shared" si="3"/>
        <v>0</v>
      </c>
      <c r="E31" s="41"/>
      <c r="F31" s="41"/>
      <c r="G31" s="41"/>
      <c r="H31" s="41"/>
      <c r="I31" s="41"/>
      <c r="J31" s="41">
        <f>SUM(J32:J33)</f>
        <v>-380000</v>
      </c>
      <c r="K31" s="41">
        <f aca="true" t="shared" si="6" ref="K31:P31">SUM(K32:K33)</f>
        <v>-400000</v>
      </c>
      <c r="L31" s="41">
        <f t="shared" si="6"/>
        <v>-357000</v>
      </c>
      <c r="M31" s="41"/>
      <c r="N31" s="41"/>
      <c r="O31" s="41">
        <f t="shared" si="6"/>
        <v>1000000</v>
      </c>
      <c r="P31" s="41">
        <f t="shared" si="6"/>
        <v>137000</v>
      </c>
      <c r="Q31" s="851"/>
    </row>
    <row r="32" spans="1:17" s="130" customFormat="1" ht="21.75" customHeight="1">
      <c r="A32" s="42"/>
      <c r="B32" s="428">
        <v>60015</v>
      </c>
      <c r="C32" s="129" t="s">
        <v>70</v>
      </c>
      <c r="D32" s="43">
        <f t="shared" si="3"/>
        <v>-1137000</v>
      </c>
      <c r="E32" s="43"/>
      <c r="F32" s="43"/>
      <c r="G32" s="43"/>
      <c r="H32" s="43"/>
      <c r="I32" s="43"/>
      <c r="J32" s="43">
        <v>-380000</v>
      </c>
      <c r="K32" s="43">
        <v>-400000</v>
      </c>
      <c r="L32" s="43">
        <v>-357000</v>
      </c>
      <c r="M32" s="43"/>
      <c r="N32" s="43"/>
      <c r="O32" s="43"/>
      <c r="P32" s="43"/>
      <c r="Q32" s="854"/>
    </row>
    <row r="33" spans="1:17" s="130" customFormat="1" ht="21.75" customHeight="1">
      <c r="A33" s="42"/>
      <c r="B33" s="428">
        <v>60017</v>
      </c>
      <c r="C33" s="129" t="s">
        <v>456</v>
      </c>
      <c r="D33" s="43">
        <f t="shared" si="3"/>
        <v>1137000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>
        <v>1000000</v>
      </c>
      <c r="P33" s="43">
        <v>137000</v>
      </c>
      <c r="Q33" s="854"/>
    </row>
    <row r="34" spans="1:17" s="22" customFormat="1" ht="21.75" customHeight="1">
      <c r="A34" s="38">
        <v>630</v>
      </c>
      <c r="B34" s="39"/>
      <c r="C34" s="40" t="s">
        <v>139</v>
      </c>
      <c r="D34" s="41">
        <f>SUM(E34:P34)</f>
        <v>18700</v>
      </c>
      <c r="E34" s="41"/>
      <c r="F34" s="41"/>
      <c r="G34" s="41"/>
      <c r="H34" s="41"/>
      <c r="I34" s="41"/>
      <c r="J34" s="41"/>
      <c r="K34" s="41"/>
      <c r="L34" s="41"/>
      <c r="M34" s="41"/>
      <c r="N34" s="41">
        <f>N35</f>
        <v>18700</v>
      </c>
      <c r="O34" s="41"/>
      <c r="P34" s="41"/>
      <c r="Q34" s="851"/>
    </row>
    <row r="35" spans="1:17" s="130" customFormat="1" ht="19.5" customHeight="1">
      <c r="A35" s="42"/>
      <c r="B35" s="428">
        <v>63003</v>
      </c>
      <c r="C35" s="129" t="s">
        <v>140</v>
      </c>
      <c r="D35" s="43">
        <f>SUM(E35:P35)</f>
        <v>18700</v>
      </c>
      <c r="E35" s="43"/>
      <c r="F35" s="43"/>
      <c r="G35" s="43"/>
      <c r="H35" s="43"/>
      <c r="I35" s="43"/>
      <c r="J35" s="43"/>
      <c r="K35" s="43"/>
      <c r="L35" s="43"/>
      <c r="M35" s="43"/>
      <c r="N35" s="43">
        <v>18700</v>
      </c>
      <c r="O35" s="43"/>
      <c r="P35" s="43"/>
      <c r="Q35" s="854"/>
    </row>
    <row r="36" spans="1:18" s="33" customFormat="1" ht="21.75" customHeight="1">
      <c r="A36" s="30"/>
      <c r="B36" s="30"/>
      <c r="C36" s="31" t="s">
        <v>239</v>
      </c>
      <c r="D36" s="32">
        <f t="shared" si="2"/>
        <v>-99796</v>
      </c>
      <c r="E36" s="32"/>
      <c r="F36" s="32">
        <f>F37+F48</f>
        <v>-80000</v>
      </c>
      <c r="G36" s="32"/>
      <c r="H36" s="32"/>
      <c r="I36" s="32"/>
      <c r="J36" s="32"/>
      <c r="K36" s="32">
        <f aca="true" t="shared" si="7" ref="K36:P36">K37+K48</f>
        <v>-43001</v>
      </c>
      <c r="L36" s="32">
        <f t="shared" si="7"/>
        <v>-31130</v>
      </c>
      <c r="M36" s="32">
        <f t="shared" si="7"/>
        <v>-172743</v>
      </c>
      <c r="N36" s="32">
        <f t="shared" si="7"/>
        <v>146397</v>
      </c>
      <c r="O36" s="32">
        <f t="shared" si="7"/>
        <v>214560</v>
      </c>
      <c r="P36" s="32">
        <f t="shared" si="7"/>
        <v>-133879</v>
      </c>
      <c r="Q36" s="853"/>
      <c r="R36" s="34"/>
    </row>
    <row r="37" spans="1:17" s="130" customFormat="1" ht="21.75" customHeight="1" thickBot="1">
      <c r="A37" s="44"/>
      <c r="B37" s="44"/>
      <c r="C37" s="134" t="s">
        <v>547</v>
      </c>
      <c r="D37" s="135">
        <f>SUM(E37:P37)</f>
        <v>-124890</v>
      </c>
      <c r="E37" s="135"/>
      <c r="F37" s="135">
        <f>F38+F43+F46</f>
        <v>-80000</v>
      </c>
      <c r="G37" s="135"/>
      <c r="H37" s="135"/>
      <c r="I37" s="135"/>
      <c r="J37" s="135"/>
      <c r="K37" s="135">
        <f aca="true" t="shared" si="8" ref="K37:P37">K38+K43+K46</f>
        <v>-43001</v>
      </c>
      <c r="L37" s="135">
        <f t="shared" si="8"/>
        <v>-31130</v>
      </c>
      <c r="M37" s="135">
        <f t="shared" si="8"/>
        <v>-172743</v>
      </c>
      <c r="N37" s="135">
        <f t="shared" si="8"/>
        <v>123001</v>
      </c>
      <c r="O37" s="135">
        <f t="shared" si="8"/>
        <v>213711</v>
      </c>
      <c r="P37" s="135">
        <f t="shared" si="8"/>
        <v>-134728</v>
      </c>
      <c r="Q37" s="854"/>
    </row>
    <row r="38" spans="1:17" s="22" customFormat="1" ht="21.75" customHeight="1" thickTop="1">
      <c r="A38" s="38">
        <v>801</v>
      </c>
      <c r="B38" s="39"/>
      <c r="C38" s="40" t="s">
        <v>554</v>
      </c>
      <c r="D38" s="41">
        <f t="shared" si="2"/>
        <v>-560910</v>
      </c>
      <c r="E38" s="41"/>
      <c r="F38" s="41">
        <f>SUM(F39:F42)</f>
        <v>-80000</v>
      </c>
      <c r="G38" s="41"/>
      <c r="H38" s="41"/>
      <c r="I38" s="41"/>
      <c r="J38" s="41"/>
      <c r="K38" s="41">
        <f>SUM(K39:K42)</f>
        <v>-43001</v>
      </c>
      <c r="L38" s="41"/>
      <c r="M38" s="41">
        <f>SUM(M39:M42)</f>
        <v>-172743</v>
      </c>
      <c r="N38" s="41">
        <f>SUM(N39:N42)</f>
        <v>123001</v>
      </c>
      <c r="O38" s="41">
        <f>SUM(O39:O42)</f>
        <v>10561</v>
      </c>
      <c r="P38" s="41">
        <f>SUM(P39:P42)</f>
        <v>-398728</v>
      </c>
      <c r="Q38" s="851"/>
    </row>
    <row r="39" spans="1:17" s="130" customFormat="1" ht="21.75" customHeight="1">
      <c r="A39" s="222"/>
      <c r="B39" s="223">
        <v>80101</v>
      </c>
      <c r="C39" s="129" t="s">
        <v>60</v>
      </c>
      <c r="D39" s="43">
        <f t="shared" si="2"/>
        <v>-223977</v>
      </c>
      <c r="E39" s="43"/>
      <c r="F39" s="43"/>
      <c r="G39" s="43"/>
      <c r="H39" s="43"/>
      <c r="I39" s="43"/>
      <c r="J39" s="43"/>
      <c r="K39" s="43"/>
      <c r="L39" s="43"/>
      <c r="M39" s="43"/>
      <c r="N39" s="43">
        <v>123001</v>
      </c>
      <c r="O39" s="43"/>
      <c r="P39" s="43">
        <v>-346978</v>
      </c>
      <c r="Q39" s="854"/>
    </row>
    <row r="40" spans="1:17" s="130" customFormat="1" ht="21.75" customHeight="1">
      <c r="A40" s="42"/>
      <c r="B40" s="223">
        <v>80104</v>
      </c>
      <c r="C40" s="129" t="s">
        <v>58</v>
      </c>
      <c r="D40" s="43">
        <f t="shared" si="2"/>
        <v>-51750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>
        <v>-51750</v>
      </c>
      <c r="Q40" s="854"/>
    </row>
    <row r="41" spans="1:17" s="130" customFormat="1" ht="21.75" customHeight="1">
      <c r="A41" s="42"/>
      <c r="B41" s="223">
        <v>80110</v>
      </c>
      <c r="C41" s="129" t="s">
        <v>61</v>
      </c>
      <c r="D41" s="43">
        <f t="shared" si="2"/>
        <v>-162182</v>
      </c>
      <c r="E41" s="43"/>
      <c r="F41" s="43"/>
      <c r="G41" s="43"/>
      <c r="H41" s="43"/>
      <c r="I41" s="43"/>
      <c r="J41" s="43"/>
      <c r="K41" s="43"/>
      <c r="L41" s="43"/>
      <c r="M41" s="43">
        <v>-172743</v>
      </c>
      <c r="N41" s="43"/>
      <c r="O41" s="43">
        <v>10561</v>
      </c>
      <c r="P41" s="43"/>
      <c r="Q41" s="854"/>
    </row>
    <row r="42" spans="1:17" s="130" customFormat="1" ht="21.75" customHeight="1">
      <c r="A42" s="44"/>
      <c r="B42" s="223">
        <v>80195</v>
      </c>
      <c r="C42" s="129" t="s">
        <v>553</v>
      </c>
      <c r="D42" s="43">
        <f>SUM(E42:P42)</f>
        <v>-123001</v>
      </c>
      <c r="E42" s="43"/>
      <c r="F42" s="43">
        <v>-80000</v>
      </c>
      <c r="G42" s="43"/>
      <c r="H42" s="43"/>
      <c r="I42" s="43"/>
      <c r="J42" s="43"/>
      <c r="K42" s="43">
        <v>-43001</v>
      </c>
      <c r="L42" s="43"/>
      <c r="M42" s="43"/>
      <c r="N42" s="43"/>
      <c r="O42" s="43"/>
      <c r="P42" s="43"/>
      <c r="Q42" s="854"/>
    </row>
    <row r="43" spans="1:17" s="22" customFormat="1" ht="21.75" customHeight="1">
      <c r="A43" s="41">
        <v>852</v>
      </c>
      <c r="B43" s="39"/>
      <c r="C43" s="40" t="s">
        <v>555</v>
      </c>
      <c r="D43" s="41">
        <f>SUM(E43:P43)</f>
        <v>467150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>
        <f>SUM(O44:O45)</f>
        <v>203150</v>
      </c>
      <c r="P43" s="41">
        <f>SUM(P44:P45)</f>
        <v>264000</v>
      </c>
      <c r="Q43" s="851"/>
    </row>
    <row r="44" spans="1:17" s="130" customFormat="1" ht="21.75" customHeight="1">
      <c r="A44" s="223"/>
      <c r="B44" s="223">
        <v>85201</v>
      </c>
      <c r="C44" s="129" t="s">
        <v>190</v>
      </c>
      <c r="D44" s="43">
        <f>SUM(E44:P44)</f>
        <v>264000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>
        <f>264000</f>
        <v>264000</v>
      </c>
      <c r="Q44" s="854"/>
    </row>
    <row r="45" spans="1:17" s="130" customFormat="1" ht="21.75" customHeight="1">
      <c r="A45" s="44"/>
      <c r="B45" s="44">
        <v>85202</v>
      </c>
      <c r="C45" s="441" t="s">
        <v>82</v>
      </c>
      <c r="D45" s="442">
        <f>SUM(E45:P45)</f>
        <v>203150</v>
      </c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2">
        <f>-32000+235150</f>
        <v>203150</v>
      </c>
      <c r="P45" s="442"/>
      <c r="Q45" s="854"/>
    </row>
    <row r="46" spans="1:17" s="22" customFormat="1" ht="21.75" customHeight="1">
      <c r="A46" s="41">
        <v>854</v>
      </c>
      <c r="B46" s="38"/>
      <c r="C46" s="40" t="s">
        <v>556</v>
      </c>
      <c r="D46" s="41">
        <f t="shared" si="2"/>
        <v>-31130</v>
      </c>
      <c r="E46" s="41"/>
      <c r="F46" s="41"/>
      <c r="G46" s="41"/>
      <c r="H46" s="41"/>
      <c r="I46" s="41"/>
      <c r="J46" s="41"/>
      <c r="K46" s="41"/>
      <c r="L46" s="41">
        <f>L47</f>
        <v>-31130</v>
      </c>
      <c r="M46" s="41"/>
      <c r="N46" s="41"/>
      <c r="O46" s="41"/>
      <c r="P46" s="41"/>
      <c r="Q46" s="851"/>
    </row>
    <row r="47" spans="1:17" s="130" customFormat="1" ht="21.75" customHeight="1">
      <c r="A47" s="222"/>
      <c r="B47" s="223">
        <v>85410</v>
      </c>
      <c r="C47" s="129" t="s">
        <v>91</v>
      </c>
      <c r="D47" s="43">
        <f t="shared" si="2"/>
        <v>-31130</v>
      </c>
      <c r="E47" s="43"/>
      <c r="F47" s="43"/>
      <c r="G47" s="43"/>
      <c r="H47" s="43"/>
      <c r="I47" s="43"/>
      <c r="J47" s="43"/>
      <c r="K47" s="43"/>
      <c r="L47" s="43">
        <v>-31130</v>
      </c>
      <c r="M47" s="43"/>
      <c r="N47" s="43"/>
      <c r="O47" s="43"/>
      <c r="P47" s="43"/>
      <c r="Q47" s="854"/>
    </row>
    <row r="48" spans="1:17" s="130" customFormat="1" ht="36" customHeight="1" thickBot="1">
      <c r="A48" s="44"/>
      <c r="B48" s="44"/>
      <c r="C48" s="36" t="s">
        <v>585</v>
      </c>
      <c r="D48" s="135">
        <f>SUM(E48:P48)</f>
        <v>25094</v>
      </c>
      <c r="E48" s="135"/>
      <c r="F48" s="135"/>
      <c r="G48" s="135"/>
      <c r="H48" s="135"/>
      <c r="I48" s="135"/>
      <c r="J48" s="135"/>
      <c r="K48" s="135"/>
      <c r="L48" s="135"/>
      <c r="M48" s="135"/>
      <c r="N48" s="135">
        <f aca="true" t="shared" si="9" ref="N48:P49">N49</f>
        <v>23396</v>
      </c>
      <c r="O48" s="135">
        <f t="shared" si="9"/>
        <v>849</v>
      </c>
      <c r="P48" s="135">
        <f t="shared" si="9"/>
        <v>849</v>
      </c>
      <c r="Q48" s="854"/>
    </row>
    <row r="49" spans="1:17" s="22" customFormat="1" ht="35.25" customHeight="1" thickTop="1">
      <c r="A49" s="41">
        <v>853</v>
      </c>
      <c r="B49" s="38"/>
      <c r="C49" s="431" t="s">
        <v>598</v>
      </c>
      <c r="D49" s="41">
        <f>SUM(E49:P49)</f>
        <v>25094</v>
      </c>
      <c r="E49" s="41"/>
      <c r="F49" s="41"/>
      <c r="G49" s="41"/>
      <c r="H49" s="41"/>
      <c r="I49" s="41"/>
      <c r="J49" s="41"/>
      <c r="K49" s="41"/>
      <c r="L49" s="41"/>
      <c r="M49" s="41"/>
      <c r="N49" s="41">
        <f t="shared" si="9"/>
        <v>23396</v>
      </c>
      <c r="O49" s="41">
        <f t="shared" si="9"/>
        <v>849</v>
      </c>
      <c r="P49" s="41">
        <f t="shared" si="9"/>
        <v>849</v>
      </c>
      <c r="Q49" s="851"/>
    </row>
    <row r="50" spans="1:17" s="130" customFormat="1" ht="21.75" customHeight="1">
      <c r="A50" s="222"/>
      <c r="B50" s="223">
        <v>85334</v>
      </c>
      <c r="C50" s="455" t="s">
        <v>222</v>
      </c>
      <c r="D50" s="43">
        <f>SUM(E50:P50)</f>
        <v>25094</v>
      </c>
      <c r="E50" s="43"/>
      <c r="F50" s="43"/>
      <c r="G50" s="43"/>
      <c r="H50" s="43"/>
      <c r="I50" s="43"/>
      <c r="J50" s="43"/>
      <c r="K50" s="43"/>
      <c r="L50" s="43"/>
      <c r="M50" s="43"/>
      <c r="N50" s="43">
        <v>23396</v>
      </c>
      <c r="O50" s="43">
        <v>849</v>
      </c>
      <c r="P50" s="43">
        <v>849</v>
      </c>
      <c r="Q50" s="854"/>
    </row>
    <row r="51" spans="1:17" s="133" customFormat="1" ht="21.75" customHeight="1">
      <c r="A51" s="42"/>
      <c r="B51" s="42"/>
      <c r="C51" s="131" t="s">
        <v>495</v>
      </c>
      <c r="D51" s="132">
        <f t="shared" si="2"/>
        <v>-529111</v>
      </c>
      <c r="E51" s="132"/>
      <c r="F51" s="132"/>
      <c r="G51" s="132"/>
      <c r="H51" s="132"/>
      <c r="I51" s="132"/>
      <c r="J51" s="132"/>
      <c r="K51" s="132"/>
      <c r="L51" s="132">
        <f>L52+L78</f>
        <v>-473691</v>
      </c>
      <c r="M51" s="132">
        <f>M52+M78</f>
        <v>-1444240</v>
      </c>
      <c r="N51" s="132">
        <f>N52+N78</f>
        <v>1491308</v>
      </c>
      <c r="O51" s="132">
        <f>O52+O78</f>
        <v>-22496</v>
      </c>
      <c r="P51" s="132">
        <f>P52+P78</f>
        <v>-79992</v>
      </c>
      <c r="Q51" s="855"/>
    </row>
    <row r="52" spans="1:17" s="130" customFormat="1" ht="21.75" customHeight="1" thickBot="1">
      <c r="A52" s="44"/>
      <c r="B52" s="44"/>
      <c r="C52" s="134" t="s">
        <v>547</v>
      </c>
      <c r="D52" s="135">
        <f t="shared" si="2"/>
        <v>-529111</v>
      </c>
      <c r="E52" s="135"/>
      <c r="F52" s="135"/>
      <c r="G52" s="135"/>
      <c r="H52" s="135"/>
      <c r="I52" s="135"/>
      <c r="J52" s="135"/>
      <c r="K52" s="135"/>
      <c r="L52" s="135">
        <f>L53+L68+L70</f>
        <v>-473691</v>
      </c>
      <c r="M52" s="135">
        <f>M53+M68+M70</f>
        <v>-1443186</v>
      </c>
      <c r="N52" s="135">
        <f>N53+N68+N70</f>
        <v>1482654</v>
      </c>
      <c r="O52" s="135">
        <f>O53+O68+O70</f>
        <v>-14896</v>
      </c>
      <c r="P52" s="135">
        <f>P53+P68+P70</f>
        <v>-79992</v>
      </c>
      <c r="Q52" s="854"/>
    </row>
    <row r="53" spans="1:17" s="22" customFormat="1" ht="21.75" customHeight="1" thickTop="1">
      <c r="A53" s="38">
        <v>801</v>
      </c>
      <c r="B53" s="39"/>
      <c r="C53" s="40" t="s">
        <v>554</v>
      </c>
      <c r="D53" s="41">
        <f t="shared" si="2"/>
        <v>-405300</v>
      </c>
      <c r="E53" s="41"/>
      <c r="F53" s="41"/>
      <c r="G53" s="41"/>
      <c r="H53" s="41"/>
      <c r="I53" s="41"/>
      <c r="J53" s="41"/>
      <c r="K53" s="41"/>
      <c r="L53" s="41">
        <f>SUM(L54:L67)</f>
        <v>-84428</v>
      </c>
      <c r="M53" s="41">
        <f>SUM(M54:M67)</f>
        <v>-728925</v>
      </c>
      <c r="N53" s="41">
        <f>SUM(N54:N67)</f>
        <v>502941</v>
      </c>
      <c r="O53" s="41">
        <f>SUM(O54:O67)</f>
        <v>-14896</v>
      </c>
      <c r="P53" s="41">
        <f>SUM(P54:P67)</f>
        <v>-79992</v>
      </c>
      <c r="Q53" s="851"/>
    </row>
    <row r="54" spans="1:17" s="130" customFormat="1" ht="21.75" customHeight="1">
      <c r="A54" s="222"/>
      <c r="B54" s="223">
        <v>80101</v>
      </c>
      <c r="C54" s="129" t="s">
        <v>60</v>
      </c>
      <c r="D54" s="43">
        <f t="shared" si="2"/>
        <v>-38530</v>
      </c>
      <c r="E54" s="43"/>
      <c r="F54" s="43"/>
      <c r="G54" s="43"/>
      <c r="H54" s="43"/>
      <c r="I54" s="43"/>
      <c r="J54" s="43"/>
      <c r="K54" s="43"/>
      <c r="L54" s="43"/>
      <c r="M54" s="43">
        <v>-240582</v>
      </c>
      <c r="N54" s="43">
        <v>202052</v>
      </c>
      <c r="O54" s="43"/>
      <c r="P54" s="43"/>
      <c r="Q54" s="854"/>
    </row>
    <row r="55" spans="1:17" s="130" customFormat="1" ht="33.75" customHeight="1">
      <c r="A55" s="42"/>
      <c r="B55" s="223">
        <v>80103</v>
      </c>
      <c r="C55" s="129" t="s">
        <v>134</v>
      </c>
      <c r="D55" s="43">
        <f t="shared" si="2"/>
        <v>-3230</v>
      </c>
      <c r="E55" s="43"/>
      <c r="F55" s="43"/>
      <c r="G55" s="43"/>
      <c r="H55" s="43"/>
      <c r="I55" s="43"/>
      <c r="J55" s="43"/>
      <c r="K55" s="43"/>
      <c r="L55" s="43"/>
      <c r="M55" s="43">
        <v>-18820</v>
      </c>
      <c r="N55" s="43">
        <v>15590</v>
      </c>
      <c r="O55" s="43"/>
      <c r="P55" s="43"/>
      <c r="Q55" s="854"/>
    </row>
    <row r="56" spans="1:17" s="130" customFormat="1" ht="21.75" customHeight="1">
      <c r="A56" s="42"/>
      <c r="B56" s="223">
        <v>80104</v>
      </c>
      <c r="C56" s="129" t="s">
        <v>58</v>
      </c>
      <c r="D56" s="43">
        <f t="shared" si="2"/>
        <v>-18141</v>
      </c>
      <c r="E56" s="43"/>
      <c r="F56" s="43"/>
      <c r="G56" s="43"/>
      <c r="H56" s="43"/>
      <c r="I56" s="43"/>
      <c r="J56" s="43"/>
      <c r="K56" s="43"/>
      <c r="L56" s="43">
        <v>-2847</v>
      </c>
      <c r="M56" s="43">
        <f>-18141-55596+2847</f>
        <v>-70890</v>
      </c>
      <c r="N56" s="43">
        <v>157596</v>
      </c>
      <c r="O56" s="43">
        <v>-51000</v>
      </c>
      <c r="P56" s="43">
        <f>-51000</f>
        <v>-51000</v>
      </c>
      <c r="Q56" s="854"/>
    </row>
    <row r="57" spans="1:17" s="130" customFormat="1" ht="21.75" customHeight="1">
      <c r="A57" s="42"/>
      <c r="B57" s="223">
        <v>80110</v>
      </c>
      <c r="C57" s="129" t="s">
        <v>61</v>
      </c>
      <c r="D57" s="43">
        <f t="shared" si="2"/>
        <v>0</v>
      </c>
      <c r="E57" s="43"/>
      <c r="F57" s="43"/>
      <c r="G57" s="43"/>
      <c r="H57" s="43"/>
      <c r="I57" s="43"/>
      <c r="J57" s="43"/>
      <c r="K57" s="43"/>
      <c r="L57" s="43"/>
      <c r="M57" s="43">
        <v>-36104</v>
      </c>
      <c r="N57" s="43"/>
      <c r="O57" s="43">
        <v>36104</v>
      </c>
      <c r="P57" s="43"/>
      <c r="Q57" s="854"/>
    </row>
    <row r="58" spans="1:17" s="130" customFormat="1" ht="21.75" customHeight="1">
      <c r="A58" s="42"/>
      <c r="B58" s="223">
        <v>80111</v>
      </c>
      <c r="C58" s="129" t="s">
        <v>174</v>
      </c>
      <c r="D58" s="43">
        <f t="shared" si="2"/>
        <v>0</v>
      </c>
      <c r="E58" s="43"/>
      <c r="F58" s="43"/>
      <c r="G58" s="43"/>
      <c r="H58" s="43"/>
      <c r="I58" s="43"/>
      <c r="J58" s="43"/>
      <c r="K58" s="43"/>
      <c r="L58" s="43"/>
      <c r="M58" s="43">
        <v>-44000</v>
      </c>
      <c r="N58" s="43">
        <v>44000</v>
      </c>
      <c r="O58" s="43"/>
      <c r="P58" s="43"/>
      <c r="Q58" s="854"/>
    </row>
    <row r="59" spans="1:17" s="130" customFormat="1" ht="21.75" customHeight="1">
      <c r="A59" s="42"/>
      <c r="B59" s="223">
        <v>80113</v>
      </c>
      <c r="C59" s="129" t="s">
        <v>175</v>
      </c>
      <c r="D59" s="43">
        <f t="shared" si="2"/>
        <v>0</v>
      </c>
      <c r="E59" s="43"/>
      <c r="F59" s="43"/>
      <c r="G59" s="43"/>
      <c r="H59" s="43"/>
      <c r="I59" s="43"/>
      <c r="J59" s="43"/>
      <c r="K59" s="43"/>
      <c r="L59" s="43"/>
      <c r="M59" s="43">
        <v>-18000</v>
      </c>
      <c r="N59" s="43">
        <v>18000</v>
      </c>
      <c r="O59" s="43"/>
      <c r="P59" s="43"/>
      <c r="Q59" s="854"/>
    </row>
    <row r="60" spans="1:17" s="130" customFormat="1" ht="21.75" customHeight="1">
      <c r="A60" s="42"/>
      <c r="B60" s="223">
        <v>80120</v>
      </c>
      <c r="C60" s="129" t="s">
        <v>62</v>
      </c>
      <c r="D60" s="43">
        <f t="shared" si="2"/>
        <v>-139300</v>
      </c>
      <c r="E60" s="43"/>
      <c r="F60" s="43"/>
      <c r="G60" s="43"/>
      <c r="H60" s="43"/>
      <c r="I60" s="43"/>
      <c r="J60" s="43"/>
      <c r="K60" s="43"/>
      <c r="L60" s="43"/>
      <c r="M60" s="43">
        <v>-308</v>
      </c>
      <c r="N60" s="43">
        <f>-100000-10000</f>
        <v>-110000</v>
      </c>
      <c r="O60" s="43"/>
      <c r="P60" s="43">
        <v>-28992</v>
      </c>
      <c r="Q60" s="854"/>
    </row>
    <row r="61" spans="1:17" s="130" customFormat="1" ht="21.75" customHeight="1">
      <c r="A61" s="42"/>
      <c r="B61" s="223">
        <v>80121</v>
      </c>
      <c r="C61" s="129" t="s">
        <v>176</v>
      </c>
      <c r="D61" s="43">
        <f t="shared" si="2"/>
        <v>-10000</v>
      </c>
      <c r="E61" s="43"/>
      <c r="F61" s="43"/>
      <c r="G61" s="43"/>
      <c r="H61" s="43"/>
      <c r="I61" s="43"/>
      <c r="J61" s="43"/>
      <c r="K61" s="43"/>
      <c r="L61" s="43"/>
      <c r="M61" s="43">
        <v>-10000</v>
      </c>
      <c r="N61" s="43"/>
      <c r="O61" s="43"/>
      <c r="P61" s="43"/>
      <c r="Q61" s="854"/>
    </row>
    <row r="62" spans="1:17" s="130" customFormat="1" ht="21.75" customHeight="1">
      <c r="A62" s="42"/>
      <c r="B62" s="223">
        <v>80123</v>
      </c>
      <c r="C62" s="129" t="s">
        <v>177</v>
      </c>
      <c r="D62" s="43">
        <f t="shared" si="2"/>
        <v>0</v>
      </c>
      <c r="E62" s="43"/>
      <c r="F62" s="43"/>
      <c r="G62" s="43"/>
      <c r="H62" s="43"/>
      <c r="I62" s="43"/>
      <c r="J62" s="43"/>
      <c r="K62" s="43"/>
      <c r="L62" s="43"/>
      <c r="M62" s="43">
        <v>-16792</v>
      </c>
      <c r="N62" s="43">
        <v>16792</v>
      </c>
      <c r="O62" s="43"/>
      <c r="P62" s="43"/>
      <c r="Q62" s="854"/>
    </row>
    <row r="63" spans="1:17" s="130" customFormat="1" ht="21.75" customHeight="1">
      <c r="A63" s="42"/>
      <c r="B63" s="223">
        <v>80130</v>
      </c>
      <c r="C63" s="129" t="s">
        <v>600</v>
      </c>
      <c r="D63" s="43">
        <f t="shared" si="2"/>
        <v>-110000</v>
      </c>
      <c r="E63" s="43"/>
      <c r="F63" s="43"/>
      <c r="G63" s="43"/>
      <c r="H63" s="43"/>
      <c r="I63" s="43"/>
      <c r="J63" s="43"/>
      <c r="K63" s="43"/>
      <c r="L63" s="43"/>
      <c r="M63" s="43">
        <v>-75208</v>
      </c>
      <c r="N63" s="43">
        <v>-34792</v>
      </c>
      <c r="O63" s="43"/>
      <c r="P63" s="43"/>
      <c r="Q63" s="854"/>
    </row>
    <row r="64" spans="1:17" s="130" customFormat="1" ht="21.75" customHeight="1">
      <c r="A64" s="42"/>
      <c r="B64" s="223">
        <v>80132</v>
      </c>
      <c r="C64" s="129" t="s">
        <v>179</v>
      </c>
      <c r="D64" s="43">
        <f t="shared" si="2"/>
        <v>0</v>
      </c>
      <c r="E64" s="43"/>
      <c r="F64" s="43"/>
      <c r="G64" s="43"/>
      <c r="H64" s="43"/>
      <c r="I64" s="43"/>
      <c r="J64" s="43"/>
      <c r="K64" s="43"/>
      <c r="L64" s="43"/>
      <c r="M64" s="43">
        <v>-152000</v>
      </c>
      <c r="N64" s="43">
        <v>152000</v>
      </c>
      <c r="O64" s="43"/>
      <c r="P64" s="43"/>
      <c r="Q64" s="854"/>
    </row>
    <row r="65" spans="1:17" s="130" customFormat="1" ht="21.75" customHeight="1">
      <c r="A65" s="42"/>
      <c r="B65" s="223">
        <v>80134</v>
      </c>
      <c r="C65" s="129" t="s">
        <v>180</v>
      </c>
      <c r="D65" s="43">
        <f t="shared" si="2"/>
        <v>-10000</v>
      </c>
      <c r="E65" s="43"/>
      <c r="F65" s="43"/>
      <c r="G65" s="43"/>
      <c r="H65" s="43"/>
      <c r="I65" s="43"/>
      <c r="J65" s="43"/>
      <c r="K65" s="43"/>
      <c r="L65" s="43"/>
      <c r="M65" s="43">
        <v>-36000</v>
      </c>
      <c r="N65" s="43">
        <v>26000</v>
      </c>
      <c r="O65" s="43"/>
      <c r="P65" s="43"/>
      <c r="Q65" s="854"/>
    </row>
    <row r="66" spans="1:17" s="130" customFormat="1" ht="21.75" customHeight="1">
      <c r="A66" s="42"/>
      <c r="B66" s="223">
        <v>80146</v>
      </c>
      <c r="C66" s="129" t="s">
        <v>68</v>
      </c>
      <c r="D66" s="43">
        <f t="shared" si="2"/>
        <v>0</v>
      </c>
      <c r="E66" s="43"/>
      <c r="F66" s="43"/>
      <c r="G66" s="43"/>
      <c r="H66" s="43"/>
      <c r="I66" s="43"/>
      <c r="J66" s="43"/>
      <c r="K66" s="43"/>
      <c r="L66" s="43"/>
      <c r="M66" s="43">
        <v>-15703</v>
      </c>
      <c r="N66" s="43">
        <v>15703</v>
      </c>
      <c r="O66" s="43"/>
      <c r="P66" s="43"/>
      <c r="Q66" s="854"/>
    </row>
    <row r="67" spans="1:17" s="130" customFormat="1" ht="21.75" customHeight="1">
      <c r="A67" s="42"/>
      <c r="B67" s="223">
        <v>80195</v>
      </c>
      <c r="C67" s="129" t="s">
        <v>553</v>
      </c>
      <c r="D67" s="43">
        <f t="shared" si="2"/>
        <v>-76099</v>
      </c>
      <c r="E67" s="43"/>
      <c r="F67" s="43"/>
      <c r="G67" s="43"/>
      <c r="H67" s="43"/>
      <c r="I67" s="43"/>
      <c r="J67" s="43"/>
      <c r="K67" s="43"/>
      <c r="L67" s="43">
        <v>-81581</v>
      </c>
      <c r="M67" s="43">
        <v>5482</v>
      </c>
      <c r="N67" s="43"/>
      <c r="O67" s="43"/>
      <c r="P67" s="43"/>
      <c r="Q67" s="854"/>
    </row>
    <row r="68" spans="1:17" s="22" customFormat="1" ht="21.75" customHeight="1">
      <c r="A68" s="38">
        <v>851</v>
      </c>
      <c r="B68" s="39"/>
      <c r="C68" s="40" t="s">
        <v>557</v>
      </c>
      <c r="D68" s="41">
        <f>SUM(E68:P68)</f>
        <v>0</v>
      </c>
      <c r="E68" s="41"/>
      <c r="F68" s="41"/>
      <c r="G68" s="41"/>
      <c r="H68" s="41"/>
      <c r="I68" s="41"/>
      <c r="J68" s="41"/>
      <c r="K68" s="41"/>
      <c r="L68" s="41">
        <f>L69</f>
        <v>-50000</v>
      </c>
      <c r="M68" s="41">
        <f>M69</f>
        <v>50000</v>
      </c>
      <c r="N68" s="41"/>
      <c r="O68" s="41"/>
      <c r="P68" s="41"/>
      <c r="Q68" s="851"/>
    </row>
    <row r="69" spans="1:17" s="130" customFormat="1" ht="21.75" customHeight="1">
      <c r="A69" s="222"/>
      <c r="B69" s="223">
        <v>85154</v>
      </c>
      <c r="C69" s="129" t="s">
        <v>580</v>
      </c>
      <c r="D69" s="43">
        <f>SUM(E69:P69)</f>
        <v>0</v>
      </c>
      <c r="E69" s="43"/>
      <c r="F69" s="43"/>
      <c r="G69" s="43"/>
      <c r="H69" s="43"/>
      <c r="I69" s="43"/>
      <c r="J69" s="43"/>
      <c r="K69" s="43"/>
      <c r="L69" s="43">
        <v>-50000</v>
      </c>
      <c r="M69" s="43">
        <v>50000</v>
      </c>
      <c r="N69" s="43"/>
      <c r="O69" s="43"/>
      <c r="P69" s="43"/>
      <c r="Q69" s="854"/>
    </row>
    <row r="70" spans="1:17" s="22" customFormat="1" ht="21.75" customHeight="1">
      <c r="A70" s="38">
        <v>854</v>
      </c>
      <c r="B70" s="39"/>
      <c r="C70" s="40" t="s">
        <v>556</v>
      </c>
      <c r="D70" s="41">
        <f t="shared" si="2"/>
        <v>-123811</v>
      </c>
      <c r="E70" s="41"/>
      <c r="F70" s="41"/>
      <c r="G70" s="41"/>
      <c r="H70" s="41"/>
      <c r="I70" s="41"/>
      <c r="J70" s="41"/>
      <c r="K70" s="41"/>
      <c r="L70" s="41">
        <f>SUM(L71:L77)</f>
        <v>-339263</v>
      </c>
      <c r="M70" s="41">
        <f>SUM(M71:M77)</f>
        <v>-764261</v>
      </c>
      <c r="N70" s="41">
        <f>SUM(N71:N77)</f>
        <v>979713</v>
      </c>
      <c r="O70" s="41"/>
      <c r="P70" s="41"/>
      <c r="Q70" s="851"/>
    </row>
    <row r="71" spans="1:17" s="130" customFormat="1" ht="21.75" customHeight="1">
      <c r="A71" s="222"/>
      <c r="B71" s="223">
        <v>85401</v>
      </c>
      <c r="C71" s="129" t="s">
        <v>182</v>
      </c>
      <c r="D71" s="43">
        <f t="shared" si="2"/>
        <v>-2000</v>
      </c>
      <c r="E71" s="43"/>
      <c r="F71" s="43"/>
      <c r="G71" s="43"/>
      <c r="H71" s="43"/>
      <c r="I71" s="43"/>
      <c r="J71" s="43"/>
      <c r="K71" s="43"/>
      <c r="L71" s="43"/>
      <c r="M71" s="43">
        <v>-153600</v>
      </c>
      <c r="N71" s="43">
        <v>151600</v>
      </c>
      <c r="O71" s="43"/>
      <c r="P71" s="43"/>
      <c r="Q71" s="854"/>
    </row>
    <row r="72" spans="1:17" s="130" customFormat="1" ht="21.75" customHeight="1">
      <c r="A72" s="42"/>
      <c r="B72" s="223">
        <v>85403</v>
      </c>
      <c r="C72" s="129" t="s">
        <v>183</v>
      </c>
      <c r="D72" s="43">
        <f t="shared" si="2"/>
        <v>0</v>
      </c>
      <c r="E72" s="43"/>
      <c r="F72" s="43"/>
      <c r="G72" s="43"/>
      <c r="H72" s="43"/>
      <c r="I72" s="43"/>
      <c r="J72" s="43"/>
      <c r="K72" s="43"/>
      <c r="L72" s="43">
        <v>-36350</v>
      </c>
      <c r="M72" s="43">
        <v>-22880</v>
      </c>
      <c r="N72" s="43">
        <v>59230</v>
      </c>
      <c r="O72" s="43"/>
      <c r="P72" s="43"/>
      <c r="Q72" s="854"/>
    </row>
    <row r="73" spans="1:17" s="130" customFormat="1" ht="30.75" customHeight="1">
      <c r="A73" s="42"/>
      <c r="B73" s="223">
        <v>85406</v>
      </c>
      <c r="C73" s="129" t="s">
        <v>184</v>
      </c>
      <c r="D73" s="43">
        <f t="shared" si="2"/>
        <v>-4000</v>
      </c>
      <c r="E73" s="43"/>
      <c r="F73" s="43"/>
      <c r="G73" s="43"/>
      <c r="H73" s="43"/>
      <c r="I73" s="43"/>
      <c r="J73" s="43"/>
      <c r="K73" s="43"/>
      <c r="L73" s="43"/>
      <c r="M73" s="43">
        <v>-517542</v>
      </c>
      <c r="N73" s="43">
        <v>513542</v>
      </c>
      <c r="O73" s="43"/>
      <c r="P73" s="43"/>
      <c r="Q73" s="854"/>
    </row>
    <row r="74" spans="1:17" s="130" customFormat="1" ht="21.75" customHeight="1">
      <c r="A74" s="42"/>
      <c r="B74" s="44">
        <v>85407</v>
      </c>
      <c r="C74" s="441" t="s">
        <v>63</v>
      </c>
      <c r="D74" s="442">
        <f t="shared" si="2"/>
        <v>0</v>
      </c>
      <c r="E74" s="442"/>
      <c r="F74" s="442"/>
      <c r="G74" s="442"/>
      <c r="H74" s="442"/>
      <c r="I74" s="442"/>
      <c r="J74" s="442"/>
      <c r="K74" s="442"/>
      <c r="L74" s="442"/>
      <c r="M74" s="442">
        <v>-105000</v>
      </c>
      <c r="N74" s="442">
        <v>105000</v>
      </c>
      <c r="O74" s="442"/>
      <c r="P74" s="442"/>
      <c r="Q74" s="854"/>
    </row>
    <row r="75" spans="1:17" s="130" customFormat="1" ht="21.75" customHeight="1">
      <c r="A75" s="42"/>
      <c r="B75" s="223">
        <v>85410</v>
      </c>
      <c r="C75" s="129" t="s">
        <v>91</v>
      </c>
      <c r="D75" s="43">
        <f t="shared" si="2"/>
        <v>-15531</v>
      </c>
      <c r="E75" s="43"/>
      <c r="F75" s="43"/>
      <c r="G75" s="43"/>
      <c r="H75" s="43"/>
      <c r="I75" s="43"/>
      <c r="J75" s="43"/>
      <c r="K75" s="43"/>
      <c r="L75" s="43">
        <v>-36632</v>
      </c>
      <c r="M75" s="43">
        <v>-129240</v>
      </c>
      <c r="N75" s="43">
        <v>150341</v>
      </c>
      <c r="O75" s="43"/>
      <c r="P75" s="43"/>
      <c r="Q75" s="854"/>
    </row>
    <row r="76" spans="1:17" s="130" customFormat="1" ht="21.75" customHeight="1">
      <c r="A76" s="42"/>
      <c r="B76" s="223">
        <v>85415</v>
      </c>
      <c r="C76" s="129" t="s">
        <v>59</v>
      </c>
      <c r="D76" s="43">
        <f t="shared" si="2"/>
        <v>-96880</v>
      </c>
      <c r="E76" s="43"/>
      <c r="F76" s="43"/>
      <c r="G76" s="43"/>
      <c r="H76" s="43"/>
      <c r="I76" s="43"/>
      <c r="J76" s="43"/>
      <c r="K76" s="43"/>
      <c r="L76" s="43">
        <v>-179881</v>
      </c>
      <c r="M76" s="43">
        <v>83001</v>
      </c>
      <c r="N76" s="43"/>
      <c r="O76" s="43"/>
      <c r="P76" s="43"/>
      <c r="Q76" s="854"/>
    </row>
    <row r="77" spans="1:17" s="130" customFormat="1" ht="21.75" customHeight="1">
      <c r="A77" s="42"/>
      <c r="B77" s="223">
        <v>85495</v>
      </c>
      <c r="C77" s="129" t="s">
        <v>553</v>
      </c>
      <c r="D77" s="43">
        <f t="shared" si="2"/>
        <v>-5400</v>
      </c>
      <c r="E77" s="43"/>
      <c r="F77" s="43"/>
      <c r="G77" s="43"/>
      <c r="H77" s="43"/>
      <c r="I77" s="43"/>
      <c r="J77" s="43"/>
      <c r="K77" s="43"/>
      <c r="L77" s="43">
        <v>-86400</v>
      </c>
      <c r="M77" s="43">
        <v>81000</v>
      </c>
      <c r="N77" s="43"/>
      <c r="O77" s="43"/>
      <c r="P77" s="43"/>
      <c r="Q77" s="854"/>
    </row>
    <row r="78" spans="1:17" s="130" customFormat="1" ht="31.5" thickBot="1">
      <c r="A78" s="44"/>
      <c r="B78" s="44"/>
      <c r="C78" s="134" t="s">
        <v>188</v>
      </c>
      <c r="D78" s="135">
        <f>SUM(E78:P78)</f>
        <v>0</v>
      </c>
      <c r="E78" s="135"/>
      <c r="F78" s="135"/>
      <c r="G78" s="135"/>
      <c r="H78" s="135"/>
      <c r="I78" s="135"/>
      <c r="J78" s="135"/>
      <c r="K78" s="135"/>
      <c r="L78" s="135"/>
      <c r="M78" s="135">
        <f aca="true" t="shared" si="10" ref="M78:O79">M79</f>
        <v>-1054</v>
      </c>
      <c r="N78" s="135">
        <f t="shared" si="10"/>
        <v>8654</v>
      </c>
      <c r="O78" s="135">
        <f t="shared" si="10"/>
        <v>-7600</v>
      </c>
      <c r="P78" s="135"/>
      <c r="Q78" s="854"/>
    </row>
    <row r="79" spans="1:17" s="22" customFormat="1" ht="21.75" customHeight="1" thickTop="1">
      <c r="A79" s="38">
        <v>801</v>
      </c>
      <c r="B79" s="39"/>
      <c r="C79" s="40" t="s">
        <v>554</v>
      </c>
      <c r="D79" s="41">
        <f>SUM(E79:P79)</f>
        <v>0</v>
      </c>
      <c r="E79" s="41"/>
      <c r="F79" s="41"/>
      <c r="G79" s="41"/>
      <c r="H79" s="41"/>
      <c r="I79" s="41"/>
      <c r="J79" s="41"/>
      <c r="K79" s="41"/>
      <c r="L79" s="41"/>
      <c r="M79" s="41">
        <f t="shared" si="10"/>
        <v>-1054</v>
      </c>
      <c r="N79" s="41">
        <f t="shared" si="10"/>
        <v>8654</v>
      </c>
      <c r="O79" s="41">
        <f t="shared" si="10"/>
        <v>-7600</v>
      </c>
      <c r="P79" s="41"/>
      <c r="Q79" s="851"/>
    </row>
    <row r="80" spans="1:17" s="130" customFormat="1" ht="21.75" customHeight="1">
      <c r="A80" s="223"/>
      <c r="B80" s="223">
        <v>80104</v>
      </c>
      <c r="C80" s="129" t="s">
        <v>58</v>
      </c>
      <c r="D80" s="43">
        <f>SUM(E80:P80)</f>
        <v>0</v>
      </c>
      <c r="E80" s="43"/>
      <c r="F80" s="43"/>
      <c r="G80" s="43"/>
      <c r="H80" s="43"/>
      <c r="I80" s="43"/>
      <c r="J80" s="43"/>
      <c r="K80" s="43"/>
      <c r="L80" s="43"/>
      <c r="M80" s="43">
        <v>-1054</v>
      </c>
      <c r="N80" s="43">
        <v>8654</v>
      </c>
      <c r="O80" s="43">
        <v>-7600</v>
      </c>
      <c r="P80" s="43"/>
      <c r="Q80" s="854"/>
    </row>
    <row r="81" spans="1:17" s="130" customFormat="1" ht="21.75" customHeight="1">
      <c r="A81" s="1427"/>
      <c r="B81" s="1427"/>
      <c r="C81" s="1428"/>
      <c r="D81" s="1429"/>
      <c r="E81" s="1429"/>
      <c r="F81" s="1429"/>
      <c r="G81" s="1429"/>
      <c r="H81" s="1429"/>
      <c r="I81" s="1429"/>
      <c r="J81" s="1429"/>
      <c r="K81" s="1429"/>
      <c r="L81" s="1429"/>
      <c r="M81" s="1429"/>
      <c r="N81" s="1429"/>
      <c r="O81" s="1429"/>
      <c r="P81" s="1429"/>
      <c r="Q81" s="854"/>
    </row>
    <row r="82" spans="1:17" s="33" customFormat="1" ht="21.75" customHeight="1">
      <c r="A82" s="30"/>
      <c r="B82" s="30"/>
      <c r="C82" s="31" t="s">
        <v>496</v>
      </c>
      <c r="D82" s="32">
        <f t="shared" si="2"/>
        <v>-349720</v>
      </c>
      <c r="E82" s="32"/>
      <c r="F82" s="32"/>
      <c r="G82" s="32"/>
      <c r="H82" s="32"/>
      <c r="I82" s="32"/>
      <c r="J82" s="32">
        <f>J83</f>
        <v>-7026</v>
      </c>
      <c r="K82" s="32">
        <f aca="true" t="shared" si="11" ref="K82:P82">K83</f>
        <v>-188653</v>
      </c>
      <c r="L82" s="32">
        <f t="shared" si="11"/>
        <v>-420479</v>
      </c>
      <c r="M82" s="32">
        <f t="shared" si="11"/>
        <v>-205875</v>
      </c>
      <c r="N82" s="32">
        <f t="shared" si="11"/>
        <v>167115</v>
      </c>
      <c r="O82" s="32">
        <f t="shared" si="11"/>
        <v>300380</v>
      </c>
      <c r="P82" s="32">
        <f t="shared" si="11"/>
        <v>4818</v>
      </c>
      <c r="Q82" s="853"/>
    </row>
    <row r="83" spans="1:17" s="22" customFormat="1" ht="21.75" customHeight="1" thickBot="1">
      <c r="A83" s="35"/>
      <c r="B83" s="35"/>
      <c r="C83" s="36" t="s">
        <v>547</v>
      </c>
      <c r="D83" s="37">
        <f t="shared" si="2"/>
        <v>-349720</v>
      </c>
      <c r="E83" s="37"/>
      <c r="F83" s="37"/>
      <c r="G83" s="37"/>
      <c r="H83" s="37"/>
      <c r="I83" s="37"/>
      <c r="J83" s="37">
        <f>J84+J86+J88+J94</f>
        <v>-7026</v>
      </c>
      <c r="K83" s="37">
        <f aca="true" t="shared" si="12" ref="K83:P83">K84+K86+K88+K94</f>
        <v>-188653</v>
      </c>
      <c r="L83" s="37">
        <f t="shared" si="12"/>
        <v>-420479</v>
      </c>
      <c r="M83" s="37">
        <f t="shared" si="12"/>
        <v>-205875</v>
      </c>
      <c r="N83" s="37">
        <f t="shared" si="12"/>
        <v>167115</v>
      </c>
      <c r="O83" s="37">
        <f t="shared" si="12"/>
        <v>300380</v>
      </c>
      <c r="P83" s="37">
        <f t="shared" si="12"/>
        <v>4818</v>
      </c>
      <c r="Q83" s="851"/>
    </row>
    <row r="84" spans="1:17" s="22" customFormat="1" ht="21.75" customHeight="1" thickTop="1">
      <c r="A84" s="38">
        <v>700</v>
      </c>
      <c r="B84" s="39"/>
      <c r="C84" s="40" t="s">
        <v>586</v>
      </c>
      <c r="D84" s="41">
        <f>SUM(E84:P84)</f>
        <v>0</v>
      </c>
      <c r="E84" s="41"/>
      <c r="F84" s="41"/>
      <c r="G84" s="41"/>
      <c r="H84" s="41"/>
      <c r="I84" s="41"/>
      <c r="J84" s="41"/>
      <c r="K84" s="41"/>
      <c r="L84" s="41"/>
      <c r="M84" s="41">
        <f>M85</f>
        <v>-450000</v>
      </c>
      <c r="N84" s="41"/>
      <c r="O84" s="41">
        <f>O85</f>
        <v>200000</v>
      </c>
      <c r="P84" s="41">
        <f>P85</f>
        <v>250000</v>
      </c>
      <c r="Q84" s="851"/>
    </row>
    <row r="85" spans="1:17" s="130" customFormat="1" ht="21.75" customHeight="1">
      <c r="A85" s="222"/>
      <c r="B85" s="223">
        <v>70001</v>
      </c>
      <c r="C85" s="129" t="s">
        <v>229</v>
      </c>
      <c r="D85" s="43">
        <f>SUM(E85:P85)</f>
        <v>0</v>
      </c>
      <c r="E85" s="43"/>
      <c r="F85" s="43"/>
      <c r="G85" s="43"/>
      <c r="H85" s="43"/>
      <c r="I85" s="43"/>
      <c r="J85" s="43"/>
      <c r="K85" s="43"/>
      <c r="L85" s="43"/>
      <c r="M85" s="43">
        <f>-450000</f>
        <v>-450000</v>
      </c>
      <c r="N85" s="43"/>
      <c r="O85" s="43">
        <v>200000</v>
      </c>
      <c r="P85" s="43">
        <v>250000</v>
      </c>
      <c r="Q85" s="854"/>
    </row>
    <row r="86" spans="1:17" s="22" customFormat="1" ht="21.75" customHeight="1">
      <c r="A86" s="38">
        <v>758</v>
      </c>
      <c r="B86" s="39"/>
      <c r="C86" s="40" t="s">
        <v>549</v>
      </c>
      <c r="D86" s="41">
        <f>SUM(E86:P86)</f>
        <v>0</v>
      </c>
      <c r="E86" s="41"/>
      <c r="F86" s="41"/>
      <c r="G86" s="41"/>
      <c r="H86" s="41"/>
      <c r="I86" s="41"/>
      <c r="J86" s="41">
        <f>J87</f>
        <v>-7026</v>
      </c>
      <c r="K86" s="41">
        <f>K87</f>
        <v>-2000</v>
      </c>
      <c r="L86" s="41">
        <f>L87</f>
        <v>-12300</v>
      </c>
      <c r="M86" s="41">
        <f>M87</f>
        <v>-13370</v>
      </c>
      <c r="N86" s="41">
        <f>N87</f>
        <v>34696</v>
      </c>
      <c r="O86" s="41"/>
      <c r="P86" s="41"/>
      <c r="Q86" s="851"/>
    </row>
    <row r="87" spans="1:17" s="130" customFormat="1" ht="21.75" customHeight="1">
      <c r="A87" s="222"/>
      <c r="B87" s="223">
        <v>75860</v>
      </c>
      <c r="C87" s="129" t="s">
        <v>205</v>
      </c>
      <c r="D87" s="43">
        <f>SUM(E87:P87)</f>
        <v>0</v>
      </c>
      <c r="E87" s="43"/>
      <c r="F87" s="43"/>
      <c r="G87" s="43"/>
      <c r="H87" s="43"/>
      <c r="I87" s="43"/>
      <c r="J87" s="43">
        <f>-4526-2500</f>
        <v>-7026</v>
      </c>
      <c r="K87" s="43">
        <v>-2000</v>
      </c>
      <c r="L87" s="43">
        <f>-2000-10300</f>
        <v>-12300</v>
      </c>
      <c r="M87" s="43">
        <f>-8370-5000</f>
        <v>-13370</v>
      </c>
      <c r="N87" s="43">
        <f>4526+2000+8370+2500+2000+10300+5000</f>
        <v>34696</v>
      </c>
      <c r="O87" s="43"/>
      <c r="P87" s="43"/>
      <c r="Q87" s="854"/>
    </row>
    <row r="88" spans="1:17" s="22" customFormat="1" ht="21.75" customHeight="1">
      <c r="A88" s="38">
        <v>851</v>
      </c>
      <c r="B88" s="39"/>
      <c r="C88" s="40" t="s">
        <v>557</v>
      </c>
      <c r="D88" s="41">
        <f t="shared" si="2"/>
        <v>2200</v>
      </c>
      <c r="E88" s="41"/>
      <c r="F88" s="41"/>
      <c r="G88" s="41"/>
      <c r="H88" s="41"/>
      <c r="I88" s="41"/>
      <c r="J88" s="41"/>
      <c r="K88" s="41">
        <f aca="true" t="shared" si="13" ref="K88:P88">SUM(K89:K93)</f>
        <v>-186653</v>
      </c>
      <c r="L88" s="41">
        <f t="shared" si="13"/>
        <v>-315000</v>
      </c>
      <c r="M88" s="41">
        <f t="shared" si="13"/>
        <v>257495</v>
      </c>
      <c r="N88" s="41">
        <f t="shared" si="13"/>
        <v>39240</v>
      </c>
      <c r="O88" s="41">
        <f t="shared" si="13"/>
        <v>100380</v>
      </c>
      <c r="P88" s="41">
        <f t="shared" si="13"/>
        <v>106738</v>
      </c>
      <c r="Q88" s="851"/>
    </row>
    <row r="89" spans="1:17" s="130" customFormat="1" ht="21.75" customHeight="1">
      <c r="A89" s="42"/>
      <c r="B89" s="223">
        <v>85121</v>
      </c>
      <c r="C89" s="129" t="s">
        <v>335</v>
      </c>
      <c r="D89" s="43">
        <f>SUM(E89:P89)</f>
        <v>0</v>
      </c>
      <c r="E89" s="43"/>
      <c r="F89" s="43"/>
      <c r="G89" s="43"/>
      <c r="H89" s="43"/>
      <c r="I89" s="43"/>
      <c r="J89" s="43"/>
      <c r="K89" s="43">
        <v>-56738</v>
      </c>
      <c r="L89" s="43">
        <v>-20000</v>
      </c>
      <c r="M89" s="43"/>
      <c r="N89" s="43"/>
      <c r="O89" s="43"/>
      <c r="P89" s="43">
        <v>76738</v>
      </c>
      <c r="Q89" s="854"/>
    </row>
    <row r="90" spans="1:17" s="130" customFormat="1" ht="21.75" customHeight="1">
      <c r="A90" s="42"/>
      <c r="B90" s="223">
        <v>85149</v>
      </c>
      <c r="C90" s="129" t="s">
        <v>659</v>
      </c>
      <c r="D90" s="43">
        <f t="shared" si="2"/>
        <v>0</v>
      </c>
      <c r="E90" s="43"/>
      <c r="F90" s="43"/>
      <c r="G90" s="43"/>
      <c r="H90" s="43"/>
      <c r="I90" s="43"/>
      <c r="J90" s="43"/>
      <c r="K90" s="43">
        <v>-100380</v>
      </c>
      <c r="L90" s="43">
        <v>-30000</v>
      </c>
      <c r="M90" s="43"/>
      <c r="N90" s="43"/>
      <c r="O90" s="43">
        <v>100380</v>
      </c>
      <c r="P90" s="43">
        <v>30000</v>
      </c>
      <c r="Q90" s="854"/>
    </row>
    <row r="91" spans="1:17" s="130" customFormat="1" ht="21.75" customHeight="1">
      <c r="A91" s="42"/>
      <c r="B91" s="223">
        <v>85153</v>
      </c>
      <c r="C91" s="129" t="s">
        <v>660</v>
      </c>
      <c r="D91" s="43">
        <f t="shared" si="2"/>
        <v>0</v>
      </c>
      <c r="E91" s="43"/>
      <c r="F91" s="43"/>
      <c r="G91" s="43"/>
      <c r="H91" s="43"/>
      <c r="I91" s="43"/>
      <c r="J91" s="43"/>
      <c r="K91" s="43">
        <v>-28080</v>
      </c>
      <c r="L91" s="43">
        <v>-21160</v>
      </c>
      <c r="M91" s="43"/>
      <c r="N91" s="43">
        <v>49240</v>
      </c>
      <c r="O91" s="43"/>
      <c r="P91" s="43"/>
      <c r="Q91" s="854"/>
    </row>
    <row r="92" spans="1:17" s="130" customFormat="1" ht="21.75" customHeight="1">
      <c r="A92" s="42"/>
      <c r="B92" s="223">
        <v>85154</v>
      </c>
      <c r="C92" s="129" t="s">
        <v>580</v>
      </c>
      <c r="D92" s="43">
        <f t="shared" si="2"/>
        <v>2200</v>
      </c>
      <c r="E92" s="43"/>
      <c r="F92" s="43"/>
      <c r="G92" s="43"/>
      <c r="H92" s="43"/>
      <c r="I92" s="43"/>
      <c r="J92" s="43"/>
      <c r="K92" s="43"/>
      <c r="L92" s="43">
        <v>-202840</v>
      </c>
      <c r="M92" s="43">
        <f>202840+4200-2000</f>
        <v>205040</v>
      </c>
      <c r="N92" s="43"/>
      <c r="O92" s="43"/>
      <c r="P92" s="43"/>
      <c r="Q92" s="854"/>
    </row>
    <row r="93" spans="1:17" s="130" customFormat="1" ht="21.75" customHeight="1">
      <c r="A93" s="42"/>
      <c r="B93" s="223">
        <v>85195</v>
      </c>
      <c r="C93" s="129" t="s">
        <v>553</v>
      </c>
      <c r="D93" s="43">
        <f t="shared" si="2"/>
        <v>0</v>
      </c>
      <c r="E93" s="43"/>
      <c r="F93" s="43"/>
      <c r="G93" s="43"/>
      <c r="H93" s="43"/>
      <c r="I93" s="43"/>
      <c r="J93" s="43"/>
      <c r="K93" s="43">
        <v>-1455</v>
      </c>
      <c r="L93" s="43">
        <v>-41000</v>
      </c>
      <c r="M93" s="43">
        <v>52455</v>
      </c>
      <c r="N93" s="43">
        <v>-10000</v>
      </c>
      <c r="O93" s="43"/>
      <c r="P93" s="43"/>
      <c r="Q93" s="854"/>
    </row>
    <row r="94" spans="1:17" s="22" customFormat="1" ht="21.75" customHeight="1">
      <c r="A94" s="38">
        <v>926</v>
      </c>
      <c r="B94" s="39"/>
      <c r="C94" s="40" t="s">
        <v>128</v>
      </c>
      <c r="D94" s="41">
        <f>SUM(E94:P94)</f>
        <v>-351920</v>
      </c>
      <c r="E94" s="41"/>
      <c r="F94" s="41"/>
      <c r="G94" s="41"/>
      <c r="H94" s="41"/>
      <c r="I94" s="41"/>
      <c r="J94" s="41"/>
      <c r="K94" s="41"/>
      <c r="L94" s="41">
        <f>L95</f>
        <v>-93179</v>
      </c>
      <c r="M94" s="41"/>
      <c r="N94" s="41">
        <f>N95</f>
        <v>93179</v>
      </c>
      <c r="O94" s="41"/>
      <c r="P94" s="41">
        <f>P95</f>
        <v>-351920</v>
      </c>
      <c r="Q94" s="851"/>
    </row>
    <row r="95" spans="1:17" s="130" customFormat="1" ht="21.75" customHeight="1">
      <c r="A95" s="42"/>
      <c r="B95" s="223">
        <v>92605</v>
      </c>
      <c r="C95" s="129" t="s">
        <v>181</v>
      </c>
      <c r="D95" s="43">
        <f>SUM(E95:P95)</f>
        <v>-351920</v>
      </c>
      <c r="E95" s="43"/>
      <c r="F95" s="43"/>
      <c r="G95" s="43"/>
      <c r="H95" s="43"/>
      <c r="I95" s="43"/>
      <c r="J95" s="43"/>
      <c r="K95" s="43"/>
      <c r="L95" s="43">
        <v>-93179</v>
      </c>
      <c r="M95" s="43"/>
      <c r="N95" s="43">
        <v>93179</v>
      </c>
      <c r="O95" s="43"/>
      <c r="P95" s="43">
        <v>-351920</v>
      </c>
      <c r="Q95" s="854"/>
    </row>
    <row r="96" spans="1:17" s="33" customFormat="1" ht="21.75" customHeight="1">
      <c r="A96" s="30"/>
      <c r="B96" s="30"/>
      <c r="C96" s="31" t="s">
        <v>497</v>
      </c>
      <c r="D96" s="32">
        <f t="shared" si="2"/>
        <v>0</v>
      </c>
      <c r="E96" s="32"/>
      <c r="F96" s="32"/>
      <c r="G96" s="32"/>
      <c r="H96" s="32"/>
      <c r="I96" s="32"/>
      <c r="J96" s="32"/>
      <c r="K96" s="32"/>
      <c r="L96" s="32">
        <f>L97+L126</f>
        <v>-37939573</v>
      </c>
      <c r="M96" s="32">
        <f>M97+M126</f>
        <v>35571573</v>
      </c>
      <c r="N96" s="32">
        <f>N97+N126</f>
        <v>2468000</v>
      </c>
      <c r="O96" s="32">
        <f>O97+O126</f>
        <v>50000</v>
      </c>
      <c r="P96" s="32">
        <f>P97+P126</f>
        <v>-150000</v>
      </c>
      <c r="Q96" s="853"/>
    </row>
    <row r="97" spans="1:17" s="22" customFormat="1" ht="21.75" customHeight="1" thickBot="1">
      <c r="A97" s="35"/>
      <c r="B97" s="35"/>
      <c r="C97" s="36" t="s">
        <v>547</v>
      </c>
      <c r="D97" s="37">
        <f t="shared" si="2"/>
        <v>0</v>
      </c>
      <c r="E97" s="37"/>
      <c r="F97" s="37"/>
      <c r="G97" s="37"/>
      <c r="H97" s="37"/>
      <c r="I97" s="37"/>
      <c r="J97" s="37"/>
      <c r="K97" s="37"/>
      <c r="L97" s="37">
        <f>L98+L103+L105+L108+L113+L115+L120+L123</f>
        <v>-37876811</v>
      </c>
      <c r="M97" s="37">
        <f>M98+M103+M105+M108+M113+M115+M120+M123</f>
        <v>35508811</v>
      </c>
      <c r="N97" s="37">
        <f>N98+N103+N105+N108+N113+N115+N120+N123</f>
        <v>2468000</v>
      </c>
      <c r="O97" s="37">
        <f>O98+O103+O105+O108+O113+O115+O120+O123</f>
        <v>50000</v>
      </c>
      <c r="P97" s="37">
        <f>P98+P103+P105+P108+P113+P115+P120+P123</f>
        <v>-150000</v>
      </c>
      <c r="Q97" s="851"/>
    </row>
    <row r="98" spans="1:17" s="22" customFormat="1" ht="21.75" customHeight="1" thickTop="1">
      <c r="A98" s="38">
        <v>600</v>
      </c>
      <c r="B98" s="39"/>
      <c r="C98" s="40" t="s">
        <v>551</v>
      </c>
      <c r="D98" s="41">
        <f t="shared" si="2"/>
        <v>0</v>
      </c>
      <c r="E98" s="41"/>
      <c r="F98" s="41"/>
      <c r="G98" s="41"/>
      <c r="H98" s="41"/>
      <c r="I98" s="41"/>
      <c r="J98" s="41"/>
      <c r="K98" s="41"/>
      <c r="L98" s="41">
        <f>SUM(L99:L102)</f>
        <v>-10747964</v>
      </c>
      <c r="M98" s="41">
        <f>SUM(M99:M102)</f>
        <v>9859964</v>
      </c>
      <c r="N98" s="41">
        <f>SUM(N99:N102)</f>
        <v>508000</v>
      </c>
      <c r="O98" s="41">
        <f>SUM(O99:O102)</f>
        <v>380000</v>
      </c>
      <c r="P98" s="41"/>
      <c r="Q98" s="851"/>
    </row>
    <row r="99" spans="1:17" s="221" customFormat="1" ht="21.75" customHeight="1">
      <c r="A99" s="406"/>
      <c r="B99" s="407">
        <v>60004</v>
      </c>
      <c r="C99" s="219" t="s">
        <v>552</v>
      </c>
      <c r="D99" s="43">
        <f t="shared" si="2"/>
        <v>0</v>
      </c>
      <c r="E99" s="220"/>
      <c r="F99" s="220"/>
      <c r="G99" s="220"/>
      <c r="H99" s="220"/>
      <c r="I99" s="220"/>
      <c r="J99" s="220"/>
      <c r="K99" s="220"/>
      <c r="L99" s="452">
        <v>-355435</v>
      </c>
      <c r="M99" s="220">
        <v>355435</v>
      </c>
      <c r="N99" s="220"/>
      <c r="O99" s="220"/>
      <c r="P99" s="220"/>
      <c r="Q99" s="856"/>
    </row>
    <row r="100" spans="1:17" s="130" customFormat="1" ht="20.25" customHeight="1">
      <c r="A100" s="42"/>
      <c r="B100" s="223">
        <v>60015</v>
      </c>
      <c r="C100" s="129" t="s">
        <v>70</v>
      </c>
      <c r="D100" s="43">
        <f t="shared" si="2"/>
        <v>-1760000</v>
      </c>
      <c r="E100" s="43"/>
      <c r="F100" s="43"/>
      <c r="G100" s="43"/>
      <c r="H100" s="43"/>
      <c r="I100" s="43"/>
      <c r="J100" s="43"/>
      <c r="K100" s="43"/>
      <c r="L100" s="43">
        <v>-9628208</v>
      </c>
      <c r="M100" s="43">
        <f>9628208-860000</f>
        <v>8768208</v>
      </c>
      <c r="N100" s="43">
        <v>-400000</v>
      </c>
      <c r="O100" s="43">
        <v>-500000</v>
      </c>
      <c r="P100" s="43"/>
      <c r="Q100" s="854"/>
    </row>
    <row r="101" spans="1:17" s="130" customFormat="1" ht="19.5" customHeight="1">
      <c r="A101" s="42"/>
      <c r="B101" s="44">
        <v>60016</v>
      </c>
      <c r="C101" s="441" t="s">
        <v>115</v>
      </c>
      <c r="D101" s="43">
        <f t="shared" si="2"/>
        <v>1788000</v>
      </c>
      <c r="E101" s="442"/>
      <c r="F101" s="442"/>
      <c r="G101" s="442"/>
      <c r="H101" s="442"/>
      <c r="I101" s="442"/>
      <c r="J101" s="442"/>
      <c r="K101" s="442"/>
      <c r="L101" s="442">
        <v>-735752</v>
      </c>
      <c r="M101" s="442">
        <v>735752</v>
      </c>
      <c r="N101" s="442">
        <v>908000</v>
      </c>
      <c r="O101" s="442">
        <v>880000</v>
      </c>
      <c r="P101" s="442"/>
      <c r="Q101" s="854"/>
    </row>
    <row r="102" spans="1:17" s="130" customFormat="1" ht="19.5" customHeight="1">
      <c r="A102" s="44"/>
      <c r="B102" s="44">
        <v>60017</v>
      </c>
      <c r="C102" s="441" t="s">
        <v>456</v>
      </c>
      <c r="D102" s="43">
        <f t="shared" si="2"/>
        <v>-28000</v>
      </c>
      <c r="E102" s="442"/>
      <c r="F102" s="442"/>
      <c r="G102" s="442"/>
      <c r="H102" s="442"/>
      <c r="I102" s="442"/>
      <c r="J102" s="442"/>
      <c r="K102" s="442"/>
      <c r="L102" s="442">
        <v>-28569</v>
      </c>
      <c r="M102" s="442">
        <f>28569-28000</f>
        <v>569</v>
      </c>
      <c r="N102" s="442"/>
      <c r="O102" s="442"/>
      <c r="P102" s="442"/>
      <c r="Q102" s="854"/>
    </row>
    <row r="103" spans="1:17" s="22" customFormat="1" ht="21.75" customHeight="1">
      <c r="A103" s="38">
        <v>700</v>
      </c>
      <c r="B103" s="39"/>
      <c r="C103" s="40" t="s">
        <v>586</v>
      </c>
      <c r="D103" s="41">
        <f t="shared" si="2"/>
        <v>0</v>
      </c>
      <c r="E103" s="41"/>
      <c r="F103" s="41"/>
      <c r="G103" s="41"/>
      <c r="H103" s="41"/>
      <c r="I103" s="41"/>
      <c r="J103" s="41"/>
      <c r="K103" s="41"/>
      <c r="L103" s="41">
        <f>L104</f>
        <v>-1222367</v>
      </c>
      <c r="M103" s="41">
        <f>M104</f>
        <v>1222367</v>
      </c>
      <c r="N103" s="41"/>
      <c r="O103" s="41"/>
      <c r="P103" s="41"/>
      <c r="Q103" s="851"/>
    </row>
    <row r="104" spans="1:17" s="130" customFormat="1" ht="21.75" customHeight="1">
      <c r="A104" s="222"/>
      <c r="B104" s="223">
        <v>70095</v>
      </c>
      <c r="C104" s="129" t="s">
        <v>553</v>
      </c>
      <c r="D104" s="43">
        <f t="shared" si="2"/>
        <v>0</v>
      </c>
      <c r="E104" s="43"/>
      <c r="F104" s="43"/>
      <c r="G104" s="43"/>
      <c r="H104" s="43"/>
      <c r="I104" s="43"/>
      <c r="J104" s="43"/>
      <c r="K104" s="43"/>
      <c r="L104" s="43">
        <v>-1222367</v>
      </c>
      <c r="M104" s="43">
        <v>1222367</v>
      </c>
      <c r="N104" s="43"/>
      <c r="O104" s="43"/>
      <c r="P104" s="43"/>
      <c r="Q104" s="854"/>
    </row>
    <row r="105" spans="1:17" s="22" customFormat="1" ht="21.75" customHeight="1">
      <c r="A105" s="38">
        <v>710</v>
      </c>
      <c r="B105" s="39"/>
      <c r="C105" s="40" t="s">
        <v>116</v>
      </c>
      <c r="D105" s="41">
        <f t="shared" si="2"/>
        <v>0</v>
      </c>
      <c r="E105" s="41"/>
      <c r="F105" s="41"/>
      <c r="G105" s="41"/>
      <c r="H105" s="41"/>
      <c r="I105" s="41"/>
      <c r="J105" s="41"/>
      <c r="K105" s="41"/>
      <c r="L105" s="41">
        <f>SUM(L106:L107)</f>
        <v>-423955</v>
      </c>
      <c r="M105" s="41">
        <f>SUM(M106:M107)</f>
        <v>423955</v>
      </c>
      <c r="N105" s="41"/>
      <c r="O105" s="41"/>
      <c r="P105" s="41"/>
      <c r="Q105" s="851"/>
    </row>
    <row r="106" spans="1:17" s="130" customFormat="1" ht="21.75" customHeight="1">
      <c r="A106" s="222"/>
      <c r="B106" s="223">
        <v>71004</v>
      </c>
      <c r="C106" s="129" t="s">
        <v>123</v>
      </c>
      <c r="D106" s="43">
        <f t="shared" si="2"/>
        <v>0</v>
      </c>
      <c r="E106" s="43"/>
      <c r="F106" s="43"/>
      <c r="G106" s="43"/>
      <c r="H106" s="43"/>
      <c r="I106" s="43"/>
      <c r="J106" s="43"/>
      <c r="K106" s="43"/>
      <c r="L106" s="43">
        <v>-23795</v>
      </c>
      <c r="M106" s="43">
        <v>23795</v>
      </c>
      <c r="N106" s="43"/>
      <c r="O106" s="43"/>
      <c r="P106" s="43"/>
      <c r="Q106" s="854"/>
    </row>
    <row r="107" spans="1:17" s="130" customFormat="1" ht="21.75" customHeight="1">
      <c r="A107" s="44"/>
      <c r="B107" s="223">
        <v>71035</v>
      </c>
      <c r="C107" s="129" t="s">
        <v>518</v>
      </c>
      <c r="D107" s="43">
        <f t="shared" si="2"/>
        <v>0</v>
      </c>
      <c r="E107" s="43"/>
      <c r="F107" s="43"/>
      <c r="G107" s="43"/>
      <c r="H107" s="43"/>
      <c r="I107" s="43"/>
      <c r="J107" s="43"/>
      <c r="K107" s="43"/>
      <c r="L107" s="43">
        <v>-400160</v>
      </c>
      <c r="M107" s="43">
        <v>400160</v>
      </c>
      <c r="N107" s="43"/>
      <c r="O107" s="43"/>
      <c r="P107" s="43"/>
      <c r="Q107" s="854"/>
    </row>
    <row r="108" spans="1:17" s="22" customFormat="1" ht="21.75" customHeight="1">
      <c r="A108" s="39">
        <v>801</v>
      </c>
      <c r="B108" s="39"/>
      <c r="C108" s="40" t="s">
        <v>554</v>
      </c>
      <c r="D108" s="41">
        <f t="shared" si="2"/>
        <v>0</v>
      </c>
      <c r="E108" s="41"/>
      <c r="F108" s="41"/>
      <c r="G108" s="41"/>
      <c r="H108" s="41"/>
      <c r="I108" s="41"/>
      <c r="J108" s="41"/>
      <c r="K108" s="41"/>
      <c r="L108" s="41">
        <f>SUM(L109:L112)</f>
        <v>-9376630</v>
      </c>
      <c r="M108" s="41">
        <f>SUM(M109:M112)</f>
        <v>9076630</v>
      </c>
      <c r="N108" s="41">
        <f>SUM(N109:N112)</f>
        <v>300000</v>
      </c>
      <c r="O108" s="41"/>
      <c r="P108" s="41"/>
      <c r="Q108" s="851"/>
    </row>
    <row r="109" spans="1:17" s="130" customFormat="1" ht="21.75" customHeight="1">
      <c r="A109" s="222"/>
      <c r="B109" s="223">
        <v>80101</v>
      </c>
      <c r="C109" s="129" t="s">
        <v>60</v>
      </c>
      <c r="D109" s="43">
        <f t="shared" si="2"/>
        <v>-142000</v>
      </c>
      <c r="E109" s="43"/>
      <c r="F109" s="43"/>
      <c r="G109" s="43"/>
      <c r="H109" s="43"/>
      <c r="I109" s="43"/>
      <c r="J109" s="43"/>
      <c r="K109" s="43"/>
      <c r="L109" s="43">
        <v>-5936549</v>
      </c>
      <c r="M109" s="43">
        <f>5936549-142000</f>
        <v>5794549</v>
      </c>
      <c r="N109" s="43"/>
      <c r="O109" s="43"/>
      <c r="P109" s="43"/>
      <c r="Q109" s="854"/>
    </row>
    <row r="110" spans="1:17" s="130" customFormat="1" ht="21.75" customHeight="1">
      <c r="A110" s="42"/>
      <c r="B110" s="44">
        <v>80110</v>
      </c>
      <c r="C110" s="441" t="s">
        <v>61</v>
      </c>
      <c r="D110" s="43">
        <f aca="true" t="shared" si="14" ref="D110:D177">SUM(E110:P110)</f>
        <v>-158000</v>
      </c>
      <c r="E110" s="442"/>
      <c r="F110" s="442"/>
      <c r="G110" s="442"/>
      <c r="H110" s="442"/>
      <c r="I110" s="442"/>
      <c r="J110" s="442"/>
      <c r="K110" s="442"/>
      <c r="L110" s="442">
        <v>-1096291</v>
      </c>
      <c r="M110" s="442">
        <f>1096291-158000</f>
        <v>938291</v>
      </c>
      <c r="N110" s="442"/>
      <c r="O110" s="442"/>
      <c r="P110" s="442"/>
      <c r="Q110" s="854"/>
    </row>
    <row r="111" spans="1:17" s="130" customFormat="1" ht="21.75" customHeight="1">
      <c r="A111" s="42"/>
      <c r="B111" s="44">
        <v>80120</v>
      </c>
      <c r="C111" s="441" t="s">
        <v>62</v>
      </c>
      <c r="D111" s="442">
        <f t="shared" si="14"/>
        <v>0</v>
      </c>
      <c r="E111" s="442"/>
      <c r="F111" s="442"/>
      <c r="G111" s="442"/>
      <c r="H111" s="442"/>
      <c r="I111" s="442"/>
      <c r="J111" s="442"/>
      <c r="K111" s="442"/>
      <c r="L111" s="442">
        <v>-219190</v>
      </c>
      <c r="M111" s="442">
        <v>219190</v>
      </c>
      <c r="N111" s="442"/>
      <c r="O111" s="442"/>
      <c r="P111" s="442"/>
      <c r="Q111" s="854"/>
    </row>
    <row r="112" spans="1:17" s="130" customFormat="1" ht="21.75" customHeight="1">
      <c r="A112" s="42"/>
      <c r="B112" s="44">
        <v>80130</v>
      </c>
      <c r="C112" s="441" t="s">
        <v>600</v>
      </c>
      <c r="D112" s="43">
        <f t="shared" si="14"/>
        <v>300000</v>
      </c>
      <c r="E112" s="442"/>
      <c r="F112" s="442"/>
      <c r="G112" s="442"/>
      <c r="H112" s="442"/>
      <c r="I112" s="442"/>
      <c r="J112" s="442"/>
      <c r="K112" s="442"/>
      <c r="L112" s="442">
        <v>-2124600</v>
      </c>
      <c r="M112" s="442">
        <v>2124600</v>
      </c>
      <c r="N112" s="442">
        <v>300000</v>
      </c>
      <c r="O112" s="442"/>
      <c r="P112" s="442"/>
      <c r="Q112" s="854"/>
    </row>
    <row r="113" spans="1:17" s="22" customFormat="1" ht="21.75" customHeight="1">
      <c r="A113" s="38">
        <v>852</v>
      </c>
      <c r="B113" s="39"/>
      <c r="C113" s="40" t="s">
        <v>555</v>
      </c>
      <c r="D113" s="41">
        <f t="shared" si="14"/>
        <v>0</v>
      </c>
      <c r="E113" s="41"/>
      <c r="F113" s="41"/>
      <c r="G113" s="41"/>
      <c r="H113" s="41"/>
      <c r="I113" s="41"/>
      <c r="J113" s="41"/>
      <c r="K113" s="41"/>
      <c r="L113" s="41">
        <f>SUM(L114)</f>
        <v>-149846</v>
      </c>
      <c r="M113" s="41">
        <f>SUM(M114)</f>
        <v>149846</v>
      </c>
      <c r="N113" s="41"/>
      <c r="O113" s="41"/>
      <c r="P113" s="41"/>
      <c r="Q113" s="851"/>
    </row>
    <row r="114" spans="1:17" s="130" customFormat="1" ht="21.75" customHeight="1">
      <c r="A114" s="222"/>
      <c r="B114" s="223">
        <v>85202</v>
      </c>
      <c r="C114" s="129" t="s">
        <v>82</v>
      </c>
      <c r="D114" s="43">
        <f t="shared" si="14"/>
        <v>0</v>
      </c>
      <c r="E114" s="43"/>
      <c r="F114" s="43"/>
      <c r="G114" s="43"/>
      <c r="H114" s="43"/>
      <c r="I114" s="43"/>
      <c r="J114" s="43"/>
      <c r="K114" s="43"/>
      <c r="L114" s="43">
        <v>-149846</v>
      </c>
      <c r="M114" s="43">
        <v>149846</v>
      </c>
      <c r="N114" s="43"/>
      <c r="O114" s="43"/>
      <c r="P114" s="43"/>
      <c r="Q114" s="854"/>
    </row>
    <row r="115" spans="1:17" s="22" customFormat="1" ht="34.5" customHeight="1">
      <c r="A115" s="38">
        <v>900</v>
      </c>
      <c r="B115" s="39"/>
      <c r="C115" s="40" t="s">
        <v>764</v>
      </c>
      <c r="D115" s="41">
        <f t="shared" si="14"/>
        <v>0</v>
      </c>
      <c r="E115" s="41"/>
      <c r="F115" s="41"/>
      <c r="G115" s="41"/>
      <c r="H115" s="41"/>
      <c r="I115" s="41"/>
      <c r="J115" s="41"/>
      <c r="K115" s="41"/>
      <c r="L115" s="41">
        <f>SUM(L116:L119)</f>
        <v>-10140410</v>
      </c>
      <c r="M115" s="41">
        <f>SUM(M116:M119)</f>
        <v>8960410</v>
      </c>
      <c r="N115" s="41">
        <f>SUM(N116:N119)</f>
        <v>1660000</v>
      </c>
      <c r="O115" s="41">
        <f>SUM(O116:O119)</f>
        <v>-330000</v>
      </c>
      <c r="P115" s="41">
        <f>SUM(P116:P119)</f>
        <v>-150000</v>
      </c>
      <c r="Q115" s="851"/>
    </row>
    <row r="116" spans="1:17" s="130" customFormat="1" ht="21.75" customHeight="1">
      <c r="A116" s="222"/>
      <c r="B116" s="223">
        <v>90001</v>
      </c>
      <c r="C116" s="129" t="s">
        <v>124</v>
      </c>
      <c r="D116" s="43">
        <f t="shared" si="14"/>
        <v>-1225000</v>
      </c>
      <c r="E116" s="43"/>
      <c r="F116" s="43"/>
      <c r="G116" s="43"/>
      <c r="H116" s="43"/>
      <c r="I116" s="43"/>
      <c r="J116" s="43"/>
      <c r="K116" s="43"/>
      <c r="L116" s="43">
        <v>-3001381</v>
      </c>
      <c r="M116" s="43">
        <f>3001381-880000</f>
        <v>2121381</v>
      </c>
      <c r="N116" s="43">
        <v>135000</v>
      </c>
      <c r="O116" s="43">
        <v>-330000</v>
      </c>
      <c r="P116" s="43">
        <v>-150000</v>
      </c>
      <c r="Q116" s="854"/>
    </row>
    <row r="117" spans="1:17" s="130" customFormat="1" ht="21.75" customHeight="1">
      <c r="A117" s="42"/>
      <c r="B117" s="44">
        <v>90002</v>
      </c>
      <c r="C117" s="441" t="s">
        <v>125</v>
      </c>
      <c r="D117" s="43">
        <f t="shared" si="14"/>
        <v>-200000</v>
      </c>
      <c r="E117" s="442"/>
      <c r="F117" s="442"/>
      <c r="G117" s="442"/>
      <c r="H117" s="442"/>
      <c r="I117" s="442"/>
      <c r="J117" s="442"/>
      <c r="K117" s="442"/>
      <c r="L117" s="442">
        <v>-5450542</v>
      </c>
      <c r="M117" s="442">
        <f>5450542-200000</f>
        <v>5250542</v>
      </c>
      <c r="N117" s="442"/>
      <c r="O117" s="442"/>
      <c r="P117" s="442"/>
      <c r="Q117" s="854"/>
    </row>
    <row r="118" spans="1:17" s="130" customFormat="1" ht="21.75" customHeight="1">
      <c r="A118" s="42"/>
      <c r="B118" s="44">
        <v>90003</v>
      </c>
      <c r="C118" s="441" t="s">
        <v>126</v>
      </c>
      <c r="D118" s="43">
        <f t="shared" si="14"/>
        <v>-100000</v>
      </c>
      <c r="E118" s="442"/>
      <c r="F118" s="442"/>
      <c r="G118" s="442"/>
      <c r="H118" s="442"/>
      <c r="I118" s="442"/>
      <c r="J118" s="442"/>
      <c r="K118" s="442"/>
      <c r="L118" s="442">
        <v>-100000</v>
      </c>
      <c r="M118" s="442"/>
      <c r="N118" s="442"/>
      <c r="O118" s="442"/>
      <c r="P118" s="442"/>
      <c r="Q118" s="854"/>
    </row>
    <row r="119" spans="1:17" s="130" customFormat="1" ht="21.75" customHeight="1">
      <c r="A119" s="42"/>
      <c r="B119" s="44">
        <v>90095</v>
      </c>
      <c r="C119" s="441" t="s">
        <v>553</v>
      </c>
      <c r="D119" s="43">
        <f t="shared" si="14"/>
        <v>1525000</v>
      </c>
      <c r="E119" s="442"/>
      <c r="F119" s="442"/>
      <c r="G119" s="442"/>
      <c r="H119" s="442"/>
      <c r="I119" s="442"/>
      <c r="J119" s="442"/>
      <c r="K119" s="442"/>
      <c r="L119" s="442">
        <v>-1588487</v>
      </c>
      <c r="M119" s="442">
        <v>1588487</v>
      </c>
      <c r="N119" s="442">
        <v>1525000</v>
      </c>
      <c r="O119" s="442"/>
      <c r="P119" s="442"/>
      <c r="Q119" s="854"/>
    </row>
    <row r="120" spans="1:17" s="22" customFormat="1" ht="22.5" customHeight="1">
      <c r="A120" s="38">
        <v>921</v>
      </c>
      <c r="B120" s="39"/>
      <c r="C120" s="40" t="s">
        <v>127</v>
      </c>
      <c r="D120" s="41">
        <f t="shared" si="14"/>
        <v>0</v>
      </c>
      <c r="E120" s="41"/>
      <c r="F120" s="41"/>
      <c r="G120" s="41"/>
      <c r="H120" s="41"/>
      <c r="I120" s="41"/>
      <c r="J120" s="41"/>
      <c r="K120" s="41"/>
      <c r="L120" s="41">
        <f>SUM(L121:L122)</f>
        <v>-620000</v>
      </c>
      <c r="M120" s="41">
        <f>SUM(M121:M122)</f>
        <v>620000</v>
      </c>
      <c r="N120" s="41"/>
      <c r="O120" s="41"/>
      <c r="P120" s="41"/>
      <c r="Q120" s="851"/>
    </row>
    <row r="121" spans="1:17" s="130" customFormat="1" ht="21.75" customHeight="1">
      <c r="A121" s="223"/>
      <c r="B121" s="223">
        <v>92113</v>
      </c>
      <c r="C121" s="129" t="s">
        <v>129</v>
      </c>
      <c r="D121" s="43">
        <f t="shared" si="14"/>
        <v>0</v>
      </c>
      <c r="E121" s="43"/>
      <c r="F121" s="43"/>
      <c r="G121" s="43"/>
      <c r="H121" s="43"/>
      <c r="I121" s="43"/>
      <c r="J121" s="43"/>
      <c r="K121" s="43"/>
      <c r="L121" s="43">
        <v>-100000</v>
      </c>
      <c r="M121" s="43">
        <v>100000</v>
      </c>
      <c r="N121" s="43"/>
      <c r="O121" s="43"/>
      <c r="P121" s="43"/>
      <c r="Q121" s="854"/>
    </row>
    <row r="122" spans="1:17" s="130" customFormat="1" ht="21.75" customHeight="1">
      <c r="A122" s="42"/>
      <c r="B122" s="44">
        <v>92120</v>
      </c>
      <c r="C122" s="441" t="s">
        <v>198</v>
      </c>
      <c r="D122" s="442">
        <f t="shared" si="14"/>
        <v>0</v>
      </c>
      <c r="E122" s="442"/>
      <c r="F122" s="442"/>
      <c r="G122" s="442"/>
      <c r="H122" s="442"/>
      <c r="I122" s="442"/>
      <c r="J122" s="442"/>
      <c r="K122" s="442"/>
      <c r="L122" s="442">
        <v>-520000</v>
      </c>
      <c r="M122" s="442">
        <v>520000</v>
      </c>
      <c r="N122" s="442"/>
      <c r="O122" s="442"/>
      <c r="P122" s="442"/>
      <c r="Q122" s="854"/>
    </row>
    <row r="123" spans="1:17" s="22" customFormat="1" ht="21.75" customHeight="1">
      <c r="A123" s="38">
        <v>926</v>
      </c>
      <c r="B123" s="39"/>
      <c r="C123" s="40" t="s">
        <v>128</v>
      </c>
      <c r="D123" s="41">
        <f t="shared" si="14"/>
        <v>0</v>
      </c>
      <c r="E123" s="41"/>
      <c r="F123" s="41"/>
      <c r="G123" s="41"/>
      <c r="H123" s="41"/>
      <c r="I123" s="41"/>
      <c r="J123" s="41"/>
      <c r="K123" s="41"/>
      <c r="L123" s="41">
        <f>SUM(L124:L125)</f>
        <v>-5195639</v>
      </c>
      <c r="M123" s="41">
        <f>SUM(M124:M125)</f>
        <v>5195639</v>
      </c>
      <c r="N123" s="41"/>
      <c r="O123" s="41"/>
      <c r="P123" s="41"/>
      <c r="Q123" s="851"/>
    </row>
    <row r="124" spans="1:17" s="130" customFormat="1" ht="21.75" customHeight="1">
      <c r="A124" s="222"/>
      <c r="B124" s="223">
        <v>92604</v>
      </c>
      <c r="C124" s="129" t="s">
        <v>130</v>
      </c>
      <c r="D124" s="43">
        <f t="shared" si="14"/>
        <v>0</v>
      </c>
      <c r="E124" s="43"/>
      <c r="F124" s="43"/>
      <c r="G124" s="43"/>
      <c r="H124" s="43"/>
      <c r="I124" s="43"/>
      <c r="J124" s="43"/>
      <c r="K124" s="43"/>
      <c r="L124" s="43">
        <v>-4955337</v>
      </c>
      <c r="M124" s="43">
        <v>4955337</v>
      </c>
      <c r="N124" s="43"/>
      <c r="O124" s="43"/>
      <c r="P124" s="43"/>
      <c r="Q124" s="854"/>
    </row>
    <row r="125" spans="1:17" s="130" customFormat="1" ht="21.75" customHeight="1">
      <c r="A125" s="42"/>
      <c r="B125" s="223">
        <v>92605</v>
      </c>
      <c r="C125" s="129" t="s">
        <v>181</v>
      </c>
      <c r="D125" s="43">
        <f t="shared" si="14"/>
        <v>0</v>
      </c>
      <c r="E125" s="43"/>
      <c r="F125" s="43"/>
      <c r="G125" s="43"/>
      <c r="H125" s="43"/>
      <c r="I125" s="43"/>
      <c r="J125" s="43"/>
      <c r="K125" s="43"/>
      <c r="L125" s="43">
        <v>-240302</v>
      </c>
      <c r="M125" s="43">
        <v>240302</v>
      </c>
      <c r="N125" s="43"/>
      <c r="O125" s="43"/>
      <c r="P125" s="43"/>
      <c r="Q125" s="854"/>
    </row>
    <row r="126" spans="1:17" s="22" customFormat="1" ht="45" customHeight="1" thickBot="1">
      <c r="A126" s="35"/>
      <c r="B126" s="35"/>
      <c r="C126" s="36" t="s">
        <v>585</v>
      </c>
      <c r="D126" s="37">
        <f t="shared" si="14"/>
        <v>0</v>
      </c>
      <c r="E126" s="37"/>
      <c r="F126" s="37"/>
      <c r="G126" s="37"/>
      <c r="H126" s="37"/>
      <c r="I126" s="37"/>
      <c r="J126" s="37"/>
      <c r="K126" s="37"/>
      <c r="L126" s="37">
        <f>L127</f>
        <v>-62762</v>
      </c>
      <c r="M126" s="37">
        <f>M127</f>
        <v>62762</v>
      </c>
      <c r="N126" s="37"/>
      <c r="O126" s="37"/>
      <c r="P126" s="37"/>
      <c r="Q126" s="851"/>
    </row>
    <row r="127" spans="1:17" s="22" customFormat="1" ht="21.75" customHeight="1" thickTop="1">
      <c r="A127" s="38">
        <v>700</v>
      </c>
      <c r="B127" s="39"/>
      <c r="C127" s="40" t="s">
        <v>519</v>
      </c>
      <c r="D127" s="41">
        <f t="shared" si="14"/>
        <v>0</v>
      </c>
      <c r="E127" s="41"/>
      <c r="F127" s="41"/>
      <c r="G127" s="41"/>
      <c r="H127" s="41"/>
      <c r="I127" s="41"/>
      <c r="J127" s="41"/>
      <c r="K127" s="41"/>
      <c r="L127" s="41">
        <f>L128</f>
        <v>-62762</v>
      </c>
      <c r="M127" s="41">
        <f>M128</f>
        <v>62762</v>
      </c>
      <c r="N127" s="41"/>
      <c r="O127" s="41"/>
      <c r="P127" s="41"/>
      <c r="Q127" s="851"/>
    </row>
    <row r="128" spans="1:17" s="130" customFormat="1" ht="21.75" customHeight="1">
      <c r="A128" s="222"/>
      <c r="B128" s="223">
        <v>70005</v>
      </c>
      <c r="C128" s="129" t="s">
        <v>587</v>
      </c>
      <c r="D128" s="43">
        <f t="shared" si="14"/>
        <v>0</v>
      </c>
      <c r="E128" s="43"/>
      <c r="F128" s="43"/>
      <c r="G128" s="43"/>
      <c r="H128" s="43"/>
      <c r="I128" s="43"/>
      <c r="J128" s="43"/>
      <c r="K128" s="43"/>
      <c r="L128" s="43">
        <v>-62762</v>
      </c>
      <c r="M128" s="43">
        <v>62762</v>
      </c>
      <c r="N128" s="43"/>
      <c r="O128" s="43"/>
      <c r="P128" s="43"/>
      <c r="Q128" s="854"/>
    </row>
    <row r="129" spans="1:17" s="133" customFormat="1" ht="21.75" customHeight="1">
      <c r="A129" s="42"/>
      <c r="B129" s="42"/>
      <c r="C129" s="131" t="s">
        <v>498</v>
      </c>
      <c r="D129" s="132">
        <f aca="true" t="shared" si="15" ref="D129:D134">SUM(E129:P129)</f>
        <v>405975</v>
      </c>
      <c r="E129" s="132"/>
      <c r="F129" s="132"/>
      <c r="G129" s="132"/>
      <c r="H129" s="132"/>
      <c r="I129" s="132"/>
      <c r="J129" s="132"/>
      <c r="K129" s="132"/>
      <c r="L129" s="132"/>
      <c r="M129" s="132"/>
      <c r="N129" s="132">
        <f>N130</f>
        <v>400000</v>
      </c>
      <c r="O129" s="132">
        <f>O130</f>
        <v>940</v>
      </c>
      <c r="P129" s="132">
        <f>P130</f>
        <v>5035</v>
      </c>
      <c r="Q129" s="855"/>
    </row>
    <row r="130" spans="1:17" s="130" customFormat="1" ht="21.75" customHeight="1" thickBot="1">
      <c r="A130" s="44"/>
      <c r="B130" s="44"/>
      <c r="C130" s="134" t="s">
        <v>547</v>
      </c>
      <c r="D130" s="135">
        <f t="shared" si="15"/>
        <v>405975</v>
      </c>
      <c r="E130" s="135"/>
      <c r="F130" s="135"/>
      <c r="G130" s="135"/>
      <c r="H130" s="135"/>
      <c r="I130" s="135"/>
      <c r="J130" s="135"/>
      <c r="K130" s="135"/>
      <c r="L130" s="135"/>
      <c r="M130" s="135"/>
      <c r="N130" s="135">
        <f>N131+N133</f>
        <v>400000</v>
      </c>
      <c r="O130" s="135">
        <f>O131+O133</f>
        <v>940</v>
      </c>
      <c r="P130" s="135">
        <f>P131+P133</f>
        <v>5035</v>
      </c>
      <c r="Q130" s="854"/>
    </row>
    <row r="131" spans="1:17" s="22" customFormat="1" ht="24" customHeight="1" thickTop="1">
      <c r="A131" s="38">
        <v>750</v>
      </c>
      <c r="B131" s="39"/>
      <c r="C131" s="40" t="s">
        <v>558</v>
      </c>
      <c r="D131" s="41">
        <f t="shared" si="15"/>
        <v>400000</v>
      </c>
      <c r="E131" s="41"/>
      <c r="F131" s="41"/>
      <c r="G131" s="41"/>
      <c r="H131" s="41"/>
      <c r="I131" s="41"/>
      <c r="J131" s="41"/>
      <c r="K131" s="41"/>
      <c r="L131" s="41"/>
      <c r="M131" s="41"/>
      <c r="N131" s="41">
        <f>N132</f>
        <v>400000</v>
      </c>
      <c r="O131" s="41"/>
      <c r="P131" s="41"/>
      <c r="Q131" s="851"/>
    </row>
    <row r="132" spans="1:17" s="130" customFormat="1" ht="21.75" customHeight="1">
      <c r="A132" s="222"/>
      <c r="B132" s="223">
        <v>75075</v>
      </c>
      <c r="C132" s="129" t="s">
        <v>390</v>
      </c>
      <c r="D132" s="43">
        <f t="shared" si="15"/>
        <v>400000</v>
      </c>
      <c r="E132" s="43"/>
      <c r="F132" s="43"/>
      <c r="G132" s="43"/>
      <c r="H132" s="43"/>
      <c r="I132" s="43"/>
      <c r="J132" s="43"/>
      <c r="K132" s="43"/>
      <c r="L132" s="43"/>
      <c r="M132" s="43"/>
      <c r="N132" s="43">
        <v>400000</v>
      </c>
      <c r="O132" s="43"/>
      <c r="P132" s="43"/>
      <c r="Q132" s="854"/>
    </row>
    <row r="133" spans="1:17" s="22" customFormat="1" ht="24" customHeight="1">
      <c r="A133" s="38">
        <v>758</v>
      </c>
      <c r="B133" s="39"/>
      <c r="C133" s="40" t="s">
        <v>549</v>
      </c>
      <c r="D133" s="41">
        <f t="shared" si="15"/>
        <v>5975</v>
      </c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>
        <f>O134</f>
        <v>940</v>
      </c>
      <c r="P133" s="41">
        <f>P134</f>
        <v>5035</v>
      </c>
      <c r="Q133" s="851"/>
    </row>
    <row r="134" spans="1:17" s="130" customFormat="1" ht="21.75" customHeight="1">
      <c r="A134" s="222"/>
      <c r="B134" s="223">
        <v>75860</v>
      </c>
      <c r="C134" s="129" t="s">
        <v>205</v>
      </c>
      <c r="D134" s="43">
        <f t="shared" si="15"/>
        <v>5975</v>
      </c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>
        <v>940</v>
      </c>
      <c r="P134" s="43">
        <v>5035</v>
      </c>
      <c r="Q134" s="854"/>
    </row>
    <row r="135" spans="1:17" s="133" customFormat="1" ht="21.75" customHeight="1">
      <c r="A135" s="42"/>
      <c r="B135" s="42"/>
      <c r="C135" s="131" t="s">
        <v>766</v>
      </c>
      <c r="D135" s="132">
        <f t="shared" si="14"/>
        <v>0</v>
      </c>
      <c r="E135" s="132"/>
      <c r="F135" s="132"/>
      <c r="G135" s="132"/>
      <c r="H135" s="132"/>
      <c r="I135" s="132"/>
      <c r="J135" s="132"/>
      <c r="K135" s="132"/>
      <c r="L135" s="132">
        <f aca="true" t="shared" si="16" ref="L135:M137">L136</f>
        <v>-75171</v>
      </c>
      <c r="M135" s="132">
        <f t="shared" si="16"/>
        <v>75171</v>
      </c>
      <c r="N135" s="132"/>
      <c r="O135" s="132"/>
      <c r="P135" s="132"/>
      <c r="Q135" s="855"/>
    </row>
    <row r="136" spans="1:17" s="130" customFormat="1" ht="21.75" customHeight="1" thickBot="1">
      <c r="A136" s="44"/>
      <c r="B136" s="44"/>
      <c r="C136" s="134" t="s">
        <v>547</v>
      </c>
      <c r="D136" s="135">
        <f t="shared" si="14"/>
        <v>0</v>
      </c>
      <c r="E136" s="135"/>
      <c r="F136" s="135"/>
      <c r="G136" s="135"/>
      <c r="H136" s="135"/>
      <c r="I136" s="135"/>
      <c r="J136" s="135"/>
      <c r="K136" s="135"/>
      <c r="L136" s="135">
        <f t="shared" si="16"/>
        <v>-75171</v>
      </c>
      <c r="M136" s="135">
        <f t="shared" si="16"/>
        <v>75171</v>
      </c>
      <c r="N136" s="135"/>
      <c r="O136" s="135"/>
      <c r="P136" s="135"/>
      <c r="Q136" s="854"/>
    </row>
    <row r="137" spans="1:17" s="22" customFormat="1" ht="36" customHeight="1" thickTop="1">
      <c r="A137" s="38">
        <v>754</v>
      </c>
      <c r="B137" s="39"/>
      <c r="C137" s="40" t="s">
        <v>548</v>
      </c>
      <c r="D137" s="41">
        <f t="shared" si="14"/>
        <v>0</v>
      </c>
      <c r="E137" s="41"/>
      <c r="F137" s="41"/>
      <c r="G137" s="41"/>
      <c r="H137" s="41"/>
      <c r="I137" s="41"/>
      <c r="J137" s="41"/>
      <c r="K137" s="41"/>
      <c r="L137" s="41">
        <f t="shared" si="16"/>
        <v>-75171</v>
      </c>
      <c r="M137" s="41">
        <f t="shared" si="16"/>
        <v>75171</v>
      </c>
      <c r="N137" s="41"/>
      <c r="O137" s="41"/>
      <c r="P137" s="41"/>
      <c r="Q137" s="851"/>
    </row>
    <row r="138" spans="1:17" s="130" customFormat="1" ht="21.75" customHeight="1">
      <c r="A138" s="222"/>
      <c r="B138" s="223">
        <v>75416</v>
      </c>
      <c r="C138" s="129" t="s">
        <v>767</v>
      </c>
      <c r="D138" s="43">
        <f t="shared" si="14"/>
        <v>0</v>
      </c>
      <c r="E138" s="43"/>
      <c r="F138" s="43"/>
      <c r="G138" s="43"/>
      <c r="H138" s="43"/>
      <c r="I138" s="43"/>
      <c r="J138" s="43"/>
      <c r="K138" s="43"/>
      <c r="L138" s="43">
        <v>-75171</v>
      </c>
      <c r="M138" s="43">
        <v>75171</v>
      </c>
      <c r="N138" s="43"/>
      <c r="O138" s="43"/>
      <c r="P138" s="43"/>
      <c r="Q138" s="854"/>
    </row>
    <row r="139" spans="1:17" s="133" customFormat="1" ht="33.75" customHeight="1">
      <c r="A139" s="42"/>
      <c r="B139" s="42"/>
      <c r="C139" s="845" t="s">
        <v>509</v>
      </c>
      <c r="D139" s="132">
        <f t="shared" si="14"/>
        <v>-190000</v>
      </c>
      <c r="E139" s="132">
        <f>E140</f>
        <v>-2583</v>
      </c>
      <c r="F139" s="132">
        <f aca="true" t="shared" si="17" ref="F139:P139">F140</f>
        <v>-17565</v>
      </c>
      <c r="G139" s="132">
        <f t="shared" si="17"/>
        <v>-13482</v>
      </c>
      <c r="H139" s="132">
        <f t="shared" si="17"/>
        <v>-17013</v>
      </c>
      <c r="I139" s="132">
        <f t="shared" si="17"/>
        <v>-15080</v>
      </c>
      <c r="J139" s="132">
        <f t="shared" si="17"/>
        <v>-32061</v>
      </c>
      <c r="K139" s="132">
        <f t="shared" si="17"/>
        <v>-20915</v>
      </c>
      <c r="L139" s="132">
        <f t="shared" si="17"/>
        <v>-18445</v>
      </c>
      <c r="M139" s="132">
        <f t="shared" si="17"/>
        <v>-13856</v>
      </c>
      <c r="N139" s="132">
        <f t="shared" si="17"/>
        <v>-13000</v>
      </c>
      <c r="O139" s="132">
        <f t="shared" si="17"/>
        <v>-13000</v>
      </c>
      <c r="P139" s="132">
        <f t="shared" si="17"/>
        <v>-13000</v>
      </c>
      <c r="Q139" s="855"/>
    </row>
    <row r="140" spans="1:17" s="130" customFormat="1" ht="31.5" thickBot="1">
      <c r="A140" s="44"/>
      <c r="B140" s="44"/>
      <c r="C140" s="134" t="s">
        <v>188</v>
      </c>
      <c r="D140" s="135">
        <f t="shared" si="14"/>
        <v>-190000</v>
      </c>
      <c r="E140" s="135">
        <f>E141</f>
        <v>-2583</v>
      </c>
      <c r="F140" s="135">
        <f aca="true" t="shared" si="18" ref="F140:P140">F141</f>
        <v>-17565</v>
      </c>
      <c r="G140" s="135">
        <f t="shared" si="18"/>
        <v>-13482</v>
      </c>
      <c r="H140" s="135">
        <f t="shared" si="18"/>
        <v>-17013</v>
      </c>
      <c r="I140" s="135">
        <f t="shared" si="18"/>
        <v>-15080</v>
      </c>
      <c r="J140" s="135">
        <f t="shared" si="18"/>
        <v>-32061</v>
      </c>
      <c r="K140" s="135">
        <f t="shared" si="18"/>
        <v>-20915</v>
      </c>
      <c r="L140" s="135">
        <f t="shared" si="18"/>
        <v>-18445</v>
      </c>
      <c r="M140" s="135">
        <f t="shared" si="18"/>
        <v>-13856</v>
      </c>
      <c r="N140" s="135">
        <f t="shared" si="18"/>
        <v>-13000</v>
      </c>
      <c r="O140" s="135">
        <f t="shared" si="18"/>
        <v>-13000</v>
      </c>
      <c r="P140" s="135">
        <f t="shared" si="18"/>
        <v>-13000</v>
      </c>
      <c r="Q140" s="854"/>
    </row>
    <row r="141" spans="1:17" s="22" customFormat="1" ht="24" customHeight="1" thickTop="1">
      <c r="A141" s="38">
        <v>852</v>
      </c>
      <c r="B141" s="39"/>
      <c r="C141" s="40" t="s">
        <v>555</v>
      </c>
      <c r="D141" s="41">
        <f t="shared" si="14"/>
        <v>-190000</v>
      </c>
      <c r="E141" s="41">
        <f>E142</f>
        <v>-2583</v>
      </c>
      <c r="F141" s="41">
        <f aca="true" t="shared" si="19" ref="F141:P141">F142</f>
        <v>-17565</v>
      </c>
      <c r="G141" s="41">
        <f t="shared" si="19"/>
        <v>-13482</v>
      </c>
      <c r="H141" s="41">
        <f t="shared" si="19"/>
        <v>-17013</v>
      </c>
      <c r="I141" s="41">
        <f t="shared" si="19"/>
        <v>-15080</v>
      </c>
      <c r="J141" s="41">
        <f t="shared" si="19"/>
        <v>-32061</v>
      </c>
      <c r="K141" s="41">
        <f t="shared" si="19"/>
        <v>-20915</v>
      </c>
      <c r="L141" s="41">
        <f t="shared" si="19"/>
        <v>-18445</v>
      </c>
      <c r="M141" s="41">
        <f t="shared" si="19"/>
        <v>-13856</v>
      </c>
      <c r="N141" s="41">
        <f t="shared" si="19"/>
        <v>-13000</v>
      </c>
      <c r="O141" s="41">
        <f t="shared" si="19"/>
        <v>-13000</v>
      </c>
      <c r="P141" s="41">
        <f t="shared" si="19"/>
        <v>-13000</v>
      </c>
      <c r="Q141" s="851"/>
    </row>
    <row r="142" spans="1:17" s="130" customFormat="1" ht="21.75" customHeight="1">
      <c r="A142" s="843"/>
      <c r="B142" s="486">
        <v>85201</v>
      </c>
      <c r="C142" s="487" t="s">
        <v>190</v>
      </c>
      <c r="D142" s="43">
        <f t="shared" si="14"/>
        <v>-190000</v>
      </c>
      <c r="E142" s="43">
        <v>-2583</v>
      </c>
      <c r="F142" s="43">
        <v>-17565</v>
      </c>
      <c r="G142" s="43">
        <v>-13482</v>
      </c>
      <c r="H142" s="43">
        <v>-17013</v>
      </c>
      <c r="I142" s="43">
        <v>-15080</v>
      </c>
      <c r="J142" s="43">
        <v>-32061</v>
      </c>
      <c r="K142" s="43">
        <v>-20915</v>
      </c>
      <c r="L142" s="43">
        <v>-18445</v>
      </c>
      <c r="M142" s="43">
        <v>-13856</v>
      </c>
      <c r="N142" s="43">
        <v>-13000</v>
      </c>
      <c r="O142" s="43">
        <v>-13000</v>
      </c>
      <c r="P142" s="43">
        <v>-13000</v>
      </c>
      <c r="Q142" s="854"/>
    </row>
    <row r="143" spans="1:17" s="133" customFormat="1" ht="33.75" customHeight="1">
      <c r="A143" s="42"/>
      <c r="B143" s="42"/>
      <c r="C143" s="846" t="s">
        <v>503</v>
      </c>
      <c r="D143" s="132">
        <f t="shared" si="14"/>
        <v>258060</v>
      </c>
      <c r="E143" s="132">
        <f aca="true" t="shared" si="20" ref="E143:I144">E144</f>
        <v>-20000</v>
      </c>
      <c r="F143" s="132">
        <f t="shared" si="20"/>
        <v>-20000</v>
      </c>
      <c r="G143" s="132">
        <f t="shared" si="20"/>
        <v>-10000</v>
      </c>
      <c r="H143" s="132">
        <f t="shared" si="20"/>
        <v>-10000</v>
      </c>
      <c r="I143" s="132">
        <f t="shared" si="20"/>
        <v>-26940</v>
      </c>
      <c r="J143" s="132"/>
      <c r="K143" s="132"/>
      <c r="L143" s="132"/>
      <c r="M143" s="132"/>
      <c r="N143" s="132">
        <f aca="true" t="shared" si="21" ref="N143:P144">N144</f>
        <v>50000</v>
      </c>
      <c r="O143" s="132">
        <f t="shared" si="21"/>
        <v>165000</v>
      </c>
      <c r="P143" s="132">
        <f t="shared" si="21"/>
        <v>130000</v>
      </c>
      <c r="Q143" s="855"/>
    </row>
    <row r="144" spans="1:17" s="130" customFormat="1" ht="21.75" customHeight="1" thickBot="1">
      <c r="A144" s="44"/>
      <c r="B144" s="44"/>
      <c r="C144" s="134" t="s">
        <v>547</v>
      </c>
      <c r="D144" s="135">
        <f t="shared" si="14"/>
        <v>258060</v>
      </c>
      <c r="E144" s="135">
        <f t="shared" si="20"/>
        <v>-20000</v>
      </c>
      <c r="F144" s="135">
        <f t="shared" si="20"/>
        <v>-20000</v>
      </c>
      <c r="G144" s="135">
        <f t="shared" si="20"/>
        <v>-10000</v>
      </c>
      <c r="H144" s="135">
        <f t="shared" si="20"/>
        <v>-10000</v>
      </c>
      <c r="I144" s="135">
        <f t="shared" si="20"/>
        <v>-26940</v>
      </c>
      <c r="J144" s="135"/>
      <c r="K144" s="135"/>
      <c r="L144" s="135"/>
      <c r="M144" s="135"/>
      <c r="N144" s="135">
        <f t="shared" si="21"/>
        <v>50000</v>
      </c>
      <c r="O144" s="135">
        <f t="shared" si="21"/>
        <v>165000</v>
      </c>
      <c r="P144" s="135">
        <f t="shared" si="21"/>
        <v>130000</v>
      </c>
      <c r="Q144" s="854"/>
    </row>
    <row r="145" spans="1:17" s="22" customFormat="1" ht="24" customHeight="1" thickTop="1">
      <c r="A145" s="38">
        <v>852</v>
      </c>
      <c r="B145" s="39"/>
      <c r="C145" s="40" t="s">
        <v>555</v>
      </c>
      <c r="D145" s="41">
        <f t="shared" si="14"/>
        <v>258060</v>
      </c>
      <c r="E145" s="41">
        <f>SUM(E146:E147)</f>
        <v>-20000</v>
      </c>
      <c r="F145" s="41">
        <f>SUM(F146:F147)</f>
        <v>-20000</v>
      </c>
      <c r="G145" s="41">
        <f>SUM(G146:G147)</f>
        <v>-10000</v>
      </c>
      <c r="H145" s="41">
        <f>SUM(H146:H147)</f>
        <v>-10000</v>
      </c>
      <c r="I145" s="41">
        <f>SUM(I146:I147)</f>
        <v>-26940</v>
      </c>
      <c r="J145" s="41"/>
      <c r="K145" s="41"/>
      <c r="L145" s="41"/>
      <c r="M145" s="41"/>
      <c r="N145" s="41">
        <f>SUM(N146:N147)</f>
        <v>50000</v>
      </c>
      <c r="O145" s="41">
        <f>SUM(O146:O147)</f>
        <v>165000</v>
      </c>
      <c r="P145" s="41">
        <f>SUM(P146:P147)</f>
        <v>130000</v>
      </c>
      <c r="Q145" s="851"/>
    </row>
    <row r="146" spans="1:17" s="130" customFormat="1" ht="21.75" customHeight="1">
      <c r="A146" s="843"/>
      <c r="B146" s="486">
        <v>85201</v>
      </c>
      <c r="C146" s="487" t="s">
        <v>190</v>
      </c>
      <c r="D146" s="43">
        <f t="shared" si="14"/>
        <v>345000</v>
      </c>
      <c r="E146" s="43"/>
      <c r="F146" s="43"/>
      <c r="G146" s="43"/>
      <c r="H146" s="43"/>
      <c r="I146" s="43"/>
      <c r="J146" s="43"/>
      <c r="K146" s="43"/>
      <c r="L146" s="43"/>
      <c r="M146" s="43"/>
      <c r="N146" s="43">
        <v>50000</v>
      </c>
      <c r="O146" s="43">
        <v>165000</v>
      </c>
      <c r="P146" s="43">
        <v>130000</v>
      </c>
      <c r="Q146" s="854"/>
    </row>
    <row r="147" spans="1:17" s="130" customFormat="1" ht="45.75">
      <c r="A147" s="30"/>
      <c r="B147" s="486">
        <v>85220</v>
      </c>
      <c r="C147" s="487" t="s">
        <v>443</v>
      </c>
      <c r="D147" s="43">
        <f t="shared" si="14"/>
        <v>-86940</v>
      </c>
      <c r="E147" s="43">
        <v>-20000</v>
      </c>
      <c r="F147" s="43">
        <v>-20000</v>
      </c>
      <c r="G147" s="43">
        <v>-10000</v>
      </c>
      <c r="H147" s="43">
        <v>-10000</v>
      </c>
      <c r="I147" s="43">
        <v>-26940</v>
      </c>
      <c r="J147" s="43"/>
      <c r="K147" s="43"/>
      <c r="L147" s="43"/>
      <c r="M147" s="43"/>
      <c r="N147" s="43"/>
      <c r="O147" s="43"/>
      <c r="P147" s="43"/>
      <c r="Q147" s="854"/>
    </row>
    <row r="148" spans="1:17" s="133" customFormat="1" ht="21.75" customHeight="1">
      <c r="A148" s="42"/>
      <c r="B148" s="42"/>
      <c r="C148" s="845" t="s">
        <v>299</v>
      </c>
      <c r="D148" s="132">
        <f aca="true" t="shared" si="22" ref="D148:D167">SUM(E148:P148)</f>
        <v>45400</v>
      </c>
      <c r="E148" s="132"/>
      <c r="F148" s="132"/>
      <c r="G148" s="132"/>
      <c r="H148" s="132"/>
      <c r="I148" s="132"/>
      <c r="J148" s="132"/>
      <c r="K148" s="132"/>
      <c r="L148" s="132"/>
      <c r="M148" s="132"/>
      <c r="N148" s="132">
        <f aca="true" t="shared" si="23" ref="N148:O150">N149</f>
        <v>18600</v>
      </c>
      <c r="O148" s="132">
        <f t="shared" si="23"/>
        <v>26800</v>
      </c>
      <c r="P148" s="132"/>
      <c r="Q148" s="855"/>
    </row>
    <row r="149" spans="1:17" s="130" customFormat="1" ht="21.75" customHeight="1" thickBot="1">
      <c r="A149" s="44"/>
      <c r="B149" s="44"/>
      <c r="C149" s="134" t="s">
        <v>547</v>
      </c>
      <c r="D149" s="135">
        <f t="shared" si="22"/>
        <v>45400</v>
      </c>
      <c r="E149" s="135"/>
      <c r="F149" s="135"/>
      <c r="G149" s="135"/>
      <c r="H149" s="135"/>
      <c r="I149" s="135"/>
      <c r="J149" s="135"/>
      <c r="K149" s="135"/>
      <c r="L149" s="135"/>
      <c r="M149" s="135"/>
      <c r="N149" s="135">
        <f t="shared" si="23"/>
        <v>18600</v>
      </c>
      <c r="O149" s="135">
        <f t="shared" si="23"/>
        <v>26800</v>
      </c>
      <c r="P149" s="135"/>
      <c r="Q149" s="854"/>
    </row>
    <row r="150" spans="1:17" s="22" customFormat="1" ht="24" customHeight="1" thickTop="1">
      <c r="A150" s="38">
        <v>852</v>
      </c>
      <c r="B150" s="39"/>
      <c r="C150" s="40" t="s">
        <v>555</v>
      </c>
      <c r="D150" s="41">
        <f t="shared" si="22"/>
        <v>45400</v>
      </c>
      <c r="E150" s="41"/>
      <c r="F150" s="41"/>
      <c r="G150" s="41"/>
      <c r="H150" s="41"/>
      <c r="I150" s="41"/>
      <c r="J150" s="41"/>
      <c r="K150" s="41"/>
      <c r="L150" s="41"/>
      <c r="M150" s="41"/>
      <c r="N150" s="41">
        <f t="shared" si="23"/>
        <v>18600</v>
      </c>
      <c r="O150" s="41">
        <f t="shared" si="23"/>
        <v>26800</v>
      </c>
      <c r="P150" s="41"/>
      <c r="Q150" s="851"/>
    </row>
    <row r="151" spans="1:17" s="130" customFormat="1" ht="21.75" customHeight="1">
      <c r="A151" s="843"/>
      <c r="B151" s="486">
        <v>85201</v>
      </c>
      <c r="C151" s="487" t="s">
        <v>190</v>
      </c>
      <c r="D151" s="43">
        <f t="shared" si="22"/>
        <v>45400</v>
      </c>
      <c r="E151" s="43"/>
      <c r="F151" s="43"/>
      <c r="G151" s="43"/>
      <c r="H151" s="43"/>
      <c r="I151" s="43"/>
      <c r="J151" s="43"/>
      <c r="K151" s="43"/>
      <c r="L151" s="43"/>
      <c r="M151" s="43"/>
      <c r="N151" s="43">
        <v>18600</v>
      </c>
      <c r="O151" s="43">
        <v>26800</v>
      </c>
      <c r="P151" s="43"/>
      <c r="Q151" s="854"/>
    </row>
    <row r="152" spans="1:17" s="133" customFormat="1" ht="21.75" customHeight="1">
      <c r="A152" s="42"/>
      <c r="B152" s="42"/>
      <c r="C152" s="845" t="s">
        <v>300</v>
      </c>
      <c r="D152" s="132">
        <f t="shared" si="22"/>
        <v>451822</v>
      </c>
      <c r="E152" s="132"/>
      <c r="F152" s="132"/>
      <c r="G152" s="132"/>
      <c r="H152" s="132"/>
      <c r="I152" s="132"/>
      <c r="J152" s="132"/>
      <c r="K152" s="132"/>
      <c r="L152" s="132"/>
      <c r="M152" s="132">
        <f>M153+M157</f>
        <v>55000</v>
      </c>
      <c r="N152" s="132">
        <f>N153+N157</f>
        <v>55200</v>
      </c>
      <c r="O152" s="132">
        <f>O153+O157</f>
        <v>55200</v>
      </c>
      <c r="P152" s="132">
        <f>P153+P157</f>
        <v>286422</v>
      </c>
      <c r="Q152" s="855"/>
    </row>
    <row r="153" spans="1:17" s="130" customFormat="1" ht="21.75" customHeight="1" thickBot="1">
      <c r="A153" s="44"/>
      <c r="B153" s="44"/>
      <c r="C153" s="134" t="s">
        <v>547</v>
      </c>
      <c r="D153" s="135">
        <f>SUM(E153:P153)</f>
        <v>261822</v>
      </c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>
        <f>P154</f>
        <v>261822</v>
      </c>
      <c r="Q153" s="854"/>
    </row>
    <row r="154" spans="1:17" s="22" customFormat="1" ht="24" customHeight="1" thickTop="1">
      <c r="A154" s="38">
        <v>852</v>
      </c>
      <c r="B154" s="39"/>
      <c r="C154" s="40" t="s">
        <v>555</v>
      </c>
      <c r="D154" s="41">
        <f>SUM(E154:P154)</f>
        <v>261822</v>
      </c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>
        <f>P155</f>
        <v>261822</v>
      </c>
      <c r="Q154" s="851"/>
    </row>
    <row r="155" spans="1:17" s="130" customFormat="1" ht="21.75" customHeight="1">
      <c r="A155" s="486"/>
      <c r="B155" s="486">
        <v>85201</v>
      </c>
      <c r="C155" s="487" t="s">
        <v>190</v>
      </c>
      <c r="D155" s="43">
        <f>SUM(E155:P155)</f>
        <v>261822</v>
      </c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>
        <v>261822</v>
      </c>
      <c r="Q155" s="854"/>
    </row>
    <row r="156" spans="1:17" s="130" customFormat="1" ht="21.75" customHeight="1">
      <c r="A156" s="1430"/>
      <c r="B156" s="1430"/>
      <c r="C156" s="1431"/>
      <c r="D156" s="1429"/>
      <c r="E156" s="1429"/>
      <c r="F156" s="1429"/>
      <c r="G156" s="1429"/>
      <c r="H156" s="1429"/>
      <c r="I156" s="1429"/>
      <c r="J156" s="1429"/>
      <c r="K156" s="1429"/>
      <c r="L156" s="1429"/>
      <c r="M156" s="1429"/>
      <c r="N156" s="1429"/>
      <c r="O156" s="1429"/>
      <c r="P156" s="1429"/>
      <c r="Q156" s="854"/>
    </row>
    <row r="157" spans="1:17" s="130" customFormat="1" ht="31.5" thickBot="1">
      <c r="A157" s="44"/>
      <c r="B157" s="44"/>
      <c r="C157" s="134" t="s">
        <v>188</v>
      </c>
      <c r="D157" s="135">
        <f t="shared" si="22"/>
        <v>190000</v>
      </c>
      <c r="E157" s="135"/>
      <c r="F157" s="135"/>
      <c r="G157" s="135"/>
      <c r="H157" s="135"/>
      <c r="I157" s="135"/>
      <c r="J157" s="135"/>
      <c r="K157" s="135"/>
      <c r="L157" s="135"/>
      <c r="M157" s="135">
        <f aca="true" t="shared" si="24" ref="M157:P158">M158</f>
        <v>55000</v>
      </c>
      <c r="N157" s="135">
        <f t="shared" si="24"/>
        <v>55200</v>
      </c>
      <c r="O157" s="135">
        <f t="shared" si="24"/>
        <v>55200</v>
      </c>
      <c r="P157" s="135">
        <f t="shared" si="24"/>
        <v>24600</v>
      </c>
      <c r="Q157" s="854"/>
    </row>
    <row r="158" spans="1:17" s="22" customFormat="1" ht="24" customHeight="1" thickTop="1">
      <c r="A158" s="38">
        <v>852</v>
      </c>
      <c r="B158" s="39"/>
      <c r="C158" s="40" t="s">
        <v>555</v>
      </c>
      <c r="D158" s="41">
        <f t="shared" si="22"/>
        <v>190000</v>
      </c>
      <c r="E158" s="41"/>
      <c r="F158" s="41"/>
      <c r="G158" s="41"/>
      <c r="H158" s="41"/>
      <c r="I158" s="41"/>
      <c r="J158" s="41"/>
      <c r="K158" s="41"/>
      <c r="L158" s="41"/>
      <c r="M158" s="41">
        <f t="shared" si="24"/>
        <v>55000</v>
      </c>
      <c r="N158" s="41">
        <f t="shared" si="24"/>
        <v>55200</v>
      </c>
      <c r="O158" s="41">
        <f t="shared" si="24"/>
        <v>55200</v>
      </c>
      <c r="P158" s="41">
        <f t="shared" si="24"/>
        <v>24600</v>
      </c>
      <c r="Q158" s="851"/>
    </row>
    <row r="159" spans="1:17" s="130" customFormat="1" ht="21.75" customHeight="1">
      <c r="A159" s="843"/>
      <c r="B159" s="486">
        <v>85201</v>
      </c>
      <c r="C159" s="487" t="s">
        <v>190</v>
      </c>
      <c r="D159" s="43">
        <f t="shared" si="22"/>
        <v>190000</v>
      </c>
      <c r="E159" s="43"/>
      <c r="F159" s="43"/>
      <c r="G159" s="43"/>
      <c r="H159" s="43"/>
      <c r="I159" s="43"/>
      <c r="J159" s="43"/>
      <c r="K159" s="43"/>
      <c r="L159" s="43"/>
      <c r="M159" s="43">
        <v>55000</v>
      </c>
      <c r="N159" s="43">
        <v>55200</v>
      </c>
      <c r="O159" s="43">
        <v>55200</v>
      </c>
      <c r="P159" s="43">
        <v>24600</v>
      </c>
      <c r="Q159" s="854"/>
    </row>
    <row r="160" spans="1:17" s="133" customFormat="1" ht="21.75" customHeight="1">
      <c r="A160" s="42"/>
      <c r="B160" s="42"/>
      <c r="C160" s="131" t="s">
        <v>301</v>
      </c>
      <c r="D160" s="132">
        <f t="shared" si="22"/>
        <v>32000</v>
      </c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>
        <f>O161</f>
        <v>32000</v>
      </c>
      <c r="P160" s="132"/>
      <c r="Q160" s="855"/>
    </row>
    <row r="161" spans="1:17" s="130" customFormat="1" ht="21.75" customHeight="1" thickBot="1">
      <c r="A161" s="44"/>
      <c r="B161" s="44"/>
      <c r="C161" s="134" t="s">
        <v>547</v>
      </c>
      <c r="D161" s="135">
        <f t="shared" si="22"/>
        <v>32000</v>
      </c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>
        <f>O162</f>
        <v>32000</v>
      </c>
      <c r="P161" s="135"/>
      <c r="Q161" s="854"/>
    </row>
    <row r="162" spans="1:17" s="22" customFormat="1" ht="24" customHeight="1" thickTop="1">
      <c r="A162" s="38">
        <v>852</v>
      </c>
      <c r="B162" s="39"/>
      <c r="C162" s="40" t="s">
        <v>555</v>
      </c>
      <c r="D162" s="41">
        <f t="shared" si="22"/>
        <v>32000</v>
      </c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>
        <f>O163</f>
        <v>32000</v>
      </c>
      <c r="P162" s="41"/>
      <c r="Q162" s="851"/>
    </row>
    <row r="163" spans="1:17" s="130" customFormat="1" ht="21.75" customHeight="1">
      <c r="A163" s="843"/>
      <c r="B163" s="486">
        <v>85202</v>
      </c>
      <c r="C163" s="487" t="s">
        <v>82</v>
      </c>
      <c r="D163" s="43">
        <f t="shared" si="22"/>
        <v>32000</v>
      </c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>
        <v>32000</v>
      </c>
      <c r="P163" s="43"/>
      <c r="Q163" s="854"/>
    </row>
    <row r="164" spans="1:17" s="133" customFormat="1" ht="31.5">
      <c r="A164" s="42"/>
      <c r="B164" s="42"/>
      <c r="C164" s="131" t="s">
        <v>240</v>
      </c>
      <c r="D164" s="132">
        <f t="shared" si="22"/>
        <v>200000</v>
      </c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>
        <f>O165</f>
        <v>200000</v>
      </c>
      <c r="P164" s="132"/>
      <c r="Q164" s="855"/>
    </row>
    <row r="165" spans="1:17" s="130" customFormat="1" ht="21.75" customHeight="1" thickBot="1">
      <c r="A165" s="44"/>
      <c r="B165" s="44"/>
      <c r="C165" s="134" t="s">
        <v>547</v>
      </c>
      <c r="D165" s="135">
        <f t="shared" si="22"/>
        <v>200000</v>
      </c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>
        <f>O166</f>
        <v>200000</v>
      </c>
      <c r="P165" s="135"/>
      <c r="Q165" s="854"/>
    </row>
    <row r="166" spans="1:17" s="22" customFormat="1" ht="24" customHeight="1" thickTop="1">
      <c r="A166" s="38">
        <v>852</v>
      </c>
      <c r="B166" s="39"/>
      <c r="C166" s="40" t="s">
        <v>555</v>
      </c>
      <c r="D166" s="41">
        <f t="shared" si="22"/>
        <v>200000</v>
      </c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>
        <f>O167</f>
        <v>200000</v>
      </c>
      <c r="P166" s="41"/>
      <c r="Q166" s="851"/>
    </row>
    <row r="167" spans="1:17" s="130" customFormat="1" ht="21.75" customHeight="1">
      <c r="A167" s="843"/>
      <c r="B167" s="486">
        <v>85202</v>
      </c>
      <c r="C167" s="487" t="s">
        <v>82</v>
      </c>
      <c r="D167" s="43">
        <f t="shared" si="22"/>
        <v>200000</v>
      </c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>
        <v>200000</v>
      </c>
      <c r="P167" s="43"/>
      <c r="Q167" s="854"/>
    </row>
    <row r="168" spans="1:17" s="133" customFormat="1" ht="35.25" customHeight="1">
      <c r="A168" s="42"/>
      <c r="B168" s="42"/>
      <c r="C168" s="131" t="s">
        <v>502</v>
      </c>
      <c r="D168" s="132">
        <f>SUM(E168:P168)</f>
        <v>0</v>
      </c>
      <c r="E168" s="132"/>
      <c r="F168" s="132"/>
      <c r="G168" s="132"/>
      <c r="H168" s="132"/>
      <c r="I168" s="132"/>
      <c r="J168" s="132">
        <f>J169</f>
        <v>-1700</v>
      </c>
      <c r="K168" s="132"/>
      <c r="L168" s="132"/>
      <c r="M168" s="132">
        <f aca="true" t="shared" si="25" ref="M168:N170">M169</f>
        <v>1050</v>
      </c>
      <c r="N168" s="132">
        <f t="shared" si="25"/>
        <v>650</v>
      </c>
      <c r="O168" s="132"/>
      <c r="P168" s="132"/>
      <c r="Q168" s="855"/>
    </row>
    <row r="169" spans="1:17" s="130" customFormat="1" ht="21.75" customHeight="1" thickBot="1">
      <c r="A169" s="44"/>
      <c r="B169" s="44"/>
      <c r="C169" s="134" t="s">
        <v>547</v>
      </c>
      <c r="D169" s="135">
        <f>SUM(E169:P169)</f>
        <v>0</v>
      </c>
      <c r="E169" s="135"/>
      <c r="F169" s="135"/>
      <c r="G169" s="135"/>
      <c r="H169" s="135"/>
      <c r="I169" s="135"/>
      <c r="J169" s="135">
        <f>J170</f>
        <v>-1700</v>
      </c>
      <c r="K169" s="135"/>
      <c r="L169" s="135"/>
      <c r="M169" s="135">
        <f t="shared" si="25"/>
        <v>1050</v>
      </c>
      <c r="N169" s="135">
        <f t="shared" si="25"/>
        <v>650</v>
      </c>
      <c r="O169" s="135"/>
      <c r="P169" s="135"/>
      <c r="Q169" s="854"/>
    </row>
    <row r="170" spans="1:17" s="22" customFormat="1" ht="21.75" customHeight="1" thickTop="1">
      <c r="A170" s="38">
        <v>851</v>
      </c>
      <c r="B170" s="39"/>
      <c r="C170" s="40" t="s">
        <v>557</v>
      </c>
      <c r="D170" s="41">
        <f>SUM(E170:P170)</f>
        <v>0</v>
      </c>
      <c r="E170" s="41"/>
      <c r="F170" s="41"/>
      <c r="G170" s="41"/>
      <c r="H170" s="41"/>
      <c r="I170" s="41"/>
      <c r="J170" s="41">
        <f>J171</f>
        <v>-1700</v>
      </c>
      <c r="K170" s="41"/>
      <c r="L170" s="41"/>
      <c r="M170" s="41">
        <f t="shared" si="25"/>
        <v>1050</v>
      </c>
      <c r="N170" s="41">
        <f t="shared" si="25"/>
        <v>650</v>
      </c>
      <c r="O170" s="41"/>
      <c r="P170" s="41"/>
      <c r="Q170" s="851"/>
    </row>
    <row r="171" spans="1:17" s="130" customFormat="1" ht="21.75" customHeight="1">
      <c r="A171" s="843"/>
      <c r="B171" s="486">
        <v>85154</v>
      </c>
      <c r="C171" s="487" t="s">
        <v>580</v>
      </c>
      <c r="D171" s="43">
        <f>SUM(E171:P171)</f>
        <v>0</v>
      </c>
      <c r="E171" s="43"/>
      <c r="F171" s="43"/>
      <c r="G171" s="43"/>
      <c r="H171" s="43"/>
      <c r="I171" s="43"/>
      <c r="J171" s="43">
        <v>-1700</v>
      </c>
      <c r="K171" s="43"/>
      <c r="L171" s="43"/>
      <c r="M171" s="43">
        <v>1050</v>
      </c>
      <c r="N171" s="43">
        <v>650</v>
      </c>
      <c r="O171" s="43"/>
      <c r="P171" s="43"/>
      <c r="Q171" s="854"/>
    </row>
    <row r="172" spans="1:17" s="133" customFormat="1" ht="35.25" customHeight="1">
      <c r="A172" s="42"/>
      <c r="B172" s="42"/>
      <c r="C172" s="131" t="s">
        <v>302</v>
      </c>
      <c r="D172" s="132">
        <f t="shared" si="14"/>
        <v>220800</v>
      </c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>
        <f>P173</f>
        <v>220800</v>
      </c>
      <c r="Q172" s="855"/>
    </row>
    <row r="173" spans="1:17" s="130" customFormat="1" ht="21.75" customHeight="1" thickBot="1">
      <c r="A173" s="44"/>
      <c r="B173" s="44"/>
      <c r="C173" s="134" t="s">
        <v>547</v>
      </c>
      <c r="D173" s="135">
        <f t="shared" si="14"/>
        <v>220800</v>
      </c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>
        <f>P174</f>
        <v>220800</v>
      </c>
      <c r="Q173" s="854"/>
    </row>
    <row r="174" spans="1:17" s="22" customFormat="1" ht="21.75" customHeight="1" thickTop="1">
      <c r="A174" s="38">
        <v>852</v>
      </c>
      <c r="B174" s="39"/>
      <c r="C174" s="40" t="s">
        <v>555</v>
      </c>
      <c r="D174" s="41">
        <f t="shared" si="14"/>
        <v>220800</v>
      </c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>
        <f>P175</f>
        <v>220800</v>
      </c>
      <c r="Q174" s="851"/>
    </row>
    <row r="175" spans="1:17" s="130" customFormat="1" ht="21.75" customHeight="1">
      <c r="A175" s="843"/>
      <c r="B175" s="486">
        <v>85202</v>
      </c>
      <c r="C175" s="487" t="s">
        <v>82</v>
      </c>
      <c r="D175" s="43">
        <f t="shared" si="14"/>
        <v>220800</v>
      </c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>
        <v>220800</v>
      </c>
      <c r="Q175" s="854"/>
    </row>
    <row r="176" spans="1:17" s="33" customFormat="1" ht="21.75" customHeight="1">
      <c r="A176" s="30"/>
      <c r="B176" s="30"/>
      <c r="C176" s="31" t="s">
        <v>314</v>
      </c>
      <c r="D176" s="32">
        <f t="shared" si="14"/>
        <v>-637151</v>
      </c>
      <c r="E176" s="32"/>
      <c r="F176" s="32"/>
      <c r="G176" s="32">
        <f>G177+G186</f>
        <v>-356287</v>
      </c>
      <c r="H176" s="32">
        <f aca="true" t="shared" si="26" ref="H176:P176">H177+H186</f>
        <v>-488677</v>
      </c>
      <c r="I176" s="32">
        <f t="shared" si="26"/>
        <v>-680089</v>
      </c>
      <c r="J176" s="32">
        <f t="shared" si="26"/>
        <v>-688198</v>
      </c>
      <c r="K176" s="32">
        <f t="shared" si="26"/>
        <v>-644593</v>
      </c>
      <c r="L176" s="32">
        <f t="shared" si="26"/>
        <v>-688204</v>
      </c>
      <c r="M176" s="32">
        <f t="shared" si="26"/>
        <v>2686084</v>
      </c>
      <c r="N176" s="32">
        <f t="shared" si="26"/>
        <v>-342851</v>
      </c>
      <c r="O176" s="32">
        <f t="shared" si="26"/>
        <v>386000</v>
      </c>
      <c r="P176" s="32">
        <f t="shared" si="26"/>
        <v>179664</v>
      </c>
      <c r="Q176" s="853"/>
    </row>
    <row r="177" spans="1:17" s="22" customFormat="1" ht="21.75" customHeight="1" thickBot="1">
      <c r="A177" s="35"/>
      <c r="B177" s="35"/>
      <c r="C177" s="36" t="s">
        <v>547</v>
      </c>
      <c r="D177" s="37">
        <f t="shared" si="14"/>
        <v>0</v>
      </c>
      <c r="E177" s="37"/>
      <c r="F177" s="37"/>
      <c r="G177" s="37">
        <f>G178+G184</f>
        <v>-126085</v>
      </c>
      <c r="H177" s="37">
        <f aca="true" t="shared" si="27" ref="H177:P177">H178+H184</f>
        <v>-64117</v>
      </c>
      <c r="I177" s="37">
        <f t="shared" si="27"/>
        <v>-415042</v>
      </c>
      <c r="J177" s="37">
        <f t="shared" si="27"/>
        <v>-167072</v>
      </c>
      <c r="K177" s="37">
        <f t="shared" si="27"/>
        <v>-142348</v>
      </c>
      <c r="L177" s="37">
        <f t="shared" si="27"/>
        <v>-85000</v>
      </c>
      <c r="M177" s="37">
        <f t="shared" si="27"/>
        <v>179000</v>
      </c>
      <c r="N177" s="37">
        <f t="shared" si="27"/>
        <v>-45000</v>
      </c>
      <c r="O177" s="37">
        <f t="shared" si="27"/>
        <v>386000</v>
      </c>
      <c r="P177" s="37">
        <f t="shared" si="27"/>
        <v>479664</v>
      </c>
      <c r="Q177" s="851"/>
    </row>
    <row r="178" spans="1:17" s="433" customFormat="1" ht="21.75" customHeight="1" thickTop="1">
      <c r="A178" s="429">
        <v>852</v>
      </c>
      <c r="B178" s="429"/>
      <c r="C178" s="930" t="s">
        <v>555</v>
      </c>
      <c r="D178" s="931">
        <f aca="true" t="shared" si="28" ref="D178:D246">SUM(E178:P178)</f>
        <v>0</v>
      </c>
      <c r="E178" s="931"/>
      <c r="F178" s="931"/>
      <c r="G178" s="931">
        <f>SUM(G179:G183)</f>
        <v>-126085</v>
      </c>
      <c r="H178" s="931">
        <f aca="true" t="shared" si="29" ref="H178:P178">SUM(H179:H183)</f>
        <v>-64117</v>
      </c>
      <c r="I178" s="931">
        <f t="shared" si="29"/>
        <v>-415042</v>
      </c>
      <c r="J178" s="931">
        <f t="shared" si="29"/>
        <v>-167072</v>
      </c>
      <c r="K178" s="931">
        <f t="shared" si="29"/>
        <v>-142348</v>
      </c>
      <c r="L178" s="931"/>
      <c r="M178" s="931">
        <f t="shared" si="29"/>
        <v>125000</v>
      </c>
      <c r="N178" s="931">
        <f t="shared" si="29"/>
        <v>-45000</v>
      </c>
      <c r="O178" s="931">
        <f t="shared" si="29"/>
        <v>385000</v>
      </c>
      <c r="P178" s="931">
        <f t="shared" si="29"/>
        <v>449664</v>
      </c>
      <c r="Q178" s="857"/>
    </row>
    <row r="179" spans="1:17" s="130" customFormat="1" ht="24.75" customHeight="1">
      <c r="A179" s="443"/>
      <c r="B179" s="727">
        <v>85204</v>
      </c>
      <c r="C179" s="645" t="s">
        <v>440</v>
      </c>
      <c r="D179" s="728">
        <f t="shared" si="28"/>
        <v>129000</v>
      </c>
      <c r="E179" s="728"/>
      <c r="F179" s="728"/>
      <c r="G179" s="728"/>
      <c r="H179" s="728"/>
      <c r="I179" s="728"/>
      <c r="J179" s="728"/>
      <c r="K179" s="728"/>
      <c r="L179" s="728"/>
      <c r="M179" s="728"/>
      <c r="N179" s="728"/>
      <c r="O179" s="728">
        <v>65000</v>
      </c>
      <c r="P179" s="728">
        <v>64000</v>
      </c>
      <c r="Q179" s="854"/>
    </row>
    <row r="180" spans="1:17" s="130" customFormat="1" ht="36" customHeight="1">
      <c r="A180" s="443"/>
      <c r="B180" s="646">
        <v>85214</v>
      </c>
      <c r="C180" s="644" t="s">
        <v>206</v>
      </c>
      <c r="D180" s="444">
        <f t="shared" si="28"/>
        <v>500000</v>
      </c>
      <c r="E180" s="444"/>
      <c r="F180" s="444"/>
      <c r="G180" s="444"/>
      <c r="H180" s="444"/>
      <c r="I180" s="444"/>
      <c r="J180" s="444"/>
      <c r="K180" s="444"/>
      <c r="L180" s="444"/>
      <c r="M180" s="444"/>
      <c r="N180" s="444"/>
      <c r="O180" s="444">
        <v>250000</v>
      </c>
      <c r="P180" s="444">
        <v>250000</v>
      </c>
      <c r="Q180" s="854"/>
    </row>
    <row r="181" spans="1:17" s="130" customFormat="1" ht="24.75" customHeight="1">
      <c r="A181" s="443"/>
      <c r="B181" s="223">
        <v>85219</v>
      </c>
      <c r="C181" s="455" t="s">
        <v>133</v>
      </c>
      <c r="D181" s="444">
        <f t="shared" si="28"/>
        <v>285664</v>
      </c>
      <c r="E181" s="444"/>
      <c r="F181" s="444"/>
      <c r="G181" s="444"/>
      <c r="H181" s="444"/>
      <c r="I181" s="444"/>
      <c r="J181" s="444"/>
      <c r="K181" s="444"/>
      <c r="L181" s="444"/>
      <c r="M181" s="444"/>
      <c r="N181" s="444"/>
      <c r="O181" s="444">
        <v>150000</v>
      </c>
      <c r="P181" s="444">
        <v>135664</v>
      </c>
      <c r="Q181" s="854"/>
    </row>
    <row r="182" spans="1:17" s="130" customFormat="1" ht="30.75">
      <c r="A182" s="443"/>
      <c r="B182" s="223">
        <v>85228</v>
      </c>
      <c r="C182" s="455" t="s">
        <v>142</v>
      </c>
      <c r="D182" s="444">
        <f t="shared" si="28"/>
        <v>-914664</v>
      </c>
      <c r="E182" s="444"/>
      <c r="F182" s="444"/>
      <c r="G182" s="444">
        <v>-126085</v>
      </c>
      <c r="H182" s="444">
        <v>-64117</v>
      </c>
      <c r="I182" s="444">
        <v>-415042</v>
      </c>
      <c r="J182" s="444">
        <v>-167072</v>
      </c>
      <c r="K182" s="444">
        <v>-142348</v>
      </c>
      <c r="L182" s="444"/>
      <c r="M182" s="444"/>
      <c r="N182" s="444"/>
      <c r="O182" s="444"/>
      <c r="P182" s="444"/>
      <c r="Q182" s="854"/>
    </row>
    <row r="183" spans="1:17" s="130" customFormat="1" ht="24.75" customHeight="1">
      <c r="A183" s="443"/>
      <c r="B183" s="30">
        <v>85295</v>
      </c>
      <c r="C183" s="487" t="s">
        <v>553</v>
      </c>
      <c r="D183" s="43">
        <f t="shared" si="28"/>
        <v>0</v>
      </c>
      <c r="E183" s="43"/>
      <c r="F183" s="43"/>
      <c r="G183" s="43"/>
      <c r="H183" s="43"/>
      <c r="I183" s="43"/>
      <c r="J183" s="43"/>
      <c r="K183" s="43"/>
      <c r="L183" s="43"/>
      <c r="M183" s="43">
        <v>125000</v>
      </c>
      <c r="N183" s="43">
        <v>-45000</v>
      </c>
      <c r="O183" s="43">
        <v>-80000</v>
      </c>
      <c r="P183" s="43"/>
      <c r="Q183" s="854"/>
    </row>
    <row r="184" spans="1:17" s="433" customFormat="1" ht="21.75" customHeight="1">
      <c r="A184" s="429">
        <v>854</v>
      </c>
      <c r="B184" s="430"/>
      <c r="C184" s="431" t="s">
        <v>556</v>
      </c>
      <c r="D184" s="432">
        <f t="shared" si="28"/>
        <v>0</v>
      </c>
      <c r="E184" s="432"/>
      <c r="F184" s="432"/>
      <c r="G184" s="432"/>
      <c r="H184" s="432"/>
      <c r="I184" s="432"/>
      <c r="J184" s="432"/>
      <c r="K184" s="432"/>
      <c r="L184" s="432">
        <f>L185</f>
        <v>-85000</v>
      </c>
      <c r="M184" s="432">
        <f>M185</f>
        <v>54000</v>
      </c>
      <c r="N184" s="432"/>
      <c r="O184" s="432">
        <f>O185</f>
        <v>1000</v>
      </c>
      <c r="P184" s="432">
        <f>P185</f>
        <v>30000</v>
      </c>
      <c r="Q184" s="857"/>
    </row>
    <row r="185" spans="1:17" s="130" customFormat="1" ht="21.75" customHeight="1">
      <c r="A185" s="222"/>
      <c r="B185" s="223">
        <v>85415</v>
      </c>
      <c r="C185" s="129" t="s">
        <v>59</v>
      </c>
      <c r="D185" s="43">
        <f>SUM(E185:P185)</f>
        <v>0</v>
      </c>
      <c r="E185" s="43"/>
      <c r="F185" s="43"/>
      <c r="G185" s="43"/>
      <c r="H185" s="43"/>
      <c r="I185" s="43"/>
      <c r="J185" s="43"/>
      <c r="K185" s="43"/>
      <c r="L185" s="43">
        <v>-85000</v>
      </c>
      <c r="M185" s="43">
        <v>54000</v>
      </c>
      <c r="N185" s="43"/>
      <c r="O185" s="43">
        <v>1000</v>
      </c>
      <c r="P185" s="43">
        <v>30000</v>
      </c>
      <c r="Q185" s="854"/>
    </row>
    <row r="186" spans="1:17" s="448" customFormat="1" ht="36" customHeight="1" thickBot="1">
      <c r="A186" s="1426"/>
      <c r="B186" s="445"/>
      <c r="C186" s="446" t="s">
        <v>584</v>
      </c>
      <c r="D186" s="447">
        <f t="shared" si="28"/>
        <v>-637151</v>
      </c>
      <c r="E186" s="447"/>
      <c r="F186" s="447"/>
      <c r="G186" s="447">
        <f>G187+G189</f>
        <v>-230202</v>
      </c>
      <c r="H186" s="447">
        <f aca="true" t="shared" si="30" ref="H186:P186">H187+H189</f>
        <v>-424560</v>
      </c>
      <c r="I186" s="447">
        <f t="shared" si="30"/>
        <v>-265047</v>
      </c>
      <c r="J186" s="447">
        <f t="shared" si="30"/>
        <v>-521126</v>
      </c>
      <c r="K186" s="447">
        <f t="shared" si="30"/>
        <v>-502245</v>
      </c>
      <c r="L186" s="447">
        <f t="shared" si="30"/>
        <v>-603204</v>
      </c>
      <c r="M186" s="447">
        <f t="shared" si="30"/>
        <v>2507084</v>
      </c>
      <c r="N186" s="447">
        <f t="shared" si="30"/>
        <v>-297851</v>
      </c>
      <c r="O186" s="447"/>
      <c r="P186" s="447">
        <f t="shared" si="30"/>
        <v>-300000</v>
      </c>
      <c r="Q186" s="858"/>
    </row>
    <row r="187" spans="1:17" s="433" customFormat="1" ht="21.75" customHeight="1" thickTop="1">
      <c r="A187" s="429">
        <v>851</v>
      </c>
      <c r="B187" s="430"/>
      <c r="C187" s="431" t="s">
        <v>557</v>
      </c>
      <c r="D187" s="432">
        <f>SUM(E187:P187)</f>
        <v>2149</v>
      </c>
      <c r="E187" s="432"/>
      <c r="F187" s="432"/>
      <c r="G187" s="432"/>
      <c r="H187" s="432"/>
      <c r="I187" s="432"/>
      <c r="J187" s="432">
        <f>J188</f>
        <v>-1533</v>
      </c>
      <c r="K187" s="432"/>
      <c r="L187" s="432"/>
      <c r="M187" s="432">
        <f>M188</f>
        <v>1533</v>
      </c>
      <c r="N187" s="432">
        <f>N188</f>
        <v>2149</v>
      </c>
      <c r="O187" s="432"/>
      <c r="P187" s="432"/>
      <c r="Q187" s="857"/>
    </row>
    <row r="188" spans="1:17" s="1049" customFormat="1" ht="21.75" customHeight="1">
      <c r="A188" s="1086"/>
      <c r="B188" s="450">
        <v>85195</v>
      </c>
      <c r="C188" s="1087" t="s">
        <v>553</v>
      </c>
      <c r="D188" s="454">
        <f>SUM(E188:P188)</f>
        <v>2149</v>
      </c>
      <c r="E188" s="454"/>
      <c r="F188" s="454"/>
      <c r="G188" s="454"/>
      <c r="H188" s="454"/>
      <c r="I188" s="454"/>
      <c r="J188" s="454">
        <v>-1533</v>
      </c>
      <c r="K188" s="454"/>
      <c r="L188" s="454"/>
      <c r="M188" s="454">
        <v>1533</v>
      </c>
      <c r="N188" s="454">
        <v>2149</v>
      </c>
      <c r="O188" s="454"/>
      <c r="P188" s="454"/>
      <c r="Q188" s="1048"/>
    </row>
    <row r="189" spans="1:17" s="433" customFormat="1" ht="21.75" customHeight="1">
      <c r="A189" s="429">
        <v>852</v>
      </c>
      <c r="B189" s="430"/>
      <c r="C189" s="431" t="s">
        <v>555</v>
      </c>
      <c r="D189" s="432">
        <f>SUM(E189:P189)</f>
        <v>-639300</v>
      </c>
      <c r="E189" s="432"/>
      <c r="F189" s="432"/>
      <c r="G189" s="432">
        <f>SUM(G190:G191)</f>
        <v>-230202</v>
      </c>
      <c r="H189" s="432">
        <f aca="true" t="shared" si="31" ref="H189:P189">SUM(H190:H191)</f>
        <v>-424560</v>
      </c>
      <c r="I189" s="432">
        <f t="shared" si="31"/>
        <v>-265047</v>
      </c>
      <c r="J189" s="432">
        <f t="shared" si="31"/>
        <v>-519593</v>
      </c>
      <c r="K189" s="432">
        <f t="shared" si="31"/>
        <v>-502245</v>
      </c>
      <c r="L189" s="432">
        <f t="shared" si="31"/>
        <v>-603204</v>
      </c>
      <c r="M189" s="432">
        <f t="shared" si="31"/>
        <v>2505551</v>
      </c>
      <c r="N189" s="432">
        <f t="shared" si="31"/>
        <v>-300000</v>
      </c>
      <c r="O189" s="432"/>
      <c r="P189" s="432">
        <f t="shared" si="31"/>
        <v>-300000</v>
      </c>
      <c r="Q189" s="857"/>
    </row>
    <row r="190" spans="1:17" s="130" customFormat="1" ht="45.75">
      <c r="A190" s="1433"/>
      <c r="B190" s="223">
        <v>85212</v>
      </c>
      <c r="C190" s="455" t="s">
        <v>501</v>
      </c>
      <c r="D190" s="43">
        <f>SUM(E190:P190)</f>
        <v>-600000</v>
      </c>
      <c r="E190" s="43"/>
      <c r="F190" s="43"/>
      <c r="G190" s="43">
        <v>-230202</v>
      </c>
      <c r="H190" s="43">
        <v>-424560</v>
      </c>
      <c r="I190" s="43">
        <v>-265047</v>
      </c>
      <c r="J190" s="43">
        <v>-519593</v>
      </c>
      <c r="K190" s="43">
        <v>-502245</v>
      </c>
      <c r="L190" s="43">
        <v>-563904</v>
      </c>
      <c r="M190" s="43">
        <v>2505551</v>
      </c>
      <c r="N190" s="43">
        <v>-300000</v>
      </c>
      <c r="O190" s="43"/>
      <c r="P190" s="43">
        <v>-300000</v>
      </c>
      <c r="Q190" s="854"/>
    </row>
    <row r="191" spans="1:17" s="1049" customFormat="1" ht="30.75">
      <c r="A191" s="1086"/>
      <c r="B191" s="849">
        <v>85228</v>
      </c>
      <c r="C191" s="1432" t="s">
        <v>142</v>
      </c>
      <c r="D191" s="452">
        <f>SUM(E191:P191)</f>
        <v>-39300</v>
      </c>
      <c r="E191" s="452"/>
      <c r="F191" s="452"/>
      <c r="G191" s="452"/>
      <c r="H191" s="452"/>
      <c r="I191" s="452"/>
      <c r="J191" s="452"/>
      <c r="K191" s="452"/>
      <c r="L191" s="452">
        <v>-39300</v>
      </c>
      <c r="M191" s="452"/>
      <c r="N191" s="452"/>
      <c r="O191" s="452"/>
      <c r="P191" s="452"/>
      <c r="Q191" s="1048"/>
    </row>
    <row r="192" spans="1:17" s="33" customFormat="1" ht="21.75" customHeight="1">
      <c r="A192" s="30"/>
      <c r="B192" s="30"/>
      <c r="C192" s="31" t="s">
        <v>315</v>
      </c>
      <c r="D192" s="32">
        <f t="shared" si="28"/>
        <v>0</v>
      </c>
      <c r="E192" s="32"/>
      <c r="F192" s="32"/>
      <c r="G192" s="32"/>
      <c r="H192" s="32"/>
      <c r="I192" s="32"/>
      <c r="J192" s="32"/>
      <c r="K192" s="32"/>
      <c r="L192" s="32">
        <f>L193+L196</f>
        <v>-60010</v>
      </c>
      <c r="M192" s="32">
        <f>M193+M196</f>
        <v>-1075</v>
      </c>
      <c r="N192" s="32">
        <f>N193+N196</f>
        <v>15000</v>
      </c>
      <c r="O192" s="32">
        <f>O193+O196</f>
        <v>15000</v>
      </c>
      <c r="P192" s="32">
        <f>P193+P196</f>
        <v>31085</v>
      </c>
      <c r="Q192" s="853"/>
    </row>
    <row r="193" spans="1:17" s="130" customFormat="1" ht="21.75" customHeight="1" thickBot="1">
      <c r="A193" s="44"/>
      <c r="B193" s="44"/>
      <c r="C193" s="134" t="s">
        <v>547</v>
      </c>
      <c r="D193" s="135">
        <f t="shared" si="28"/>
        <v>0</v>
      </c>
      <c r="E193" s="135"/>
      <c r="F193" s="135"/>
      <c r="G193" s="135"/>
      <c r="H193" s="135"/>
      <c r="I193" s="135"/>
      <c r="J193" s="135"/>
      <c r="K193" s="135"/>
      <c r="L193" s="135">
        <f aca="true" t="shared" si="32" ref="L193:P194">L194</f>
        <v>-60010</v>
      </c>
      <c r="M193" s="135">
        <f t="shared" si="32"/>
        <v>15000</v>
      </c>
      <c r="N193" s="135">
        <f t="shared" si="32"/>
        <v>15000</v>
      </c>
      <c r="O193" s="135">
        <f t="shared" si="32"/>
        <v>15000</v>
      </c>
      <c r="P193" s="135">
        <f t="shared" si="32"/>
        <v>15010</v>
      </c>
      <c r="Q193" s="854"/>
    </row>
    <row r="194" spans="1:17" s="22" customFormat="1" ht="33.75" customHeight="1" thickTop="1">
      <c r="A194" s="38">
        <v>853</v>
      </c>
      <c r="B194" s="39"/>
      <c r="C194" s="40" t="s">
        <v>598</v>
      </c>
      <c r="D194" s="41">
        <f t="shared" si="28"/>
        <v>0</v>
      </c>
      <c r="E194" s="41"/>
      <c r="F194" s="41"/>
      <c r="G194" s="41"/>
      <c r="H194" s="41"/>
      <c r="I194" s="41"/>
      <c r="J194" s="41"/>
      <c r="K194" s="41"/>
      <c r="L194" s="41">
        <f t="shared" si="32"/>
        <v>-60010</v>
      </c>
      <c r="M194" s="41">
        <f t="shared" si="32"/>
        <v>15000</v>
      </c>
      <c r="N194" s="41">
        <f t="shared" si="32"/>
        <v>15000</v>
      </c>
      <c r="O194" s="41">
        <f t="shared" si="32"/>
        <v>15000</v>
      </c>
      <c r="P194" s="41">
        <f t="shared" si="32"/>
        <v>15010</v>
      </c>
      <c r="Q194" s="851"/>
    </row>
    <row r="195" spans="1:17" s="130" customFormat="1" ht="21.75" customHeight="1">
      <c r="A195" s="222"/>
      <c r="B195" s="223">
        <v>85333</v>
      </c>
      <c r="C195" s="129" t="s">
        <v>517</v>
      </c>
      <c r="D195" s="43">
        <f t="shared" si="28"/>
        <v>0</v>
      </c>
      <c r="E195" s="43"/>
      <c r="F195" s="43"/>
      <c r="G195" s="43"/>
      <c r="H195" s="43"/>
      <c r="I195" s="43"/>
      <c r="J195" s="43"/>
      <c r="K195" s="43"/>
      <c r="L195" s="43">
        <v>-60010</v>
      </c>
      <c r="M195" s="43">
        <v>15000</v>
      </c>
      <c r="N195" s="43">
        <v>15000</v>
      </c>
      <c r="O195" s="43">
        <v>15000</v>
      </c>
      <c r="P195" s="43">
        <v>15010</v>
      </c>
      <c r="Q195" s="854"/>
    </row>
    <row r="196" spans="1:17" s="130" customFormat="1" ht="45.75" customHeight="1" thickBot="1">
      <c r="A196" s="44"/>
      <c r="B196" s="44"/>
      <c r="C196" s="134" t="s">
        <v>585</v>
      </c>
      <c r="D196" s="135">
        <f t="shared" si="28"/>
        <v>0</v>
      </c>
      <c r="E196" s="135"/>
      <c r="F196" s="135"/>
      <c r="G196" s="135"/>
      <c r="H196" s="135"/>
      <c r="I196" s="135"/>
      <c r="J196" s="135"/>
      <c r="K196" s="135"/>
      <c r="L196" s="135"/>
      <c r="M196" s="135">
        <f>M197</f>
        <v>-16075</v>
      </c>
      <c r="N196" s="135"/>
      <c r="O196" s="135"/>
      <c r="P196" s="135">
        <f>P197</f>
        <v>16075</v>
      </c>
      <c r="Q196" s="854"/>
    </row>
    <row r="197" spans="1:17" s="22" customFormat="1" ht="22.5" customHeight="1" thickTop="1">
      <c r="A197" s="38">
        <v>851</v>
      </c>
      <c r="B197" s="39"/>
      <c r="C197" s="40" t="s">
        <v>557</v>
      </c>
      <c r="D197" s="41">
        <f t="shared" si="28"/>
        <v>0</v>
      </c>
      <c r="E197" s="41"/>
      <c r="F197" s="41"/>
      <c r="G197" s="41"/>
      <c r="H197" s="41"/>
      <c r="I197" s="41"/>
      <c r="J197" s="41"/>
      <c r="K197" s="41"/>
      <c r="L197" s="41"/>
      <c r="M197" s="41">
        <f>M198</f>
        <v>-16075</v>
      </c>
      <c r="N197" s="41"/>
      <c r="O197" s="41"/>
      <c r="P197" s="41">
        <f>P198</f>
        <v>16075</v>
      </c>
      <c r="Q197" s="851"/>
    </row>
    <row r="198" spans="1:17" s="130" customFormat="1" ht="45.75" customHeight="1">
      <c r="A198" s="222"/>
      <c r="B198" s="223">
        <v>85156</v>
      </c>
      <c r="C198" s="129" t="s">
        <v>187</v>
      </c>
      <c r="D198" s="43">
        <f t="shared" si="28"/>
        <v>0</v>
      </c>
      <c r="E198" s="43"/>
      <c r="F198" s="43"/>
      <c r="G198" s="43"/>
      <c r="H198" s="43"/>
      <c r="I198" s="43"/>
      <c r="J198" s="43"/>
      <c r="K198" s="43"/>
      <c r="L198" s="43"/>
      <c r="M198" s="43">
        <v>-16075</v>
      </c>
      <c r="N198" s="43"/>
      <c r="O198" s="43"/>
      <c r="P198" s="43">
        <v>16075</v>
      </c>
      <c r="Q198" s="854"/>
    </row>
    <row r="199" spans="1:17" s="33" customFormat="1" ht="33.75" customHeight="1">
      <c r="A199" s="30"/>
      <c r="B199" s="30"/>
      <c r="C199" s="31" t="s">
        <v>499</v>
      </c>
      <c r="D199" s="32">
        <f aca="true" t="shared" si="33" ref="D199:D209">SUM(E199:P199)</f>
        <v>48000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>
        <f>N200</f>
        <v>22000</v>
      </c>
      <c r="O199" s="32">
        <f aca="true" t="shared" si="34" ref="O199:P201">O200</f>
        <v>13000</v>
      </c>
      <c r="P199" s="32">
        <f t="shared" si="34"/>
        <v>13000</v>
      </c>
      <c r="Q199" s="853"/>
    </row>
    <row r="200" spans="1:17" s="130" customFormat="1" ht="24" customHeight="1" thickBot="1">
      <c r="A200" s="44"/>
      <c r="B200" s="44"/>
      <c r="C200" s="134" t="s">
        <v>547</v>
      </c>
      <c r="D200" s="135">
        <f t="shared" si="33"/>
        <v>48000</v>
      </c>
      <c r="E200" s="135"/>
      <c r="F200" s="135"/>
      <c r="G200" s="135"/>
      <c r="H200" s="135"/>
      <c r="I200" s="135"/>
      <c r="J200" s="135"/>
      <c r="K200" s="135"/>
      <c r="L200" s="135"/>
      <c r="M200" s="135"/>
      <c r="N200" s="135">
        <f>N201</f>
        <v>22000</v>
      </c>
      <c r="O200" s="135">
        <f t="shared" si="34"/>
        <v>13000</v>
      </c>
      <c r="P200" s="135">
        <f t="shared" si="34"/>
        <v>13000</v>
      </c>
      <c r="Q200" s="854"/>
    </row>
    <row r="201" spans="1:17" s="22" customFormat="1" ht="33.75" customHeight="1" thickTop="1">
      <c r="A201" s="38">
        <v>853</v>
      </c>
      <c r="B201" s="39"/>
      <c r="C201" s="40" t="s">
        <v>598</v>
      </c>
      <c r="D201" s="41">
        <f t="shared" si="33"/>
        <v>48000</v>
      </c>
      <c r="E201" s="41"/>
      <c r="F201" s="41"/>
      <c r="G201" s="41"/>
      <c r="H201" s="41"/>
      <c r="I201" s="41"/>
      <c r="J201" s="41"/>
      <c r="K201" s="41"/>
      <c r="L201" s="41"/>
      <c r="M201" s="41"/>
      <c r="N201" s="41">
        <f>N202</f>
        <v>22000</v>
      </c>
      <c r="O201" s="41">
        <f t="shared" si="34"/>
        <v>13000</v>
      </c>
      <c r="P201" s="41">
        <f t="shared" si="34"/>
        <v>13000</v>
      </c>
      <c r="Q201" s="851"/>
    </row>
    <row r="202" spans="1:17" s="1049" customFormat="1" ht="21.75" customHeight="1">
      <c r="A202" s="1047"/>
      <c r="B202" s="450">
        <v>85305</v>
      </c>
      <c r="C202" s="736" t="s">
        <v>436</v>
      </c>
      <c r="D202" s="454">
        <f t="shared" si="33"/>
        <v>48000</v>
      </c>
      <c r="E202" s="454"/>
      <c r="F202" s="454"/>
      <c r="G202" s="454"/>
      <c r="H202" s="454"/>
      <c r="I202" s="454"/>
      <c r="J202" s="454"/>
      <c r="K202" s="454"/>
      <c r="L202" s="454"/>
      <c r="M202" s="454"/>
      <c r="N202" s="454">
        <v>22000</v>
      </c>
      <c r="O202" s="454">
        <v>13000</v>
      </c>
      <c r="P202" s="454">
        <v>13000</v>
      </c>
      <c r="Q202" s="1048"/>
    </row>
    <row r="203" spans="1:17" s="33" customFormat="1" ht="33.75" customHeight="1">
      <c r="A203" s="30"/>
      <c r="B203" s="30"/>
      <c r="C203" s="31" t="s">
        <v>500</v>
      </c>
      <c r="D203" s="32">
        <f t="shared" si="33"/>
        <v>127000</v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>
        <f>N204+N207</f>
        <v>56000</v>
      </c>
      <c r="O203" s="32">
        <f>O204+O207</f>
        <v>59000</v>
      </c>
      <c r="P203" s="32">
        <f>P204+P207</f>
        <v>12000</v>
      </c>
      <c r="Q203" s="853"/>
    </row>
    <row r="204" spans="1:17" s="130" customFormat="1" ht="31.5" thickBot="1">
      <c r="A204" s="44"/>
      <c r="B204" s="44"/>
      <c r="C204" s="134" t="s">
        <v>188</v>
      </c>
      <c r="D204" s="135">
        <f>SUM(E204:P204)</f>
        <v>7000</v>
      </c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>
        <f>P205</f>
        <v>7000</v>
      </c>
      <c r="Q204" s="854"/>
    </row>
    <row r="205" spans="1:17" s="22" customFormat="1" ht="33.75" customHeight="1" thickTop="1">
      <c r="A205" s="38">
        <v>754</v>
      </c>
      <c r="B205" s="39"/>
      <c r="C205" s="40" t="s">
        <v>548</v>
      </c>
      <c r="D205" s="41">
        <f>SUM(E205:P205)</f>
        <v>7000</v>
      </c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>
        <f>P206</f>
        <v>7000</v>
      </c>
      <c r="Q205" s="851"/>
    </row>
    <row r="206" spans="1:17" s="156" customFormat="1" ht="31.5">
      <c r="A206" s="1002"/>
      <c r="B206" s="820">
        <v>75411</v>
      </c>
      <c r="C206" s="751" t="s">
        <v>284</v>
      </c>
      <c r="D206" s="752">
        <f>SUM(E206:P206)</f>
        <v>7000</v>
      </c>
      <c r="E206" s="752"/>
      <c r="F206" s="752"/>
      <c r="G206" s="752"/>
      <c r="H206" s="752"/>
      <c r="I206" s="752"/>
      <c r="J206" s="752"/>
      <c r="K206" s="752"/>
      <c r="L206" s="752"/>
      <c r="M206" s="752"/>
      <c r="N206" s="752"/>
      <c r="O206" s="752"/>
      <c r="P206" s="752">
        <v>7000</v>
      </c>
      <c r="Q206" s="1003"/>
    </row>
    <row r="207" spans="1:17" s="130" customFormat="1" ht="46.5" thickBot="1">
      <c r="A207" s="44"/>
      <c r="B207" s="44"/>
      <c r="C207" s="134" t="s">
        <v>585</v>
      </c>
      <c r="D207" s="135">
        <f t="shared" si="33"/>
        <v>120000</v>
      </c>
      <c r="E207" s="135"/>
      <c r="F207" s="135"/>
      <c r="G207" s="135"/>
      <c r="H207" s="135"/>
      <c r="I207" s="135"/>
      <c r="J207" s="135"/>
      <c r="K207" s="135"/>
      <c r="L207" s="135"/>
      <c r="M207" s="135"/>
      <c r="N207" s="135">
        <f aca="true" t="shared" si="35" ref="N207:P208">N208</f>
        <v>56000</v>
      </c>
      <c r="O207" s="135">
        <f t="shared" si="35"/>
        <v>59000</v>
      </c>
      <c r="P207" s="135">
        <f t="shared" si="35"/>
        <v>5000</v>
      </c>
      <c r="Q207" s="854"/>
    </row>
    <row r="208" spans="1:17" s="22" customFormat="1" ht="22.5" customHeight="1" thickTop="1">
      <c r="A208" s="38">
        <v>851</v>
      </c>
      <c r="B208" s="39"/>
      <c r="C208" s="40" t="s">
        <v>557</v>
      </c>
      <c r="D208" s="41">
        <f t="shared" si="33"/>
        <v>120000</v>
      </c>
      <c r="E208" s="41"/>
      <c r="F208" s="41"/>
      <c r="G208" s="41"/>
      <c r="H208" s="41"/>
      <c r="I208" s="41"/>
      <c r="J208" s="41"/>
      <c r="K208" s="41"/>
      <c r="L208" s="41"/>
      <c r="M208" s="41"/>
      <c r="N208" s="41">
        <f t="shared" si="35"/>
        <v>56000</v>
      </c>
      <c r="O208" s="41">
        <f t="shared" si="35"/>
        <v>59000</v>
      </c>
      <c r="P208" s="41">
        <f t="shared" si="35"/>
        <v>5000</v>
      </c>
      <c r="Q208" s="851"/>
    </row>
    <row r="209" spans="1:17" s="156" customFormat="1" ht="21.75" customHeight="1">
      <c r="A209" s="1002"/>
      <c r="B209" s="820">
        <v>85141</v>
      </c>
      <c r="C209" s="751" t="s">
        <v>451</v>
      </c>
      <c r="D209" s="752">
        <f t="shared" si="33"/>
        <v>120000</v>
      </c>
      <c r="E209" s="752"/>
      <c r="F209" s="752"/>
      <c r="G209" s="752"/>
      <c r="H209" s="752"/>
      <c r="I209" s="752"/>
      <c r="J209" s="752"/>
      <c r="K209" s="752"/>
      <c r="L209" s="752"/>
      <c r="M209" s="752"/>
      <c r="N209" s="752">
        <v>56000</v>
      </c>
      <c r="O209" s="752">
        <v>59000</v>
      </c>
      <c r="P209" s="752">
        <v>5000</v>
      </c>
      <c r="Q209" s="1003"/>
    </row>
    <row r="210" spans="1:17" s="173" customFormat="1" ht="21.75" customHeight="1">
      <c r="A210" s="196"/>
      <c r="B210" s="197"/>
      <c r="C210" s="198" t="s">
        <v>494</v>
      </c>
      <c r="D210" s="199">
        <f t="shared" si="28"/>
        <v>1471728</v>
      </c>
      <c r="E210" s="199"/>
      <c r="F210" s="199"/>
      <c r="G210" s="199"/>
      <c r="H210" s="199"/>
      <c r="I210" s="199"/>
      <c r="J210" s="199"/>
      <c r="K210" s="199"/>
      <c r="L210" s="199">
        <f>L211+L250+L253</f>
        <v>-9455775</v>
      </c>
      <c r="M210" s="199">
        <f>M211+M250+M253</f>
        <v>10145043</v>
      </c>
      <c r="N210" s="199">
        <f>N211+N250+N253</f>
        <v>628680</v>
      </c>
      <c r="O210" s="199">
        <f>O211+O250+O253</f>
        <v>34080</v>
      </c>
      <c r="P210" s="199">
        <f>P211+P250+P253</f>
        <v>119700</v>
      </c>
      <c r="Q210" s="851"/>
    </row>
    <row r="211" spans="1:17" s="45" customFormat="1" ht="21.75" customHeight="1" thickBot="1">
      <c r="A211" s="200"/>
      <c r="B211" s="201"/>
      <c r="C211" s="202" t="s">
        <v>547</v>
      </c>
      <c r="D211" s="203">
        <f t="shared" si="28"/>
        <v>1471728</v>
      </c>
      <c r="E211" s="203"/>
      <c r="F211" s="203"/>
      <c r="G211" s="203"/>
      <c r="H211" s="203"/>
      <c r="I211" s="203"/>
      <c r="J211" s="203"/>
      <c r="K211" s="203"/>
      <c r="L211" s="203">
        <f>L212+L214+L233+L237+L248</f>
        <v>-9451001</v>
      </c>
      <c r="M211" s="203">
        <f>M212+M214+M233+M237+M248</f>
        <v>10140269</v>
      </c>
      <c r="N211" s="203">
        <f>N212+N214+N233+N237+N248</f>
        <v>628680</v>
      </c>
      <c r="O211" s="203">
        <f>O212+O214+O233+O237+O248</f>
        <v>34080</v>
      </c>
      <c r="P211" s="203">
        <f>P212+P214+P233+P237+P248</f>
        <v>119700</v>
      </c>
      <c r="Q211" s="859"/>
    </row>
    <row r="212" spans="1:17" s="22" customFormat="1" ht="32.25" thickTop="1">
      <c r="A212" s="41">
        <v>754</v>
      </c>
      <c r="B212" s="38"/>
      <c r="C212" s="40" t="s">
        <v>548</v>
      </c>
      <c r="D212" s="41">
        <f>SUM(E212:P212)</f>
        <v>0</v>
      </c>
      <c r="E212" s="41"/>
      <c r="F212" s="41"/>
      <c r="G212" s="41"/>
      <c r="H212" s="41"/>
      <c r="I212" s="41"/>
      <c r="J212" s="41"/>
      <c r="K212" s="41"/>
      <c r="L212" s="41">
        <f>L213</f>
        <v>-110000</v>
      </c>
      <c r="M212" s="41">
        <f>M213</f>
        <v>110000</v>
      </c>
      <c r="N212" s="41"/>
      <c r="O212" s="41"/>
      <c r="P212" s="41"/>
      <c r="Q212" s="851"/>
    </row>
    <row r="213" spans="1:17" s="453" customFormat="1" ht="21.75" customHeight="1">
      <c r="A213" s="454"/>
      <c r="B213" s="450">
        <v>75495</v>
      </c>
      <c r="C213" s="451" t="s">
        <v>553</v>
      </c>
      <c r="D213" s="43">
        <f>SUM(E213:P213)</f>
        <v>0</v>
      </c>
      <c r="E213" s="452"/>
      <c r="F213" s="452"/>
      <c r="G213" s="452"/>
      <c r="H213" s="452"/>
      <c r="I213" s="452"/>
      <c r="J213" s="452"/>
      <c r="K213" s="452"/>
      <c r="L213" s="452">
        <v>-110000</v>
      </c>
      <c r="M213" s="452">
        <v>110000</v>
      </c>
      <c r="N213" s="452"/>
      <c r="O213" s="452"/>
      <c r="P213" s="452"/>
      <c r="Q213" s="854"/>
    </row>
    <row r="214" spans="1:17" s="22" customFormat="1" ht="21.75" customHeight="1">
      <c r="A214" s="41">
        <v>801</v>
      </c>
      <c r="B214" s="38"/>
      <c r="C214" s="40" t="s">
        <v>554</v>
      </c>
      <c r="D214" s="41">
        <f t="shared" si="28"/>
        <v>967067</v>
      </c>
      <c r="E214" s="41"/>
      <c r="F214" s="41"/>
      <c r="G214" s="41"/>
      <c r="H214" s="41"/>
      <c r="I214" s="41"/>
      <c r="J214" s="41"/>
      <c r="K214" s="41"/>
      <c r="L214" s="41">
        <f>SUM(L215:L232)</f>
        <v>-7027795</v>
      </c>
      <c r="M214" s="41">
        <f>SUM(M215:M232)</f>
        <v>7574252</v>
      </c>
      <c r="N214" s="41">
        <f>SUM(N215:N232)</f>
        <v>570910</v>
      </c>
      <c r="O214" s="41">
        <f>SUM(O215:O232)</f>
        <v>10000</v>
      </c>
      <c r="P214" s="41">
        <f>SUM(P215:P232)</f>
        <v>-160300</v>
      </c>
      <c r="Q214" s="851"/>
    </row>
    <row r="215" spans="1:17" s="453" customFormat="1" ht="21.75" customHeight="1">
      <c r="A215" s="449"/>
      <c r="B215" s="450">
        <v>80101</v>
      </c>
      <c r="C215" s="451" t="s">
        <v>60</v>
      </c>
      <c r="D215" s="43">
        <f t="shared" si="28"/>
        <v>250636</v>
      </c>
      <c r="E215" s="452"/>
      <c r="F215" s="452"/>
      <c r="G215" s="452"/>
      <c r="H215" s="452"/>
      <c r="I215" s="452"/>
      <c r="J215" s="452"/>
      <c r="K215" s="452"/>
      <c r="L215" s="452">
        <v>-1653650</v>
      </c>
      <c r="M215" s="452">
        <f>857+1701329</f>
        <v>1702186</v>
      </c>
      <c r="N215" s="452">
        <v>142100</v>
      </c>
      <c r="O215" s="452">
        <v>60000</v>
      </c>
      <c r="P215" s="452"/>
      <c r="Q215" s="854"/>
    </row>
    <row r="216" spans="1:17" s="453" customFormat="1" ht="21.75" customHeight="1">
      <c r="A216" s="449"/>
      <c r="B216" s="450">
        <v>80102</v>
      </c>
      <c r="C216" s="451" t="s">
        <v>135</v>
      </c>
      <c r="D216" s="43">
        <f t="shared" si="28"/>
        <v>0</v>
      </c>
      <c r="E216" s="452"/>
      <c r="F216" s="452"/>
      <c r="G216" s="452"/>
      <c r="H216" s="452"/>
      <c r="I216" s="452"/>
      <c r="J216" s="452"/>
      <c r="K216" s="452"/>
      <c r="L216" s="452"/>
      <c r="M216" s="452">
        <v>150000</v>
      </c>
      <c r="N216" s="452">
        <v>-50000</v>
      </c>
      <c r="O216" s="452">
        <v>-50000</v>
      </c>
      <c r="P216" s="452">
        <v>-50000</v>
      </c>
      <c r="Q216" s="854"/>
    </row>
    <row r="217" spans="1:17" s="453" customFormat="1" ht="33.75" customHeight="1">
      <c r="A217" s="449"/>
      <c r="B217" s="450">
        <v>80103</v>
      </c>
      <c r="C217" s="451" t="s">
        <v>134</v>
      </c>
      <c r="D217" s="43">
        <f t="shared" si="28"/>
        <v>3230</v>
      </c>
      <c r="E217" s="452"/>
      <c r="F217" s="452"/>
      <c r="G217" s="452"/>
      <c r="H217" s="452"/>
      <c r="I217" s="452"/>
      <c r="J217" s="452"/>
      <c r="K217" s="452"/>
      <c r="L217" s="452">
        <v>-87589</v>
      </c>
      <c r="M217" s="452">
        <v>90819</v>
      </c>
      <c r="N217" s="452"/>
      <c r="O217" s="452"/>
      <c r="P217" s="452"/>
      <c r="Q217" s="854"/>
    </row>
    <row r="218" spans="1:17" s="453" customFormat="1" ht="21.75" customHeight="1">
      <c r="A218" s="449"/>
      <c r="B218" s="450">
        <v>80104</v>
      </c>
      <c r="C218" s="451" t="s">
        <v>58</v>
      </c>
      <c r="D218" s="43">
        <f t="shared" si="28"/>
        <v>189451</v>
      </c>
      <c r="E218" s="452"/>
      <c r="F218" s="452"/>
      <c r="G218" s="452"/>
      <c r="H218" s="452"/>
      <c r="I218" s="452"/>
      <c r="J218" s="452"/>
      <c r="K218" s="452"/>
      <c r="L218" s="452">
        <v>-601017</v>
      </c>
      <c r="M218" s="452">
        <v>619158</v>
      </c>
      <c r="N218" s="452">
        <v>171310</v>
      </c>
      <c r="O218" s="452"/>
      <c r="P218" s="452"/>
      <c r="Q218" s="854"/>
    </row>
    <row r="219" spans="1:17" s="453" customFormat="1" ht="21.75" customHeight="1">
      <c r="A219" s="449"/>
      <c r="B219" s="647">
        <v>80105</v>
      </c>
      <c r="C219" s="451" t="s">
        <v>138</v>
      </c>
      <c r="D219" s="442">
        <f t="shared" si="28"/>
        <v>0</v>
      </c>
      <c r="E219" s="452"/>
      <c r="F219" s="452"/>
      <c r="G219" s="452"/>
      <c r="H219" s="452"/>
      <c r="I219" s="452"/>
      <c r="J219" s="452"/>
      <c r="K219" s="452"/>
      <c r="L219" s="452">
        <v>-29928</v>
      </c>
      <c r="M219" s="452">
        <v>35228</v>
      </c>
      <c r="N219" s="452"/>
      <c r="O219" s="452"/>
      <c r="P219" s="452">
        <v>-5300</v>
      </c>
      <c r="Q219" s="854"/>
    </row>
    <row r="220" spans="1:17" s="453" customFormat="1" ht="21.75" customHeight="1">
      <c r="A220" s="449"/>
      <c r="B220" s="450">
        <v>80110</v>
      </c>
      <c r="C220" s="451" t="s">
        <v>61</v>
      </c>
      <c r="D220" s="43">
        <f t="shared" si="28"/>
        <v>85450</v>
      </c>
      <c r="E220" s="452"/>
      <c r="F220" s="452"/>
      <c r="G220" s="452"/>
      <c r="H220" s="452"/>
      <c r="I220" s="452"/>
      <c r="J220" s="452"/>
      <c r="K220" s="452"/>
      <c r="L220" s="452">
        <v>-710380</v>
      </c>
      <c r="M220" s="452">
        <v>797330</v>
      </c>
      <c r="N220" s="452">
        <v>64500</v>
      </c>
      <c r="O220" s="452"/>
      <c r="P220" s="452">
        <v>-66000</v>
      </c>
      <c r="Q220" s="854"/>
    </row>
    <row r="221" spans="1:17" s="453" customFormat="1" ht="21.75" customHeight="1">
      <c r="A221" s="449"/>
      <c r="B221" s="450">
        <v>80111</v>
      </c>
      <c r="C221" s="451" t="s">
        <v>174</v>
      </c>
      <c r="D221" s="43">
        <f t="shared" si="28"/>
        <v>0</v>
      </c>
      <c r="E221" s="452"/>
      <c r="F221" s="452"/>
      <c r="G221" s="452"/>
      <c r="H221" s="452"/>
      <c r="I221" s="452"/>
      <c r="J221" s="452"/>
      <c r="K221" s="452"/>
      <c r="L221" s="452">
        <v>-21910</v>
      </c>
      <c r="M221" s="452">
        <v>60910</v>
      </c>
      <c r="N221" s="452"/>
      <c r="O221" s="452"/>
      <c r="P221" s="452">
        <v>-39000</v>
      </c>
      <c r="Q221" s="854"/>
    </row>
    <row r="222" spans="1:17" s="453" customFormat="1" ht="21.75" customHeight="1">
      <c r="A222" s="452"/>
      <c r="B222" s="450">
        <v>80113</v>
      </c>
      <c r="C222" s="451" t="s">
        <v>175</v>
      </c>
      <c r="D222" s="43">
        <f t="shared" si="28"/>
        <v>15000</v>
      </c>
      <c r="E222" s="452"/>
      <c r="F222" s="452"/>
      <c r="G222" s="452"/>
      <c r="H222" s="452"/>
      <c r="I222" s="452"/>
      <c r="J222" s="452"/>
      <c r="K222" s="452"/>
      <c r="L222" s="452">
        <v>-58759</v>
      </c>
      <c r="M222" s="452">
        <v>73759</v>
      </c>
      <c r="N222" s="452"/>
      <c r="O222" s="452"/>
      <c r="P222" s="452"/>
      <c r="Q222" s="854"/>
    </row>
    <row r="223" spans="1:17" s="453" customFormat="1" ht="21.75" customHeight="1">
      <c r="A223" s="449"/>
      <c r="B223" s="647">
        <v>80120</v>
      </c>
      <c r="C223" s="451" t="s">
        <v>62</v>
      </c>
      <c r="D223" s="442">
        <f t="shared" si="28"/>
        <v>185300</v>
      </c>
      <c r="E223" s="452"/>
      <c r="F223" s="452"/>
      <c r="G223" s="452"/>
      <c r="H223" s="452"/>
      <c r="I223" s="452"/>
      <c r="J223" s="452"/>
      <c r="K223" s="452"/>
      <c r="L223" s="452">
        <v>-201234</v>
      </c>
      <c r="M223" s="452">
        <v>325534</v>
      </c>
      <c r="N223" s="452">
        <f>51000+10000</f>
        <v>61000</v>
      </c>
      <c r="O223" s="452"/>
      <c r="P223" s="452"/>
      <c r="Q223" s="854"/>
    </row>
    <row r="224" spans="1:17" s="453" customFormat="1" ht="21.75" customHeight="1">
      <c r="A224" s="449"/>
      <c r="B224" s="450">
        <v>80121</v>
      </c>
      <c r="C224" s="451" t="s">
        <v>176</v>
      </c>
      <c r="D224" s="43">
        <f t="shared" si="28"/>
        <v>26000</v>
      </c>
      <c r="E224" s="452"/>
      <c r="F224" s="452"/>
      <c r="G224" s="452"/>
      <c r="H224" s="452"/>
      <c r="I224" s="452"/>
      <c r="J224" s="452"/>
      <c r="K224" s="452"/>
      <c r="L224" s="452">
        <v>-3779</v>
      </c>
      <c r="M224" s="452">
        <v>29779</v>
      </c>
      <c r="N224" s="452"/>
      <c r="O224" s="452"/>
      <c r="P224" s="452"/>
      <c r="Q224" s="854"/>
    </row>
    <row r="225" spans="1:17" s="453" customFormat="1" ht="21.75" customHeight="1">
      <c r="A225" s="449"/>
      <c r="B225" s="647">
        <v>80123</v>
      </c>
      <c r="C225" s="451" t="s">
        <v>177</v>
      </c>
      <c r="D225" s="442">
        <f t="shared" si="28"/>
        <v>43000</v>
      </c>
      <c r="E225" s="452"/>
      <c r="F225" s="452"/>
      <c r="G225" s="452"/>
      <c r="H225" s="452"/>
      <c r="I225" s="452"/>
      <c r="J225" s="452"/>
      <c r="K225" s="452"/>
      <c r="L225" s="452">
        <v>-431881</v>
      </c>
      <c r="M225" s="452">
        <v>444881</v>
      </c>
      <c r="N225" s="452">
        <v>30000</v>
      </c>
      <c r="O225" s="452"/>
      <c r="P225" s="452"/>
      <c r="Q225" s="854"/>
    </row>
    <row r="226" spans="1:17" s="453" customFormat="1" ht="21.75" customHeight="1">
      <c r="A226" s="449"/>
      <c r="B226" s="450">
        <v>80124</v>
      </c>
      <c r="C226" s="451" t="s">
        <v>178</v>
      </c>
      <c r="D226" s="43">
        <f t="shared" si="28"/>
        <v>0</v>
      </c>
      <c r="E226" s="452"/>
      <c r="F226" s="452"/>
      <c r="G226" s="452"/>
      <c r="H226" s="452"/>
      <c r="I226" s="452"/>
      <c r="J226" s="452"/>
      <c r="K226" s="452"/>
      <c r="L226" s="452">
        <v>-49303</v>
      </c>
      <c r="M226" s="452">
        <v>49303</v>
      </c>
      <c r="N226" s="452"/>
      <c r="O226" s="452"/>
      <c r="P226" s="452"/>
      <c r="Q226" s="854"/>
    </row>
    <row r="227" spans="1:17" s="130" customFormat="1" ht="21.75" customHeight="1">
      <c r="A227" s="42"/>
      <c r="B227" s="223">
        <v>80130</v>
      </c>
      <c r="C227" s="129" t="s">
        <v>600</v>
      </c>
      <c r="D227" s="43">
        <f t="shared" si="28"/>
        <v>152000</v>
      </c>
      <c r="E227" s="43"/>
      <c r="F227" s="43"/>
      <c r="G227" s="43"/>
      <c r="H227" s="43"/>
      <c r="I227" s="43"/>
      <c r="J227" s="43"/>
      <c r="K227" s="43"/>
      <c r="L227" s="43">
        <v>-2123050</v>
      </c>
      <c r="M227" s="43">
        <v>2123050</v>
      </c>
      <c r="N227" s="43">
        <v>152000</v>
      </c>
      <c r="O227" s="43"/>
      <c r="P227" s="43"/>
      <c r="Q227" s="854"/>
    </row>
    <row r="228" spans="1:17" s="130" customFormat="1" ht="21.75" customHeight="1">
      <c r="A228" s="42"/>
      <c r="B228" s="44">
        <v>80132</v>
      </c>
      <c r="C228" s="441" t="s">
        <v>179</v>
      </c>
      <c r="D228" s="43">
        <f t="shared" si="28"/>
        <v>0</v>
      </c>
      <c r="E228" s="442"/>
      <c r="F228" s="442"/>
      <c r="G228" s="442"/>
      <c r="H228" s="442"/>
      <c r="I228" s="442"/>
      <c r="J228" s="442"/>
      <c r="K228" s="442"/>
      <c r="L228" s="442">
        <v>-88568</v>
      </c>
      <c r="M228" s="442">
        <v>88568</v>
      </c>
      <c r="N228" s="442"/>
      <c r="O228" s="442"/>
      <c r="P228" s="442"/>
      <c r="Q228" s="854"/>
    </row>
    <row r="229" spans="1:17" s="130" customFormat="1" ht="21.75" customHeight="1">
      <c r="A229" s="42"/>
      <c r="B229" s="44">
        <v>80134</v>
      </c>
      <c r="C229" s="441" t="s">
        <v>180</v>
      </c>
      <c r="D229" s="43">
        <f t="shared" si="28"/>
        <v>17000</v>
      </c>
      <c r="E229" s="442"/>
      <c r="F229" s="442"/>
      <c r="G229" s="442"/>
      <c r="H229" s="442"/>
      <c r="I229" s="442"/>
      <c r="J229" s="442"/>
      <c r="K229" s="442"/>
      <c r="L229" s="442">
        <v>-35653</v>
      </c>
      <c r="M229" s="442">
        <v>52653</v>
      </c>
      <c r="N229" s="442"/>
      <c r="O229" s="442"/>
      <c r="P229" s="442"/>
      <c r="Q229" s="854"/>
    </row>
    <row r="230" spans="1:17" s="130" customFormat="1" ht="47.25" customHeight="1">
      <c r="A230" s="42"/>
      <c r="B230" s="44">
        <v>80140</v>
      </c>
      <c r="C230" s="441" t="s">
        <v>92</v>
      </c>
      <c r="D230" s="43">
        <f t="shared" si="28"/>
        <v>0</v>
      </c>
      <c r="E230" s="442"/>
      <c r="F230" s="442"/>
      <c r="G230" s="442"/>
      <c r="H230" s="442"/>
      <c r="I230" s="442"/>
      <c r="J230" s="442"/>
      <c r="K230" s="442"/>
      <c r="L230" s="442">
        <v>-487545</v>
      </c>
      <c r="M230" s="442">
        <v>487545</v>
      </c>
      <c r="N230" s="442"/>
      <c r="O230" s="442"/>
      <c r="P230" s="442"/>
      <c r="Q230" s="854"/>
    </row>
    <row r="231" spans="1:17" s="130" customFormat="1" ht="20.25" customHeight="1">
      <c r="A231" s="42"/>
      <c r="B231" s="44">
        <v>80146</v>
      </c>
      <c r="C231" s="441" t="s">
        <v>68</v>
      </c>
      <c r="D231" s="43">
        <f t="shared" si="28"/>
        <v>0</v>
      </c>
      <c r="E231" s="442"/>
      <c r="F231" s="442"/>
      <c r="G231" s="442"/>
      <c r="H231" s="442"/>
      <c r="I231" s="442"/>
      <c r="J231" s="442"/>
      <c r="K231" s="442"/>
      <c r="L231" s="442">
        <v>-342373</v>
      </c>
      <c r="M231" s="442">
        <v>342373</v>
      </c>
      <c r="N231" s="442"/>
      <c r="O231" s="442"/>
      <c r="P231" s="442"/>
      <c r="Q231" s="854"/>
    </row>
    <row r="232" spans="1:17" s="130" customFormat="1" ht="20.25" customHeight="1">
      <c r="A232" s="42"/>
      <c r="B232" s="44">
        <v>80195</v>
      </c>
      <c r="C232" s="441" t="s">
        <v>553</v>
      </c>
      <c r="D232" s="43">
        <f t="shared" si="28"/>
        <v>0</v>
      </c>
      <c r="E232" s="442"/>
      <c r="F232" s="442"/>
      <c r="G232" s="442"/>
      <c r="H232" s="442"/>
      <c r="I232" s="442"/>
      <c r="J232" s="442"/>
      <c r="K232" s="442"/>
      <c r="L232" s="442">
        <v>-101176</v>
      </c>
      <c r="M232" s="442">
        <v>101176</v>
      </c>
      <c r="N232" s="442"/>
      <c r="O232" s="442"/>
      <c r="P232" s="442"/>
      <c r="Q232" s="854"/>
    </row>
    <row r="233" spans="1:17" s="22" customFormat="1" ht="21.75" customHeight="1">
      <c r="A233" s="38">
        <v>851</v>
      </c>
      <c r="B233" s="39"/>
      <c r="C233" s="40" t="s">
        <v>557</v>
      </c>
      <c r="D233" s="41">
        <f t="shared" si="28"/>
        <v>-2200</v>
      </c>
      <c r="E233" s="41"/>
      <c r="F233" s="41"/>
      <c r="G233" s="41"/>
      <c r="H233" s="41"/>
      <c r="I233" s="41"/>
      <c r="J233" s="41"/>
      <c r="K233" s="41"/>
      <c r="L233" s="41">
        <f>SUM(L234:L236)</f>
        <v>-106350</v>
      </c>
      <c r="M233" s="41">
        <f>SUM(M234:M236)</f>
        <v>102150</v>
      </c>
      <c r="N233" s="41">
        <f>SUM(N234:N236)</f>
        <v>2000</v>
      </c>
      <c r="O233" s="41"/>
      <c r="P233" s="41"/>
      <c r="Q233" s="851"/>
    </row>
    <row r="234" spans="1:17" s="453" customFormat="1" ht="21.75" customHeight="1">
      <c r="A234" s="449"/>
      <c r="B234" s="450">
        <v>85149</v>
      </c>
      <c r="C234" s="451" t="s">
        <v>659</v>
      </c>
      <c r="D234" s="43">
        <f t="shared" si="28"/>
        <v>0</v>
      </c>
      <c r="E234" s="452"/>
      <c r="F234" s="452"/>
      <c r="G234" s="452"/>
      <c r="H234" s="452"/>
      <c r="I234" s="452"/>
      <c r="J234" s="452"/>
      <c r="K234" s="452"/>
      <c r="L234" s="452">
        <v>-2755</v>
      </c>
      <c r="M234" s="452">
        <v>2755</v>
      </c>
      <c r="N234" s="452"/>
      <c r="O234" s="452"/>
      <c r="P234" s="452"/>
      <c r="Q234" s="854"/>
    </row>
    <row r="235" spans="1:17" s="130" customFormat="1" ht="21.75" customHeight="1">
      <c r="A235" s="42"/>
      <c r="B235" s="223">
        <v>85154</v>
      </c>
      <c r="C235" s="129" t="s">
        <v>580</v>
      </c>
      <c r="D235" s="43">
        <f t="shared" si="28"/>
        <v>-2200</v>
      </c>
      <c r="E235" s="43"/>
      <c r="F235" s="43"/>
      <c r="G235" s="43"/>
      <c r="H235" s="43"/>
      <c r="I235" s="43"/>
      <c r="J235" s="43"/>
      <c r="K235" s="43"/>
      <c r="L235" s="43">
        <v>-62891</v>
      </c>
      <c r="M235" s="43">
        <f>-4200+62891</f>
        <v>58691</v>
      </c>
      <c r="N235" s="43">
        <v>2000</v>
      </c>
      <c r="O235" s="43"/>
      <c r="P235" s="43"/>
      <c r="Q235" s="854"/>
    </row>
    <row r="236" spans="1:17" s="130" customFormat="1" ht="21.75" customHeight="1">
      <c r="A236" s="42"/>
      <c r="B236" s="44">
        <v>85195</v>
      </c>
      <c r="C236" s="441" t="s">
        <v>553</v>
      </c>
      <c r="D236" s="43">
        <f t="shared" si="28"/>
        <v>0</v>
      </c>
      <c r="E236" s="442"/>
      <c r="F236" s="442"/>
      <c r="G236" s="442"/>
      <c r="H236" s="442"/>
      <c r="I236" s="442"/>
      <c r="J236" s="442"/>
      <c r="K236" s="442"/>
      <c r="L236" s="442">
        <v>-40704</v>
      </c>
      <c r="M236" s="442">
        <v>40704</v>
      </c>
      <c r="N236" s="442"/>
      <c r="O236" s="442"/>
      <c r="P236" s="442"/>
      <c r="Q236" s="854"/>
    </row>
    <row r="237" spans="1:17" s="22" customFormat="1" ht="21.75" customHeight="1">
      <c r="A237" s="38">
        <v>854</v>
      </c>
      <c r="B237" s="39"/>
      <c r="C237" s="40" t="s">
        <v>556</v>
      </c>
      <c r="D237" s="41">
        <f t="shared" si="28"/>
        <v>154941</v>
      </c>
      <c r="E237" s="41"/>
      <c r="F237" s="41"/>
      <c r="G237" s="41"/>
      <c r="H237" s="41"/>
      <c r="I237" s="41"/>
      <c r="J237" s="41"/>
      <c r="K237" s="41"/>
      <c r="L237" s="41">
        <f>SUM(L238:L247)</f>
        <v>-2199229</v>
      </c>
      <c r="M237" s="41">
        <f>SUM(M238:M247)</f>
        <v>2346240</v>
      </c>
      <c r="N237" s="41">
        <f>SUM(N238:N247)</f>
        <v>55770</v>
      </c>
      <c r="O237" s="41">
        <f>SUM(O238:O247)</f>
        <v>24080</v>
      </c>
      <c r="P237" s="41">
        <f>SUM(P238:P247)</f>
        <v>-71920</v>
      </c>
      <c r="Q237" s="851"/>
    </row>
    <row r="238" spans="1:17" s="130" customFormat="1" ht="21.75" customHeight="1">
      <c r="A238" s="222"/>
      <c r="B238" s="223">
        <v>85401</v>
      </c>
      <c r="C238" s="129" t="s">
        <v>182</v>
      </c>
      <c r="D238" s="43">
        <f t="shared" si="28"/>
        <v>2000</v>
      </c>
      <c r="E238" s="43"/>
      <c r="F238" s="43"/>
      <c r="G238" s="43"/>
      <c r="H238" s="43"/>
      <c r="I238" s="43"/>
      <c r="J238" s="43"/>
      <c r="K238" s="43"/>
      <c r="L238" s="43">
        <v>-261460</v>
      </c>
      <c r="M238" s="43">
        <v>263460</v>
      </c>
      <c r="N238" s="43"/>
      <c r="O238" s="43"/>
      <c r="P238" s="43"/>
      <c r="Q238" s="854"/>
    </row>
    <row r="239" spans="1:17" s="130" customFormat="1" ht="21.75" customHeight="1">
      <c r="A239" s="42"/>
      <c r="B239" s="223">
        <v>85403</v>
      </c>
      <c r="C239" s="129" t="s">
        <v>183</v>
      </c>
      <c r="D239" s="43">
        <f t="shared" si="28"/>
        <v>31130</v>
      </c>
      <c r="E239" s="43"/>
      <c r="F239" s="43"/>
      <c r="G239" s="43"/>
      <c r="H239" s="43"/>
      <c r="I239" s="43"/>
      <c r="J239" s="43"/>
      <c r="K239" s="43"/>
      <c r="L239" s="43">
        <v>-1171040</v>
      </c>
      <c r="M239" s="43">
        <v>1237040</v>
      </c>
      <c r="N239" s="43">
        <v>31130</v>
      </c>
      <c r="O239" s="43"/>
      <c r="P239" s="43">
        <v>-66000</v>
      </c>
      <c r="Q239" s="854"/>
    </row>
    <row r="240" spans="1:17" s="130" customFormat="1" ht="34.5" customHeight="1">
      <c r="A240" s="42"/>
      <c r="B240" s="223">
        <v>85406</v>
      </c>
      <c r="C240" s="129" t="s">
        <v>184</v>
      </c>
      <c r="D240" s="43">
        <f t="shared" si="28"/>
        <v>4000</v>
      </c>
      <c r="E240" s="43"/>
      <c r="F240" s="43"/>
      <c r="G240" s="43"/>
      <c r="H240" s="43"/>
      <c r="I240" s="43"/>
      <c r="J240" s="43"/>
      <c r="K240" s="43"/>
      <c r="L240" s="43">
        <v>-228983</v>
      </c>
      <c r="M240" s="43">
        <v>262983</v>
      </c>
      <c r="N240" s="43"/>
      <c r="O240" s="43"/>
      <c r="P240" s="43">
        <v>-30000</v>
      </c>
      <c r="Q240" s="854"/>
    </row>
    <row r="241" spans="1:17" s="130" customFormat="1" ht="21.75" customHeight="1">
      <c r="A241" s="42"/>
      <c r="B241" s="223">
        <v>85407</v>
      </c>
      <c r="C241" s="129" t="s">
        <v>63</v>
      </c>
      <c r="D241" s="43">
        <f t="shared" si="28"/>
        <v>0</v>
      </c>
      <c r="E241" s="43"/>
      <c r="F241" s="43"/>
      <c r="G241" s="43"/>
      <c r="H241" s="43"/>
      <c r="I241" s="43"/>
      <c r="J241" s="43"/>
      <c r="K241" s="43"/>
      <c r="L241" s="43">
        <v>-80711</v>
      </c>
      <c r="M241" s="43">
        <v>80711</v>
      </c>
      <c r="N241" s="43"/>
      <c r="O241" s="43"/>
      <c r="P241" s="43"/>
      <c r="Q241" s="854"/>
    </row>
    <row r="242" spans="1:17" s="130" customFormat="1" ht="21.75" customHeight="1">
      <c r="A242" s="42"/>
      <c r="B242" s="223">
        <v>85410</v>
      </c>
      <c r="C242" s="129" t="s">
        <v>91</v>
      </c>
      <c r="D242" s="43">
        <f t="shared" si="28"/>
        <v>12000</v>
      </c>
      <c r="E242" s="43"/>
      <c r="F242" s="43"/>
      <c r="G242" s="43"/>
      <c r="H242" s="43"/>
      <c r="I242" s="43"/>
      <c r="J242" s="43"/>
      <c r="K242" s="43"/>
      <c r="L242" s="43">
        <v>-111750</v>
      </c>
      <c r="M242" s="43">
        <v>123750</v>
      </c>
      <c r="N242" s="43"/>
      <c r="O242" s="43"/>
      <c r="P242" s="43"/>
      <c r="Q242" s="854"/>
    </row>
    <row r="243" spans="1:17" s="130" customFormat="1" ht="21.75" customHeight="1">
      <c r="A243" s="42"/>
      <c r="B243" s="223">
        <v>85415</v>
      </c>
      <c r="C243" s="129" t="s">
        <v>59</v>
      </c>
      <c r="D243" s="43">
        <f t="shared" si="28"/>
        <v>96880</v>
      </c>
      <c r="E243" s="43"/>
      <c r="F243" s="43"/>
      <c r="G243" s="43"/>
      <c r="H243" s="43"/>
      <c r="I243" s="43"/>
      <c r="J243" s="43"/>
      <c r="K243" s="43"/>
      <c r="L243" s="43">
        <v>-152847</v>
      </c>
      <c r="M243" s="43">
        <v>176927</v>
      </c>
      <c r="N243" s="43">
        <v>24640</v>
      </c>
      <c r="O243" s="43">
        <v>24080</v>
      </c>
      <c r="P243" s="43">
        <v>24080</v>
      </c>
      <c r="Q243" s="854"/>
    </row>
    <row r="244" spans="1:17" s="130" customFormat="1" ht="21.75" customHeight="1">
      <c r="A244" s="42"/>
      <c r="B244" s="223">
        <v>85417</v>
      </c>
      <c r="C244" s="129" t="s">
        <v>185</v>
      </c>
      <c r="D244" s="43">
        <f t="shared" si="28"/>
        <v>3531</v>
      </c>
      <c r="E244" s="43"/>
      <c r="F244" s="43"/>
      <c r="G244" s="43"/>
      <c r="H244" s="43"/>
      <c r="I244" s="43"/>
      <c r="J244" s="43"/>
      <c r="K244" s="43"/>
      <c r="L244" s="43">
        <v>-11919</v>
      </c>
      <c r="M244" s="43">
        <v>15450</v>
      </c>
      <c r="N244" s="43"/>
      <c r="O244" s="43"/>
      <c r="P244" s="43"/>
      <c r="Q244" s="854"/>
    </row>
    <row r="245" spans="1:17" s="130" customFormat="1" ht="21.75" customHeight="1">
      <c r="A245" s="42"/>
      <c r="B245" s="44">
        <v>85421</v>
      </c>
      <c r="C245" s="441" t="s">
        <v>186</v>
      </c>
      <c r="D245" s="442">
        <f t="shared" si="28"/>
        <v>0</v>
      </c>
      <c r="E245" s="442"/>
      <c r="F245" s="442"/>
      <c r="G245" s="442"/>
      <c r="H245" s="442"/>
      <c r="I245" s="442"/>
      <c r="J245" s="442"/>
      <c r="K245" s="442"/>
      <c r="L245" s="442">
        <v>-2529</v>
      </c>
      <c r="M245" s="442">
        <v>2529</v>
      </c>
      <c r="N245" s="442"/>
      <c r="O245" s="442"/>
      <c r="P245" s="442"/>
      <c r="Q245" s="854"/>
    </row>
    <row r="246" spans="1:17" s="130" customFormat="1" ht="21.75" customHeight="1">
      <c r="A246" s="42"/>
      <c r="B246" s="223">
        <v>85446</v>
      </c>
      <c r="C246" s="129" t="s">
        <v>68</v>
      </c>
      <c r="D246" s="43">
        <f t="shared" si="28"/>
        <v>0</v>
      </c>
      <c r="E246" s="43"/>
      <c r="F246" s="43"/>
      <c r="G246" s="43"/>
      <c r="H246" s="43"/>
      <c r="I246" s="43"/>
      <c r="J246" s="43"/>
      <c r="K246" s="43"/>
      <c r="L246" s="43">
        <v>-37692</v>
      </c>
      <c r="M246" s="43">
        <v>37692</v>
      </c>
      <c r="N246" s="43"/>
      <c r="O246" s="43"/>
      <c r="P246" s="43"/>
      <c r="Q246" s="854"/>
    </row>
    <row r="247" spans="1:17" s="130" customFormat="1" ht="21.75" customHeight="1">
      <c r="A247" s="44"/>
      <c r="B247" s="44">
        <v>85495</v>
      </c>
      <c r="C247" s="441" t="s">
        <v>553</v>
      </c>
      <c r="D247" s="43">
        <f aca="true" t="shared" si="36" ref="D247:D255">SUM(E247:P247)</f>
        <v>5400</v>
      </c>
      <c r="E247" s="442"/>
      <c r="F247" s="442"/>
      <c r="G247" s="442"/>
      <c r="H247" s="442"/>
      <c r="I247" s="442"/>
      <c r="J247" s="442"/>
      <c r="K247" s="442"/>
      <c r="L247" s="442">
        <v>-140298</v>
      </c>
      <c r="M247" s="442">
        <v>145698</v>
      </c>
      <c r="N247" s="442"/>
      <c r="O247" s="442"/>
      <c r="P247" s="442"/>
      <c r="Q247" s="854"/>
    </row>
    <row r="248" spans="1:17" s="22" customFormat="1" ht="21.75" customHeight="1">
      <c r="A248" s="38">
        <v>926</v>
      </c>
      <c r="B248" s="39"/>
      <c r="C248" s="40" t="s">
        <v>128</v>
      </c>
      <c r="D248" s="41">
        <f t="shared" si="36"/>
        <v>351920</v>
      </c>
      <c r="E248" s="41"/>
      <c r="F248" s="41"/>
      <c r="G248" s="41"/>
      <c r="H248" s="41"/>
      <c r="I248" s="41"/>
      <c r="J248" s="41"/>
      <c r="K248" s="41"/>
      <c r="L248" s="41">
        <f>L249</f>
        <v>-7627</v>
      </c>
      <c r="M248" s="41">
        <f>M249</f>
        <v>7627</v>
      </c>
      <c r="N248" s="41"/>
      <c r="O248" s="41"/>
      <c r="P248" s="41">
        <f>P249</f>
        <v>351920</v>
      </c>
      <c r="Q248" s="851"/>
    </row>
    <row r="249" spans="1:17" s="130" customFormat="1" ht="21.75" customHeight="1">
      <c r="A249" s="222"/>
      <c r="B249" s="223">
        <v>92605</v>
      </c>
      <c r="C249" s="129" t="s">
        <v>181</v>
      </c>
      <c r="D249" s="43">
        <f t="shared" si="36"/>
        <v>351920</v>
      </c>
      <c r="E249" s="43"/>
      <c r="F249" s="43"/>
      <c r="G249" s="43"/>
      <c r="H249" s="43"/>
      <c r="I249" s="43"/>
      <c r="J249" s="43"/>
      <c r="K249" s="43"/>
      <c r="L249" s="43">
        <v>-7627</v>
      </c>
      <c r="M249" s="43">
        <v>7627</v>
      </c>
      <c r="N249" s="43"/>
      <c r="O249" s="43"/>
      <c r="P249" s="43">
        <v>351920</v>
      </c>
      <c r="Q249" s="854"/>
    </row>
    <row r="250" spans="1:17" s="45" customFormat="1" ht="38.25" customHeight="1" thickBot="1">
      <c r="A250" s="200"/>
      <c r="B250" s="201"/>
      <c r="C250" s="1156" t="s">
        <v>584</v>
      </c>
      <c r="D250" s="203">
        <f>SUM(E250:P250)</f>
        <v>0</v>
      </c>
      <c r="E250" s="203"/>
      <c r="F250" s="203"/>
      <c r="G250" s="203"/>
      <c r="H250" s="203"/>
      <c r="I250" s="203"/>
      <c r="J250" s="203"/>
      <c r="K250" s="203"/>
      <c r="L250" s="203">
        <f>L251</f>
        <v>-4500</v>
      </c>
      <c r="M250" s="203">
        <f>M251</f>
        <v>4500</v>
      </c>
      <c r="N250" s="203"/>
      <c r="O250" s="203"/>
      <c r="P250" s="203"/>
      <c r="Q250" s="859"/>
    </row>
    <row r="251" spans="1:17" s="22" customFormat="1" ht="21.75" customHeight="1" thickTop="1">
      <c r="A251" s="41">
        <v>854</v>
      </c>
      <c r="B251" s="38"/>
      <c r="C251" s="1096" t="s">
        <v>556</v>
      </c>
      <c r="D251" s="41">
        <f>SUM(E251:P251)</f>
        <v>0</v>
      </c>
      <c r="E251" s="41"/>
      <c r="F251" s="41"/>
      <c r="G251" s="41"/>
      <c r="H251" s="41"/>
      <c r="I251" s="41"/>
      <c r="J251" s="41"/>
      <c r="K251" s="41"/>
      <c r="L251" s="41">
        <f>L252</f>
        <v>-4500</v>
      </c>
      <c r="M251" s="41">
        <f>M252</f>
        <v>4500</v>
      </c>
      <c r="N251" s="41"/>
      <c r="O251" s="41"/>
      <c r="P251" s="41"/>
      <c r="Q251" s="851"/>
    </row>
    <row r="252" spans="1:17" s="453" customFormat="1" ht="21.75" customHeight="1">
      <c r="A252" s="449"/>
      <c r="B252" s="450">
        <v>85401</v>
      </c>
      <c r="C252" s="487" t="s">
        <v>182</v>
      </c>
      <c r="D252" s="43">
        <f>SUM(E252:P252)</f>
        <v>0</v>
      </c>
      <c r="E252" s="452"/>
      <c r="F252" s="452"/>
      <c r="G252" s="452"/>
      <c r="H252" s="452"/>
      <c r="I252" s="452"/>
      <c r="J252" s="442"/>
      <c r="K252" s="452"/>
      <c r="L252" s="452">
        <v>-4500</v>
      </c>
      <c r="M252" s="452">
        <v>4500</v>
      </c>
      <c r="N252" s="452"/>
      <c r="O252" s="452"/>
      <c r="P252" s="452"/>
      <c r="Q252" s="854"/>
    </row>
    <row r="253" spans="1:17" s="45" customFormat="1" ht="49.5" customHeight="1" thickBot="1">
      <c r="A253" s="200"/>
      <c r="B253" s="201"/>
      <c r="C253" s="674" t="s">
        <v>585</v>
      </c>
      <c r="D253" s="203">
        <f t="shared" si="36"/>
        <v>0</v>
      </c>
      <c r="E253" s="203"/>
      <c r="F253" s="203"/>
      <c r="G253" s="203"/>
      <c r="H253" s="203"/>
      <c r="I253" s="203"/>
      <c r="J253" s="203"/>
      <c r="K253" s="203"/>
      <c r="L253" s="203">
        <f>L254</f>
        <v>-274</v>
      </c>
      <c r="M253" s="203">
        <f>M254</f>
        <v>274</v>
      </c>
      <c r="N253" s="203"/>
      <c r="O253" s="203"/>
      <c r="P253" s="203"/>
      <c r="Q253" s="859"/>
    </row>
    <row r="254" spans="1:17" s="22" customFormat="1" ht="21.75" customHeight="1" thickTop="1">
      <c r="A254" s="41">
        <v>851</v>
      </c>
      <c r="B254" s="38"/>
      <c r="C254" s="434" t="s">
        <v>557</v>
      </c>
      <c r="D254" s="41">
        <f t="shared" si="36"/>
        <v>0</v>
      </c>
      <c r="E254" s="41"/>
      <c r="F254" s="41"/>
      <c r="G254" s="41"/>
      <c r="H254" s="41"/>
      <c r="I254" s="41"/>
      <c r="J254" s="41"/>
      <c r="K254" s="41"/>
      <c r="L254" s="41">
        <f>L255</f>
        <v>-274</v>
      </c>
      <c r="M254" s="41">
        <f>M255</f>
        <v>274</v>
      </c>
      <c r="N254" s="41"/>
      <c r="O254" s="41"/>
      <c r="P254" s="41"/>
      <c r="Q254" s="851"/>
    </row>
    <row r="255" spans="1:17" s="453" customFormat="1" ht="47.25" customHeight="1">
      <c r="A255" s="454"/>
      <c r="B255" s="450">
        <v>85156</v>
      </c>
      <c r="C255" s="129" t="s">
        <v>187</v>
      </c>
      <c r="D255" s="43">
        <f t="shared" si="36"/>
        <v>0</v>
      </c>
      <c r="E255" s="454"/>
      <c r="F255" s="454"/>
      <c r="G255" s="452"/>
      <c r="H255" s="452"/>
      <c r="I255" s="452"/>
      <c r="J255" s="452"/>
      <c r="K255" s="452"/>
      <c r="L255" s="452">
        <v>-274</v>
      </c>
      <c r="M255" s="452">
        <v>274</v>
      </c>
      <c r="N255" s="452"/>
      <c r="O255" s="452"/>
      <c r="P255" s="452"/>
      <c r="Q255" s="854"/>
    </row>
    <row r="256" spans="3:16" ht="19.5" customHeight="1">
      <c r="C256" s="46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</row>
    <row r="257" spans="3:16" ht="16.5" customHeight="1">
      <c r="C257" s="46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</row>
    <row r="258" spans="3:16" ht="16.5" customHeight="1">
      <c r="C258" s="46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</row>
    <row r="259" spans="3:16" ht="24" customHeight="1">
      <c r="C259" s="46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</row>
    <row r="260" spans="3:16" ht="35.25" customHeight="1">
      <c r="C260" s="1475" t="s">
        <v>117</v>
      </c>
      <c r="D260" s="1478" t="s">
        <v>118</v>
      </c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</row>
    <row r="261" spans="3:16" ht="23.25" customHeight="1">
      <c r="C261" s="1475" t="s">
        <v>119</v>
      </c>
      <c r="D261" s="1477" t="s">
        <v>120</v>
      </c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</row>
    <row r="262" spans="3:16" ht="21" customHeight="1">
      <c r="C262" s="1476"/>
      <c r="D262" s="1477" t="s">
        <v>121</v>
      </c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</row>
    <row r="263" spans="3:16" ht="30" customHeight="1">
      <c r="C263" s="46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</row>
    <row r="264" spans="3:16" ht="30" customHeight="1">
      <c r="C264" s="46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</row>
    <row r="265" spans="3:16" ht="30" customHeight="1">
      <c r="C265" s="46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</row>
    <row r="266" spans="3:16" ht="30" customHeight="1">
      <c r="C266" s="46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</row>
    <row r="267" spans="3:16" ht="30" customHeight="1">
      <c r="C267" s="46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</row>
    <row r="268" spans="3:16" ht="30" customHeight="1">
      <c r="C268" s="46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</row>
    <row r="269" spans="3:16" ht="30" customHeight="1">
      <c r="C269" s="46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</row>
    <row r="270" spans="3:16" ht="30" customHeight="1">
      <c r="C270" s="46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</row>
    <row r="271" spans="3:16" ht="30" customHeight="1">
      <c r="C271" s="46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</row>
    <row r="272" spans="3:16" ht="30" customHeight="1">
      <c r="C272" s="46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</row>
    <row r="273" spans="3:16" ht="30" customHeight="1">
      <c r="C273" s="46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</row>
    <row r="274" spans="3:16" ht="30" customHeight="1">
      <c r="C274" s="46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</row>
    <row r="275" spans="3:16" ht="30" customHeight="1">
      <c r="C275" s="46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</row>
    <row r="276" spans="3:16" ht="30" customHeight="1">
      <c r="C276" s="46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</row>
    <row r="277" spans="3:16" ht="30" customHeight="1">
      <c r="C277" s="46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</row>
    <row r="278" spans="3:16" ht="48.75" customHeight="1">
      <c r="C278" s="46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</row>
    <row r="279" spans="3:16" ht="48.75" customHeight="1">
      <c r="C279" s="46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</row>
    <row r="280" spans="3:16" ht="48.75" customHeight="1">
      <c r="C280" s="46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</row>
    <row r="281" spans="3:16" ht="30" customHeight="1">
      <c r="C281" s="46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</row>
    <row r="282" spans="3:16" ht="30" customHeight="1">
      <c r="C282" s="46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</row>
    <row r="283" spans="3:16" ht="30" customHeight="1">
      <c r="C283" s="46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</row>
    <row r="284" spans="3:16" ht="30" customHeight="1">
      <c r="C284" s="46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</row>
    <row r="285" spans="3:16" ht="30" customHeight="1">
      <c r="C285" s="46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</row>
    <row r="286" spans="3:16" ht="30" customHeight="1">
      <c r="C286" s="46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</row>
    <row r="287" ht="30" customHeight="1">
      <c r="C287" s="46"/>
    </row>
    <row r="288" ht="30" customHeight="1">
      <c r="C288" s="46"/>
    </row>
    <row r="289" ht="30" customHeight="1">
      <c r="C289" s="46"/>
    </row>
    <row r="290" ht="30" customHeight="1">
      <c r="C290" s="46"/>
    </row>
    <row r="291" ht="30" customHeight="1">
      <c r="C291" s="46"/>
    </row>
    <row r="292" ht="30" customHeight="1">
      <c r="C292" s="46"/>
    </row>
    <row r="293" ht="30" customHeight="1">
      <c r="C293" s="46"/>
    </row>
    <row r="294" ht="30" customHeight="1">
      <c r="C294" s="46"/>
    </row>
    <row r="295" ht="30" customHeight="1">
      <c r="C295" s="46"/>
    </row>
    <row r="296" ht="30" customHeight="1">
      <c r="C296" s="46"/>
    </row>
    <row r="297" ht="106.5" customHeight="1">
      <c r="C297" s="46"/>
    </row>
    <row r="298" ht="77.25" customHeight="1">
      <c r="C298" s="46"/>
    </row>
    <row r="299" ht="30" customHeight="1">
      <c r="C299" s="46"/>
    </row>
    <row r="300" ht="28.5" customHeight="1">
      <c r="C300" s="46"/>
    </row>
    <row r="301" ht="30" customHeight="1">
      <c r="C301" s="46"/>
    </row>
    <row r="302" ht="21.75" customHeight="1">
      <c r="C302" s="46"/>
    </row>
    <row r="303" ht="30" customHeight="1">
      <c r="C303" s="46"/>
    </row>
    <row r="304" ht="30" customHeight="1">
      <c r="C304" s="46"/>
    </row>
    <row r="305" ht="27.75" customHeight="1">
      <c r="C305" s="46"/>
    </row>
    <row r="306" ht="33" customHeight="1">
      <c r="C306" s="46"/>
    </row>
    <row r="307" ht="32.25" customHeight="1">
      <c r="C307" s="46"/>
    </row>
    <row r="308" ht="21" customHeight="1">
      <c r="C308" s="46"/>
    </row>
    <row r="309" ht="30" customHeight="1">
      <c r="C309" s="46"/>
    </row>
    <row r="310" ht="24" customHeight="1">
      <c r="C310" s="46"/>
    </row>
    <row r="311" ht="24.75" customHeight="1">
      <c r="C311" s="46"/>
    </row>
    <row r="312" ht="24.75" customHeight="1">
      <c r="C312" s="46"/>
    </row>
    <row r="313" ht="26.25" customHeight="1">
      <c r="C313" s="46"/>
    </row>
    <row r="314" ht="24" customHeight="1">
      <c r="C314" s="46"/>
    </row>
    <row r="315" ht="24" customHeight="1">
      <c r="C315" s="46"/>
    </row>
    <row r="316" ht="24.75" customHeight="1">
      <c r="C316" s="46"/>
    </row>
    <row r="317" ht="33.75" customHeight="1">
      <c r="C317" s="46"/>
    </row>
    <row r="318" ht="33.75" customHeight="1">
      <c r="C318" s="46"/>
    </row>
    <row r="319" ht="39.75" customHeight="1">
      <c r="C319" s="46"/>
    </row>
    <row r="320" spans="1:17" s="48" customFormat="1" ht="21.75" customHeight="1">
      <c r="A320" s="1"/>
      <c r="B320" s="1"/>
      <c r="C320" s="46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859"/>
    </row>
    <row r="321" ht="24.75" customHeight="1">
      <c r="C321" s="46"/>
    </row>
    <row r="322" ht="49.5" customHeight="1">
      <c r="C322" s="46"/>
    </row>
    <row r="323" ht="30.75" customHeight="1">
      <c r="C323" s="46"/>
    </row>
    <row r="324" ht="27.75" customHeight="1">
      <c r="C324" s="46"/>
    </row>
    <row r="325" ht="18">
      <c r="C325" s="46"/>
    </row>
    <row r="326" ht="18">
      <c r="C326" s="46"/>
    </row>
    <row r="327" ht="18">
      <c r="C327" s="46"/>
    </row>
    <row r="328" ht="18">
      <c r="C328" s="46"/>
    </row>
    <row r="329" ht="18">
      <c r="C329" s="46"/>
    </row>
    <row r="330" ht="18">
      <c r="C330" s="46"/>
    </row>
    <row r="331" ht="18">
      <c r="C331" s="46"/>
    </row>
    <row r="332" ht="18">
      <c r="C332" s="46"/>
    </row>
    <row r="333" ht="18">
      <c r="C333" s="46"/>
    </row>
    <row r="334" ht="18">
      <c r="C334" s="46"/>
    </row>
    <row r="335" ht="18">
      <c r="C335" s="46"/>
    </row>
    <row r="336" ht="18">
      <c r="C336" s="46"/>
    </row>
    <row r="337" ht="18">
      <c r="C337" s="46"/>
    </row>
    <row r="338" ht="18">
      <c r="C338" s="46"/>
    </row>
    <row r="339" ht="18">
      <c r="C339" s="46"/>
    </row>
    <row r="340" ht="18">
      <c r="C340" s="46"/>
    </row>
    <row r="341" ht="18">
      <c r="C341" s="46"/>
    </row>
    <row r="342" ht="18">
      <c r="C342" s="46"/>
    </row>
    <row r="343" ht="18">
      <c r="C343" s="46"/>
    </row>
    <row r="344" ht="18">
      <c r="C344" s="46"/>
    </row>
    <row r="345" ht="18">
      <c r="C345" s="46"/>
    </row>
    <row r="346" ht="18">
      <c r="C346" s="46"/>
    </row>
    <row r="347" ht="18">
      <c r="C347" s="46"/>
    </row>
    <row r="348" ht="18">
      <c r="C348" s="46"/>
    </row>
    <row r="349" ht="18">
      <c r="C349" s="46"/>
    </row>
    <row r="350" ht="18">
      <c r="C350" s="46"/>
    </row>
    <row r="351" ht="18">
      <c r="C351" s="46"/>
    </row>
    <row r="352" ht="18">
      <c r="C352" s="46"/>
    </row>
    <row r="353" ht="18">
      <c r="C353" s="46"/>
    </row>
    <row r="354" ht="18">
      <c r="C354" s="46"/>
    </row>
    <row r="355" ht="18">
      <c r="C355" s="46"/>
    </row>
    <row r="356" ht="18">
      <c r="C356" s="46"/>
    </row>
    <row r="357" ht="18">
      <c r="C357" s="46"/>
    </row>
    <row r="358" ht="18">
      <c r="C358" s="46"/>
    </row>
    <row r="359" ht="18">
      <c r="C359" s="46"/>
    </row>
    <row r="360" ht="18">
      <c r="C360" s="46"/>
    </row>
    <row r="361" ht="18">
      <c r="C361" s="46"/>
    </row>
    <row r="362" ht="18">
      <c r="C362" s="46"/>
    </row>
    <row r="363" ht="18">
      <c r="C363" s="46"/>
    </row>
    <row r="364" ht="18">
      <c r="C364" s="46"/>
    </row>
    <row r="365" ht="18">
      <c r="C365" s="46"/>
    </row>
    <row r="366" ht="18">
      <c r="C366" s="46"/>
    </row>
    <row r="367" ht="18">
      <c r="C367" s="46"/>
    </row>
    <row r="368" ht="18">
      <c r="C368" s="46"/>
    </row>
    <row r="369" ht="18">
      <c r="C369" s="46"/>
    </row>
    <row r="370" ht="18">
      <c r="C370" s="46"/>
    </row>
    <row r="371" ht="18">
      <c r="C371" s="46"/>
    </row>
    <row r="372" ht="18">
      <c r="C372" s="46"/>
    </row>
    <row r="373" ht="18">
      <c r="C373" s="46"/>
    </row>
    <row r="374" ht="18">
      <c r="C374" s="46"/>
    </row>
    <row r="375" ht="18">
      <c r="C375" s="46"/>
    </row>
    <row r="376" ht="18">
      <c r="C376" s="46"/>
    </row>
    <row r="377" ht="18">
      <c r="C377" s="46"/>
    </row>
    <row r="378" ht="18">
      <c r="C378" s="46"/>
    </row>
    <row r="379" ht="18">
      <c r="C379" s="46"/>
    </row>
    <row r="380" ht="18">
      <c r="C380" s="46"/>
    </row>
    <row r="381" ht="18">
      <c r="C381" s="46"/>
    </row>
    <row r="382" ht="18">
      <c r="C382" s="46"/>
    </row>
    <row r="383" ht="18">
      <c r="C383" s="46"/>
    </row>
    <row r="384" ht="18">
      <c r="C384" s="46"/>
    </row>
    <row r="385" ht="18">
      <c r="C385" s="46"/>
    </row>
    <row r="386" ht="18">
      <c r="C386" s="46"/>
    </row>
    <row r="387" ht="18">
      <c r="C387" s="46"/>
    </row>
    <row r="388" ht="18">
      <c r="C388" s="46"/>
    </row>
    <row r="389" ht="18">
      <c r="C389" s="46"/>
    </row>
    <row r="390" ht="18">
      <c r="C390" s="46"/>
    </row>
    <row r="391" ht="18">
      <c r="C391" s="46"/>
    </row>
    <row r="392" ht="18">
      <c r="C392" s="46"/>
    </row>
    <row r="393" ht="18">
      <c r="C393" s="46"/>
    </row>
    <row r="394" ht="18">
      <c r="C394" s="46"/>
    </row>
    <row r="395" ht="18">
      <c r="C395" s="46"/>
    </row>
    <row r="396" ht="18">
      <c r="C396" s="46"/>
    </row>
    <row r="397" ht="18">
      <c r="C397" s="46"/>
    </row>
    <row r="398" ht="18">
      <c r="C398" s="46"/>
    </row>
    <row r="399" ht="18">
      <c r="C399" s="46"/>
    </row>
    <row r="400" ht="18">
      <c r="C400" s="46"/>
    </row>
    <row r="401" ht="18">
      <c r="C401" s="46"/>
    </row>
    <row r="402" ht="18">
      <c r="C402" s="46"/>
    </row>
    <row r="403" ht="18">
      <c r="C403" s="46"/>
    </row>
    <row r="404" ht="18">
      <c r="C404" s="46"/>
    </row>
    <row r="405" ht="18">
      <c r="C405" s="46"/>
    </row>
    <row r="406" ht="18">
      <c r="C406" s="46"/>
    </row>
    <row r="407" ht="18">
      <c r="C407" s="46"/>
    </row>
    <row r="408" ht="18">
      <c r="C408" s="46"/>
    </row>
    <row r="409" ht="18">
      <c r="C409" s="46"/>
    </row>
    <row r="410" ht="18">
      <c r="C410" s="46"/>
    </row>
    <row r="411" ht="18">
      <c r="C411" s="46"/>
    </row>
    <row r="412" ht="18">
      <c r="C412" s="46"/>
    </row>
    <row r="413" ht="18">
      <c r="C413" s="46"/>
    </row>
    <row r="414" ht="18">
      <c r="C414" s="46"/>
    </row>
    <row r="415" ht="18">
      <c r="C415" s="46"/>
    </row>
    <row r="416" ht="18">
      <c r="C416" s="46"/>
    </row>
    <row r="417" ht="18">
      <c r="C417" s="46"/>
    </row>
    <row r="418" ht="18">
      <c r="C418" s="46"/>
    </row>
    <row r="419" ht="18">
      <c r="C419" s="46"/>
    </row>
    <row r="420" ht="18">
      <c r="C420" s="46"/>
    </row>
    <row r="421" ht="18">
      <c r="C421" s="46"/>
    </row>
    <row r="422" ht="18">
      <c r="C422" s="46"/>
    </row>
    <row r="423" ht="18">
      <c r="C423" s="46"/>
    </row>
    <row r="424" ht="18">
      <c r="C424" s="46"/>
    </row>
    <row r="425" ht="18">
      <c r="C425" s="46"/>
    </row>
    <row r="426" ht="18">
      <c r="C426" s="46"/>
    </row>
    <row r="427" ht="18">
      <c r="C427" s="46"/>
    </row>
    <row r="428" ht="18">
      <c r="C428" s="46"/>
    </row>
    <row r="429" ht="18">
      <c r="C429" s="46"/>
    </row>
    <row r="430" ht="18">
      <c r="C430" s="46"/>
    </row>
    <row r="431" ht="18">
      <c r="C431" s="46"/>
    </row>
    <row r="432" ht="18">
      <c r="C432" s="46"/>
    </row>
    <row r="433" ht="18">
      <c r="C433" s="46"/>
    </row>
    <row r="434" ht="18">
      <c r="C434" s="46"/>
    </row>
    <row r="435" ht="18">
      <c r="C435" s="46"/>
    </row>
    <row r="436" ht="18">
      <c r="C436" s="46"/>
    </row>
    <row r="437" ht="18">
      <c r="C437" s="46"/>
    </row>
    <row r="438" ht="18">
      <c r="C438" s="46"/>
    </row>
    <row r="439" ht="18">
      <c r="C439" s="46"/>
    </row>
    <row r="440" ht="18">
      <c r="C440" s="46"/>
    </row>
    <row r="441" ht="18">
      <c r="C441" s="46"/>
    </row>
    <row r="442" ht="18">
      <c r="C442" s="46"/>
    </row>
    <row r="443" ht="18">
      <c r="C443" s="46"/>
    </row>
    <row r="444" ht="18">
      <c r="C444" s="46"/>
    </row>
    <row r="445" ht="18">
      <c r="C445" s="46"/>
    </row>
    <row r="446" ht="18">
      <c r="C446" s="46"/>
    </row>
    <row r="447" ht="18">
      <c r="C447" s="46"/>
    </row>
    <row r="448" ht="18">
      <c r="C448" s="46"/>
    </row>
    <row r="449" ht="18">
      <c r="C449" s="46"/>
    </row>
    <row r="450" ht="18">
      <c r="C450" s="46"/>
    </row>
    <row r="451" ht="18">
      <c r="C451" s="46"/>
    </row>
    <row r="452" ht="18">
      <c r="C452" s="46"/>
    </row>
    <row r="453" ht="18">
      <c r="C453" s="46"/>
    </row>
    <row r="454" ht="18">
      <c r="C454" s="46"/>
    </row>
    <row r="455" ht="18">
      <c r="C455" s="46"/>
    </row>
    <row r="456" ht="18">
      <c r="C456" s="46"/>
    </row>
    <row r="457" ht="18">
      <c r="C457" s="46"/>
    </row>
    <row r="458" ht="18">
      <c r="C458" s="46"/>
    </row>
    <row r="459" ht="18">
      <c r="C459" s="46"/>
    </row>
    <row r="460" ht="18">
      <c r="C460" s="46"/>
    </row>
    <row r="461" ht="18">
      <c r="C461" s="46"/>
    </row>
    <row r="462" ht="18">
      <c r="C462" s="46"/>
    </row>
    <row r="463" ht="18">
      <c r="C463" s="46"/>
    </row>
    <row r="464" ht="18">
      <c r="C464" s="46"/>
    </row>
    <row r="465" ht="18">
      <c r="C465" s="46"/>
    </row>
    <row r="466" ht="18">
      <c r="C466" s="46"/>
    </row>
    <row r="467" ht="18">
      <c r="C467" s="46"/>
    </row>
    <row r="468" ht="18">
      <c r="C468" s="46"/>
    </row>
    <row r="469" ht="18">
      <c r="C469" s="46"/>
    </row>
    <row r="470" ht="18">
      <c r="C470" s="46"/>
    </row>
    <row r="471" ht="18">
      <c r="C471" s="46"/>
    </row>
    <row r="472" ht="18">
      <c r="C472" s="46"/>
    </row>
    <row r="473" ht="18">
      <c r="C473" s="46"/>
    </row>
    <row r="474" ht="18">
      <c r="C474" s="46"/>
    </row>
    <row r="475" ht="18">
      <c r="C475" s="46"/>
    </row>
    <row r="476" ht="18">
      <c r="C476" s="46"/>
    </row>
    <row r="477" ht="18">
      <c r="C477" s="46"/>
    </row>
    <row r="478" ht="18">
      <c r="C478" s="46"/>
    </row>
    <row r="479" ht="18">
      <c r="C479" s="46"/>
    </row>
    <row r="480" ht="18">
      <c r="C480" s="46"/>
    </row>
    <row r="481" ht="18">
      <c r="C481" s="46"/>
    </row>
    <row r="482" ht="18">
      <c r="C482" s="46"/>
    </row>
    <row r="483" ht="18">
      <c r="C483" s="46"/>
    </row>
    <row r="484" ht="18">
      <c r="C484" s="46"/>
    </row>
    <row r="485" ht="18">
      <c r="C485" s="46"/>
    </row>
    <row r="486" ht="18">
      <c r="C486" s="46"/>
    </row>
    <row r="487" ht="18">
      <c r="C487" s="46"/>
    </row>
    <row r="488" ht="18">
      <c r="C488" s="46"/>
    </row>
    <row r="489" ht="18">
      <c r="C489" s="46"/>
    </row>
    <row r="490" ht="18">
      <c r="C490" s="46"/>
    </row>
    <row r="491" ht="18">
      <c r="C491" s="46"/>
    </row>
    <row r="492" ht="18">
      <c r="C492" s="46"/>
    </row>
    <row r="493" ht="18">
      <c r="C493" s="46"/>
    </row>
    <row r="494" ht="18">
      <c r="C494" s="46"/>
    </row>
    <row r="495" ht="18">
      <c r="C495" s="46"/>
    </row>
    <row r="496" ht="18">
      <c r="C496" s="46"/>
    </row>
    <row r="497" ht="18">
      <c r="C497" s="46"/>
    </row>
    <row r="498" ht="18">
      <c r="C498" s="46"/>
    </row>
    <row r="499" ht="18">
      <c r="C499" s="46"/>
    </row>
    <row r="500" ht="18">
      <c r="C500" s="46"/>
    </row>
    <row r="501" ht="18">
      <c r="C501" s="46"/>
    </row>
    <row r="502" ht="18">
      <c r="C502" s="46"/>
    </row>
    <row r="503" ht="18">
      <c r="C503" s="46"/>
    </row>
    <row r="504" ht="18">
      <c r="C504" s="46"/>
    </row>
    <row r="505" ht="18">
      <c r="C505" s="46"/>
    </row>
    <row r="506" ht="18">
      <c r="C506" s="46"/>
    </row>
    <row r="507" ht="18">
      <c r="C507" s="46"/>
    </row>
  </sheetData>
  <printOptions horizontalCentered="1"/>
  <pageMargins left="0.3937007874015748" right="0.3937007874015748" top="0.6692913385826772" bottom="0.4724409448818898" header="0.3937007874015748" footer="0.35433070866141736"/>
  <pageSetup firstPageNumber="64" useFirstPageNumber="1" horizontalDpi="600" verticalDpi="600" orientation="landscape" paperSize="9" scale="56" r:id="rId2"/>
  <headerFooter alignWithMargins="0"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H3" sqref="H3"/>
    </sheetView>
  </sheetViews>
  <sheetFormatPr defaultColWidth="9.00390625" defaultRowHeight="12.75"/>
  <cols>
    <col min="1" max="1" width="5.25390625" style="22" customWidth="1"/>
    <col min="2" max="2" width="8.125" style="22" customWidth="1"/>
    <col min="3" max="3" width="58.875" style="22" customWidth="1"/>
    <col min="4" max="4" width="17.375" style="22" customWidth="1"/>
    <col min="5" max="5" width="12.75390625" style="22" customWidth="1"/>
    <col min="6" max="6" width="13.75390625" style="22" customWidth="1"/>
    <col min="7" max="7" width="16.75390625" style="22" customWidth="1"/>
    <col min="8" max="9" width="12.75390625" style="22" customWidth="1"/>
    <col min="10" max="10" width="10.375" style="0" customWidth="1"/>
    <col min="11" max="12" width="12.75390625" style="0" customWidth="1"/>
  </cols>
  <sheetData>
    <row r="1" spans="3:8" ht="18" customHeight="1">
      <c r="C1" s="170"/>
      <c r="E1" s="171"/>
      <c r="F1" s="171"/>
      <c r="H1" s="171" t="s">
        <v>288</v>
      </c>
    </row>
    <row r="2" spans="1:8" ht="18" customHeight="1">
      <c r="A2" s="172" t="s">
        <v>588</v>
      </c>
      <c r="B2" s="171"/>
      <c r="C2" s="171"/>
      <c r="E2" s="173"/>
      <c r="F2" s="173"/>
      <c r="H2" s="173" t="s">
        <v>308</v>
      </c>
    </row>
    <row r="3" spans="1:8" ht="18" customHeight="1">
      <c r="A3" s="172" t="s">
        <v>589</v>
      </c>
      <c r="B3" s="171"/>
      <c r="C3" s="171"/>
      <c r="E3" s="173"/>
      <c r="F3" s="173"/>
      <c r="H3" s="173" t="s">
        <v>523</v>
      </c>
    </row>
    <row r="4" spans="1:8" ht="18" customHeight="1">
      <c r="A4" s="172" t="s">
        <v>590</v>
      </c>
      <c r="B4" s="171"/>
      <c r="C4" s="171"/>
      <c r="E4" s="173"/>
      <c r="F4" s="173"/>
      <c r="H4" s="173" t="s">
        <v>446</v>
      </c>
    </row>
    <row r="5" spans="4:9" ht="22.5" customHeight="1" thickBot="1">
      <c r="D5" s="174"/>
      <c r="E5" s="174"/>
      <c r="F5" s="174"/>
      <c r="H5" s="174"/>
      <c r="I5" s="174" t="s">
        <v>524</v>
      </c>
    </row>
    <row r="6" spans="1:9" ht="33" customHeight="1" thickTop="1">
      <c r="A6" s="175"/>
      <c r="B6" s="175"/>
      <c r="C6" s="176" t="s">
        <v>563</v>
      </c>
      <c r="D6" s="1472" t="s">
        <v>613</v>
      </c>
      <c r="E6" s="1469" t="s">
        <v>591</v>
      </c>
      <c r="F6" s="1469" t="s">
        <v>199</v>
      </c>
      <c r="G6" s="1472" t="s">
        <v>614</v>
      </c>
      <c r="H6" s="1469" t="s">
        <v>591</v>
      </c>
      <c r="I6" s="1469" t="s">
        <v>592</v>
      </c>
    </row>
    <row r="7" spans="1:9" ht="74.25" customHeight="1" thickBot="1">
      <c r="A7" s="177" t="s">
        <v>528</v>
      </c>
      <c r="B7" s="178" t="s">
        <v>593</v>
      </c>
      <c r="C7" s="179" t="s">
        <v>594</v>
      </c>
      <c r="D7" s="1473"/>
      <c r="E7" s="1474"/>
      <c r="F7" s="1438"/>
      <c r="G7" s="1473"/>
      <c r="H7" s="1470"/>
      <c r="I7" s="1471"/>
    </row>
    <row r="8" spans="1:9" ht="14.25" customHeight="1" thickBot="1" thickTop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10" ht="17.25" customHeight="1" thickBot="1" thickTop="1">
      <c r="A9" s="180"/>
      <c r="B9" s="180"/>
      <c r="C9" s="709" t="s">
        <v>595</v>
      </c>
      <c r="D9" s="710">
        <v>106468206</v>
      </c>
      <c r="E9" s="710">
        <f>E11+E32</f>
        <v>-492057</v>
      </c>
      <c r="F9" s="710">
        <f>D9+E9</f>
        <v>105976149</v>
      </c>
      <c r="G9" s="710">
        <v>99432206</v>
      </c>
      <c r="H9" s="710">
        <f>H11+H32</f>
        <v>-492057</v>
      </c>
      <c r="I9" s="710">
        <f>G9+H9</f>
        <v>98940149</v>
      </c>
      <c r="J9" s="148"/>
    </row>
    <row r="10" spans="1:10" ht="11.25" customHeight="1">
      <c r="A10" s="66"/>
      <c r="B10" s="66"/>
      <c r="C10" s="181" t="s">
        <v>545</v>
      </c>
      <c r="D10" s="182"/>
      <c r="E10" s="182"/>
      <c r="F10" s="182"/>
      <c r="G10" s="182"/>
      <c r="H10" s="182"/>
      <c r="I10" s="182"/>
      <c r="J10" s="148"/>
    </row>
    <row r="11" spans="1:10" ht="19.5" customHeight="1" thickBot="1">
      <c r="A11" s="183"/>
      <c r="B11" s="183"/>
      <c r="C11" s="711" t="s">
        <v>596</v>
      </c>
      <c r="D11" s="712">
        <v>78739529</v>
      </c>
      <c r="E11" s="712">
        <f>E12+E20</f>
        <v>-637151</v>
      </c>
      <c r="F11" s="712">
        <f>D11+E11</f>
        <v>78102378</v>
      </c>
      <c r="G11" s="712">
        <v>77259529</v>
      </c>
      <c r="H11" s="712">
        <f>H12+H20</f>
        <v>-637151</v>
      </c>
      <c r="I11" s="712">
        <f aca="true" t="shared" si="0" ref="I11:I32">G11+H11</f>
        <v>76622378</v>
      </c>
      <c r="J11" s="148"/>
    </row>
    <row r="12" spans="1:10" ht="19.5" customHeight="1" thickTop="1">
      <c r="A12" s="184">
        <v>851</v>
      </c>
      <c r="B12" s="72"/>
      <c r="C12" s="233" t="s">
        <v>557</v>
      </c>
      <c r="D12" s="74">
        <v>1533</v>
      </c>
      <c r="E12" s="74">
        <f>E13</f>
        <v>2149</v>
      </c>
      <c r="F12" s="74">
        <f>D12+E12</f>
        <v>3682</v>
      </c>
      <c r="G12" s="74">
        <v>1533</v>
      </c>
      <c r="H12" s="74">
        <f>H13</f>
        <v>2149</v>
      </c>
      <c r="I12" s="74">
        <f t="shared" si="0"/>
        <v>3682</v>
      </c>
      <c r="J12" s="148"/>
    </row>
    <row r="13" spans="1:10" ht="19.5" customHeight="1">
      <c r="A13" s="185"/>
      <c r="B13" s="186">
        <v>85195</v>
      </c>
      <c r="C13" s="232" t="s">
        <v>553</v>
      </c>
      <c r="D13" s="187">
        <v>1533</v>
      </c>
      <c r="E13" s="187">
        <f>E14</f>
        <v>2149</v>
      </c>
      <c r="F13" s="187">
        <f>D13+E13</f>
        <v>3682</v>
      </c>
      <c r="G13" s="187">
        <v>1533</v>
      </c>
      <c r="H13" s="187">
        <f>H16</f>
        <v>2149</v>
      </c>
      <c r="I13" s="187">
        <f t="shared" si="0"/>
        <v>3682</v>
      </c>
      <c r="J13" s="148"/>
    </row>
    <row r="14" spans="1:10" ht="25.5" customHeight="1">
      <c r="A14" s="81"/>
      <c r="B14" s="550"/>
      <c r="C14" s="746" t="s">
        <v>316</v>
      </c>
      <c r="D14" s="188">
        <v>1533</v>
      </c>
      <c r="E14" s="188">
        <f>E15</f>
        <v>2149</v>
      </c>
      <c r="F14" s="188">
        <f>D14+E14</f>
        <v>3682</v>
      </c>
      <c r="G14" s="188"/>
      <c r="H14" s="188"/>
      <c r="I14" s="188"/>
      <c r="J14" s="148"/>
    </row>
    <row r="15" spans="1:12" s="45" customFormat="1" ht="40.5" customHeight="1">
      <c r="A15" s="81"/>
      <c r="B15" s="549">
        <v>2010</v>
      </c>
      <c r="C15" s="235" t="s">
        <v>327</v>
      </c>
      <c r="D15" s="189">
        <v>1533</v>
      </c>
      <c r="E15" s="189">
        <v>2149</v>
      </c>
      <c r="F15" s="189">
        <f>D15+E15</f>
        <v>3682</v>
      </c>
      <c r="G15" s="189"/>
      <c r="H15" s="189"/>
      <c r="I15" s="189"/>
      <c r="J15" s="148"/>
      <c r="K15"/>
      <c r="L15"/>
    </row>
    <row r="16" spans="1:10" s="274" customFormat="1" ht="19.5" customHeight="1">
      <c r="A16" s="215"/>
      <c r="B16" s="747"/>
      <c r="C16" s="748" t="s">
        <v>326</v>
      </c>
      <c r="D16" s="423"/>
      <c r="E16" s="423"/>
      <c r="F16" s="423"/>
      <c r="G16" s="423">
        <v>1533</v>
      </c>
      <c r="H16" s="424">
        <f>SUM(H17:H19)</f>
        <v>2149</v>
      </c>
      <c r="I16" s="423">
        <f t="shared" si="0"/>
        <v>3682</v>
      </c>
      <c r="J16" s="230"/>
    </row>
    <row r="17" spans="1:12" s="45" customFormat="1" ht="19.5" customHeight="1">
      <c r="A17" s="81"/>
      <c r="B17" s="321">
        <v>4010</v>
      </c>
      <c r="C17" s="320" t="s">
        <v>521</v>
      </c>
      <c r="D17" s="753"/>
      <c r="E17" s="753"/>
      <c r="F17" s="753"/>
      <c r="G17" s="753">
        <v>1278</v>
      </c>
      <c r="H17" s="154">
        <v>1792</v>
      </c>
      <c r="I17" s="189">
        <f t="shared" si="0"/>
        <v>3070</v>
      </c>
      <c r="J17" s="148"/>
      <c r="K17"/>
      <c r="L17"/>
    </row>
    <row r="18" spans="1:10" ht="19.5" customHeight="1">
      <c r="A18" s="183"/>
      <c r="B18" s="321">
        <v>4110</v>
      </c>
      <c r="C18" s="320" t="s">
        <v>653</v>
      </c>
      <c r="D18" s="754"/>
      <c r="E18" s="754"/>
      <c r="F18" s="754"/>
      <c r="G18" s="821">
        <v>224</v>
      </c>
      <c r="H18" s="999">
        <v>314</v>
      </c>
      <c r="I18" s="189">
        <f t="shared" si="0"/>
        <v>538</v>
      </c>
      <c r="J18" s="148"/>
    </row>
    <row r="19" spans="1:10" ht="19.5" customHeight="1">
      <c r="A19" s="183"/>
      <c r="B19" s="321">
        <v>4120</v>
      </c>
      <c r="C19" s="468" t="s">
        <v>654</v>
      </c>
      <c r="D19" s="754"/>
      <c r="E19" s="754"/>
      <c r="F19" s="754"/>
      <c r="G19" s="821">
        <v>31</v>
      </c>
      <c r="H19" s="821">
        <v>43</v>
      </c>
      <c r="I19" s="189">
        <f t="shared" si="0"/>
        <v>74</v>
      </c>
      <c r="J19" s="148"/>
    </row>
    <row r="20" spans="1:10" ht="19.5" customHeight="1">
      <c r="A20" s="184">
        <v>852</v>
      </c>
      <c r="B20" s="72"/>
      <c r="C20" s="233" t="s">
        <v>555</v>
      </c>
      <c r="D20" s="74">
        <v>75748900</v>
      </c>
      <c r="E20" s="74">
        <f>E21+E27</f>
        <v>-639300</v>
      </c>
      <c r="F20" s="74">
        <f>D20+E20</f>
        <v>75109600</v>
      </c>
      <c r="G20" s="74">
        <v>75654900</v>
      </c>
      <c r="H20" s="74">
        <f>H21+H27</f>
        <v>-639300</v>
      </c>
      <c r="I20" s="74">
        <f t="shared" si="0"/>
        <v>75015600</v>
      </c>
      <c r="J20" s="148"/>
    </row>
    <row r="21" spans="1:10" ht="28.5" customHeight="1">
      <c r="A21" s="185"/>
      <c r="B21" s="186">
        <v>85212</v>
      </c>
      <c r="C21" s="1115" t="s">
        <v>144</v>
      </c>
      <c r="D21" s="187">
        <v>64522000</v>
      </c>
      <c r="E21" s="187">
        <f>E22</f>
        <v>-600000</v>
      </c>
      <c r="F21" s="187">
        <f>D21+E21</f>
        <v>63922000</v>
      </c>
      <c r="G21" s="187">
        <v>64522000</v>
      </c>
      <c r="H21" s="187">
        <f>H24</f>
        <v>-600000</v>
      </c>
      <c r="I21" s="187">
        <f>G21+H21</f>
        <v>63922000</v>
      </c>
      <c r="J21" s="148"/>
    </row>
    <row r="22" spans="1:10" ht="24.75" customHeight="1">
      <c r="A22" s="81"/>
      <c r="B22" s="550"/>
      <c r="C22" s="746" t="s">
        <v>145</v>
      </c>
      <c r="D22" s="188">
        <v>64522000</v>
      </c>
      <c r="E22" s="188">
        <f>E23</f>
        <v>-600000</v>
      </c>
      <c r="F22" s="188">
        <f>D22+E22</f>
        <v>63922000</v>
      </c>
      <c r="G22" s="188"/>
      <c r="H22" s="188"/>
      <c r="I22" s="188"/>
      <c r="J22" s="148"/>
    </row>
    <row r="23" spans="1:12" s="45" customFormat="1" ht="40.5" customHeight="1">
      <c r="A23" s="81"/>
      <c r="B23" s="549">
        <v>2010</v>
      </c>
      <c r="C23" s="235" t="s">
        <v>327</v>
      </c>
      <c r="D23" s="189">
        <v>64522000</v>
      </c>
      <c r="E23" s="189">
        <v>-600000</v>
      </c>
      <c r="F23" s="189">
        <f>D23+E23</f>
        <v>63922000</v>
      </c>
      <c r="G23" s="189"/>
      <c r="H23" s="189"/>
      <c r="I23" s="189"/>
      <c r="J23" s="148"/>
      <c r="K23"/>
      <c r="L23"/>
    </row>
    <row r="24" spans="1:10" s="274" customFormat="1" ht="19.5" customHeight="1">
      <c r="A24" s="215"/>
      <c r="B24" s="542"/>
      <c r="C24" s="592" t="s">
        <v>146</v>
      </c>
      <c r="D24" s="423"/>
      <c r="E24" s="423"/>
      <c r="F24" s="423"/>
      <c r="G24" s="423">
        <v>62644000</v>
      </c>
      <c r="H24" s="424">
        <f>H25</f>
        <v>-600000</v>
      </c>
      <c r="I24" s="423">
        <f>G24+H24</f>
        <v>62044000</v>
      </c>
      <c r="J24" s="230"/>
    </row>
    <row r="25" spans="1:12" s="45" customFormat="1" ht="19.5" customHeight="1">
      <c r="A25" s="82"/>
      <c r="B25" s="321">
        <v>3110</v>
      </c>
      <c r="C25" s="1123" t="s">
        <v>225</v>
      </c>
      <c r="D25" s="189"/>
      <c r="E25" s="189"/>
      <c r="F25" s="189"/>
      <c r="G25" s="189">
        <v>62008000</v>
      </c>
      <c r="H25" s="145">
        <v>-600000</v>
      </c>
      <c r="I25" s="189">
        <f>G25+H25</f>
        <v>61408000</v>
      </c>
      <c r="J25" s="148"/>
      <c r="K25"/>
      <c r="L25"/>
    </row>
    <row r="26" spans="1:12" s="45" customFormat="1" ht="24.75" customHeight="1">
      <c r="A26" s="1365"/>
      <c r="B26" s="1359"/>
      <c r="C26" s="1365"/>
      <c r="D26" s="1417"/>
      <c r="E26" s="1417"/>
      <c r="F26" s="1417"/>
      <c r="G26" s="1417"/>
      <c r="H26" s="1367"/>
      <c r="I26" s="1417"/>
      <c r="J26" s="148"/>
      <c r="K26"/>
      <c r="L26"/>
    </row>
    <row r="27" spans="1:10" ht="19.5" customHeight="1">
      <c r="A27" s="185"/>
      <c r="B27" s="227">
        <v>85228</v>
      </c>
      <c r="C27" s="1112" t="s">
        <v>142</v>
      </c>
      <c r="D27" s="1416">
        <v>1397800</v>
      </c>
      <c r="E27" s="1416">
        <f>E28</f>
        <v>-39300</v>
      </c>
      <c r="F27" s="1416">
        <f>D27+E27</f>
        <v>1358500</v>
      </c>
      <c r="G27" s="1416">
        <v>1317800</v>
      </c>
      <c r="H27" s="1416">
        <f>H30</f>
        <v>-39300</v>
      </c>
      <c r="I27" s="1416">
        <f t="shared" si="0"/>
        <v>1278500</v>
      </c>
      <c r="J27" s="148"/>
    </row>
    <row r="28" spans="1:10" ht="21" customHeight="1">
      <c r="A28" s="81"/>
      <c r="B28" s="550"/>
      <c r="C28" s="557" t="s">
        <v>143</v>
      </c>
      <c r="D28" s="188">
        <v>1317800</v>
      </c>
      <c r="E28" s="188">
        <f>E29</f>
        <v>-39300</v>
      </c>
      <c r="F28" s="188">
        <f>D28+E28</f>
        <v>1278500</v>
      </c>
      <c r="G28" s="188"/>
      <c r="H28" s="188"/>
      <c r="I28" s="188"/>
      <c r="J28" s="148"/>
    </row>
    <row r="29" spans="1:12" s="45" customFormat="1" ht="40.5" customHeight="1">
      <c r="A29" s="81"/>
      <c r="B29" s="549">
        <v>2010</v>
      </c>
      <c r="C29" s="235" t="s">
        <v>327</v>
      </c>
      <c r="D29" s="189">
        <v>1317800</v>
      </c>
      <c r="E29" s="189">
        <v>-39300</v>
      </c>
      <c r="F29" s="189">
        <f>D29+E29</f>
        <v>1278500</v>
      </c>
      <c r="G29" s="189"/>
      <c r="H29" s="189"/>
      <c r="I29" s="189"/>
      <c r="J29" s="148"/>
      <c r="K29"/>
      <c r="L29"/>
    </row>
    <row r="30" spans="1:10" s="274" customFormat="1" ht="19.5" customHeight="1">
      <c r="A30" s="215"/>
      <c r="B30" s="542"/>
      <c r="C30" s="541" t="s">
        <v>147</v>
      </c>
      <c r="D30" s="423"/>
      <c r="E30" s="423"/>
      <c r="F30" s="423"/>
      <c r="G30" s="423">
        <v>1317800</v>
      </c>
      <c r="H30" s="424">
        <f>H31</f>
        <v>-39300</v>
      </c>
      <c r="I30" s="423">
        <f t="shared" si="0"/>
        <v>1278500</v>
      </c>
      <c r="J30" s="230"/>
    </row>
    <row r="31" spans="1:12" s="45" customFormat="1" ht="19.5" customHeight="1">
      <c r="A31" s="81"/>
      <c r="B31" s="321">
        <v>4300</v>
      </c>
      <c r="C31" s="817" t="s">
        <v>571</v>
      </c>
      <c r="D31" s="189"/>
      <c r="E31" s="189"/>
      <c r="F31" s="189"/>
      <c r="G31" s="189">
        <v>1317800</v>
      </c>
      <c r="H31" s="145">
        <v>-39300</v>
      </c>
      <c r="I31" s="189">
        <f t="shared" si="0"/>
        <v>1278500</v>
      </c>
      <c r="J31" s="148"/>
      <c r="K31"/>
      <c r="L31"/>
    </row>
    <row r="32" spans="1:10" ht="30" customHeight="1" thickBot="1">
      <c r="A32" s="190"/>
      <c r="B32" s="191"/>
      <c r="C32" s="1116" t="s">
        <v>597</v>
      </c>
      <c r="D32" s="1117">
        <v>27728677</v>
      </c>
      <c r="E32" s="1117">
        <f>E33+E44</f>
        <v>145094</v>
      </c>
      <c r="F32" s="1117">
        <f>D32+E32</f>
        <v>27873771</v>
      </c>
      <c r="G32" s="1117">
        <v>22172677</v>
      </c>
      <c r="H32" s="1117">
        <f>H33+H44</f>
        <v>145094</v>
      </c>
      <c r="I32" s="1117">
        <f t="shared" si="0"/>
        <v>22317771</v>
      </c>
      <c r="J32" s="148"/>
    </row>
    <row r="33" spans="1:10" ht="19.5" customHeight="1" thickTop="1">
      <c r="A33" s="184">
        <v>851</v>
      </c>
      <c r="B33" s="72"/>
      <c r="C33" s="1168" t="s">
        <v>557</v>
      </c>
      <c r="D33" s="1118">
        <v>3187000</v>
      </c>
      <c r="E33" s="1118">
        <f>E34</f>
        <v>120000</v>
      </c>
      <c r="F33" s="1118">
        <f>D33+E33</f>
        <v>3307000</v>
      </c>
      <c r="G33" s="1118">
        <v>3187000</v>
      </c>
      <c r="H33" s="1118">
        <f>H34</f>
        <v>120000</v>
      </c>
      <c r="I33" s="1118">
        <f>G33+H33</f>
        <v>3307000</v>
      </c>
      <c r="J33" s="148"/>
    </row>
    <row r="34" spans="1:10" ht="19.5" customHeight="1">
      <c r="A34" s="185"/>
      <c r="B34" s="186">
        <v>85141</v>
      </c>
      <c r="C34" s="547" t="s">
        <v>451</v>
      </c>
      <c r="D34" s="187"/>
      <c r="E34" s="187">
        <f>E35</f>
        <v>120000</v>
      </c>
      <c r="F34" s="187">
        <f>D34+E34</f>
        <v>120000</v>
      </c>
      <c r="G34" s="187"/>
      <c r="H34" s="187">
        <f>H37</f>
        <v>120000</v>
      </c>
      <c r="I34" s="187">
        <f>G34+H34</f>
        <v>120000</v>
      </c>
      <c r="J34" s="148"/>
    </row>
    <row r="35" spans="1:10" ht="25.5">
      <c r="A35" s="81"/>
      <c r="B35" s="550"/>
      <c r="C35" s="1000" t="s">
        <v>454</v>
      </c>
      <c r="D35" s="188"/>
      <c r="E35" s="188">
        <f>E36</f>
        <v>120000</v>
      </c>
      <c r="F35" s="188">
        <f>D35+E35</f>
        <v>120000</v>
      </c>
      <c r="G35" s="188"/>
      <c r="H35" s="188"/>
      <c r="I35" s="188"/>
      <c r="J35" s="148"/>
    </row>
    <row r="36" spans="1:12" s="45" customFormat="1" ht="40.5" customHeight="1">
      <c r="A36" s="81"/>
      <c r="B36" s="549">
        <v>2110</v>
      </c>
      <c r="C36" s="1001" t="s">
        <v>209</v>
      </c>
      <c r="D36" s="189"/>
      <c r="E36" s="189">
        <v>120000</v>
      </c>
      <c r="F36" s="189">
        <f>D36+E36</f>
        <v>120000</v>
      </c>
      <c r="G36" s="189"/>
      <c r="H36" s="189"/>
      <c r="I36" s="189"/>
      <c r="J36" s="148"/>
      <c r="K36"/>
      <c r="L36"/>
    </row>
    <row r="37" spans="1:10" s="274" customFormat="1" ht="19.5" customHeight="1">
      <c r="A37" s="215"/>
      <c r="B37" s="542"/>
      <c r="C37" s="541" t="s">
        <v>694</v>
      </c>
      <c r="D37" s="423"/>
      <c r="E37" s="423"/>
      <c r="F37" s="423"/>
      <c r="G37" s="423"/>
      <c r="H37" s="424">
        <f>SUM(H38:H43)</f>
        <v>120000</v>
      </c>
      <c r="I37" s="423">
        <f aca="true" t="shared" si="1" ref="I37:I43">G37+H37</f>
        <v>120000</v>
      </c>
      <c r="J37" s="230"/>
    </row>
    <row r="38" spans="1:12" s="45" customFormat="1" ht="19.5" customHeight="1">
      <c r="A38" s="81"/>
      <c r="B38" s="321">
        <v>4210</v>
      </c>
      <c r="C38" s="229" t="s">
        <v>570</v>
      </c>
      <c r="D38" s="189"/>
      <c r="E38" s="189"/>
      <c r="F38" s="189"/>
      <c r="G38" s="189"/>
      <c r="H38" s="145">
        <f>13472-7800</f>
        <v>5672</v>
      </c>
      <c r="I38" s="189">
        <f t="shared" si="1"/>
        <v>5672</v>
      </c>
      <c r="J38" s="148"/>
      <c r="K38"/>
      <c r="L38"/>
    </row>
    <row r="39" spans="1:12" s="45" customFormat="1" ht="19.5" customHeight="1">
      <c r="A39" s="81"/>
      <c r="B39" s="169">
        <v>4210</v>
      </c>
      <c r="C39" s="990" t="s">
        <v>695</v>
      </c>
      <c r="D39" s="1026"/>
      <c r="E39" s="1026"/>
      <c r="F39" s="1026"/>
      <c r="G39" s="1026"/>
      <c r="H39" s="152">
        <v>7800</v>
      </c>
      <c r="I39" s="189">
        <f>G39+H39</f>
        <v>7800</v>
      </c>
      <c r="J39" s="148"/>
      <c r="K39"/>
      <c r="L39"/>
    </row>
    <row r="40" spans="1:12" s="45" customFormat="1" ht="19.5" customHeight="1">
      <c r="A40" s="81"/>
      <c r="B40" s="161">
        <v>4250</v>
      </c>
      <c r="C40" s="997" t="s">
        <v>452</v>
      </c>
      <c r="D40" s="1026"/>
      <c r="E40" s="1026"/>
      <c r="F40" s="1026"/>
      <c r="G40" s="1026"/>
      <c r="H40" s="152">
        <v>47273</v>
      </c>
      <c r="I40" s="189">
        <f t="shared" si="1"/>
        <v>47273</v>
      </c>
      <c r="J40" s="148"/>
      <c r="K40"/>
      <c r="L40"/>
    </row>
    <row r="41" spans="1:12" s="45" customFormat="1" ht="19.5" customHeight="1">
      <c r="A41" s="81"/>
      <c r="B41" s="161">
        <v>4260</v>
      </c>
      <c r="C41" s="997" t="s">
        <v>656</v>
      </c>
      <c r="D41" s="1026"/>
      <c r="E41" s="1026"/>
      <c r="F41" s="1026"/>
      <c r="G41" s="1026"/>
      <c r="H41" s="152">
        <v>21100</v>
      </c>
      <c r="I41" s="189">
        <f t="shared" si="1"/>
        <v>21100</v>
      </c>
      <c r="J41" s="148"/>
      <c r="K41"/>
      <c r="L41"/>
    </row>
    <row r="42" spans="1:12" s="45" customFormat="1" ht="19.5" customHeight="1">
      <c r="A42" s="81"/>
      <c r="B42" s="161">
        <v>4270</v>
      </c>
      <c r="C42" s="997" t="s">
        <v>447</v>
      </c>
      <c r="D42" s="1026"/>
      <c r="E42" s="1026"/>
      <c r="F42" s="1026"/>
      <c r="G42" s="1026"/>
      <c r="H42" s="152">
        <v>12093</v>
      </c>
      <c r="I42" s="189">
        <f t="shared" si="1"/>
        <v>12093</v>
      </c>
      <c r="J42" s="148"/>
      <c r="K42"/>
      <c r="L42"/>
    </row>
    <row r="43" spans="1:10" ht="19.5" customHeight="1">
      <c r="A43" s="190"/>
      <c r="B43" s="161">
        <v>4300</v>
      </c>
      <c r="C43" s="998" t="s">
        <v>571</v>
      </c>
      <c r="D43" s="740"/>
      <c r="E43" s="740"/>
      <c r="F43" s="740"/>
      <c r="G43" s="740"/>
      <c r="H43" s="456">
        <v>26062</v>
      </c>
      <c r="I43" s="189">
        <f t="shared" si="1"/>
        <v>26062</v>
      </c>
      <c r="J43" s="148"/>
    </row>
    <row r="44" spans="1:10" ht="19.5" customHeight="1">
      <c r="A44" s="184">
        <v>853</v>
      </c>
      <c r="B44" s="72"/>
      <c r="C44" s="546" t="s">
        <v>598</v>
      </c>
      <c r="D44" s="74">
        <v>591560</v>
      </c>
      <c r="E44" s="74">
        <f>E45</f>
        <v>25094</v>
      </c>
      <c r="F44" s="74">
        <f>D44+E44</f>
        <v>616654</v>
      </c>
      <c r="G44" s="74">
        <v>591560</v>
      </c>
      <c r="H44" s="74">
        <f>H45</f>
        <v>25094</v>
      </c>
      <c r="I44" s="74">
        <f>G44+H44</f>
        <v>616654</v>
      </c>
      <c r="J44" s="148"/>
    </row>
    <row r="45" spans="1:10" ht="19.5" customHeight="1">
      <c r="A45" s="185"/>
      <c r="B45" s="186">
        <v>85334</v>
      </c>
      <c r="C45" s="547" t="s">
        <v>222</v>
      </c>
      <c r="D45" s="187">
        <v>39560</v>
      </c>
      <c r="E45" s="187">
        <f>E46</f>
        <v>25094</v>
      </c>
      <c r="F45" s="187">
        <f>D45+E45</f>
        <v>64654</v>
      </c>
      <c r="G45" s="187">
        <v>39560</v>
      </c>
      <c r="H45" s="187">
        <f>H48</f>
        <v>25094</v>
      </c>
      <c r="I45" s="187">
        <f>G45+H45</f>
        <v>64654</v>
      </c>
      <c r="J45" s="148"/>
    </row>
    <row r="46" spans="1:10" ht="19.5" customHeight="1">
      <c r="A46" s="81"/>
      <c r="B46" s="550"/>
      <c r="C46" s="234" t="s">
        <v>224</v>
      </c>
      <c r="D46" s="188">
        <v>39560</v>
      </c>
      <c r="E46" s="188">
        <f>E47</f>
        <v>25094</v>
      </c>
      <c r="F46" s="188">
        <f>D46+E46</f>
        <v>64654</v>
      </c>
      <c r="G46" s="188"/>
      <c r="H46" s="188"/>
      <c r="I46" s="188"/>
      <c r="J46" s="148"/>
    </row>
    <row r="47" spans="1:12" s="45" customFormat="1" ht="40.5" customHeight="1">
      <c r="A47" s="81"/>
      <c r="B47" s="549">
        <v>2110</v>
      </c>
      <c r="C47" s="548" t="s">
        <v>209</v>
      </c>
      <c r="D47" s="189">
        <v>39560</v>
      </c>
      <c r="E47" s="189">
        <v>25094</v>
      </c>
      <c r="F47" s="189">
        <f>D47+E47</f>
        <v>64654</v>
      </c>
      <c r="G47" s="189"/>
      <c r="H47" s="189"/>
      <c r="I47" s="189"/>
      <c r="J47" s="148"/>
      <c r="K47"/>
      <c r="L47"/>
    </row>
    <row r="48" spans="1:10" s="274" customFormat="1" ht="19.5" customHeight="1">
      <c r="A48" s="215"/>
      <c r="B48" s="542"/>
      <c r="C48" s="1121" t="s">
        <v>223</v>
      </c>
      <c r="D48" s="423"/>
      <c r="E48" s="423"/>
      <c r="F48" s="423"/>
      <c r="G48" s="423">
        <v>39560</v>
      </c>
      <c r="H48" s="424">
        <f>H49</f>
        <v>25094</v>
      </c>
      <c r="I48" s="423">
        <f>G48+H48</f>
        <v>64654</v>
      </c>
      <c r="J48" s="230"/>
    </row>
    <row r="49" spans="1:10" ht="19.5" customHeight="1">
      <c r="A49" s="190"/>
      <c r="B49" s="82">
        <v>4300</v>
      </c>
      <c r="C49" s="836" t="s">
        <v>571</v>
      </c>
      <c r="D49" s="739"/>
      <c r="E49" s="739"/>
      <c r="F49" s="739"/>
      <c r="G49" s="739">
        <v>21792</v>
      </c>
      <c r="H49" s="1122">
        <v>25094</v>
      </c>
      <c r="I49" s="189">
        <f>G49+H49</f>
        <v>46886</v>
      </c>
      <c r="J49" s="148"/>
    </row>
    <row r="51" ht="12.75">
      <c r="D51" s="1479"/>
    </row>
    <row r="52" spans="3:4" ht="14.25">
      <c r="C52" s="1475" t="s">
        <v>117</v>
      </c>
      <c r="D52" s="1478" t="s">
        <v>118</v>
      </c>
    </row>
    <row r="53" spans="3:4" ht="14.25">
      <c r="C53" s="1475" t="s">
        <v>119</v>
      </c>
      <c r="D53" s="1478" t="s">
        <v>122</v>
      </c>
    </row>
    <row r="54" spans="3:4" ht="14.25">
      <c r="C54" s="1476"/>
      <c r="D54" s="1478" t="s">
        <v>121</v>
      </c>
    </row>
  </sheetData>
  <mergeCells count="6">
    <mergeCell ref="H6:H7"/>
    <mergeCell ref="I6:I7"/>
    <mergeCell ref="F6:F7"/>
    <mergeCell ref="D6:D7"/>
    <mergeCell ref="G6:G7"/>
    <mergeCell ref="E6:E7"/>
  </mergeCells>
  <printOptions horizontalCentered="1"/>
  <pageMargins left="0.7874015748031497" right="0.51" top="0.4724409448818898" bottom="0.38" header="0.5118110236220472" footer="0.18"/>
  <pageSetup firstPageNumber="71" useFirstPageNumber="1" horizontalDpi="600" verticalDpi="600" orientation="landscape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2"/>
  <dimension ref="A1:K258"/>
  <sheetViews>
    <sheetView zoomScale="90" zoomScaleNormal="90" zoomScaleSheetLayoutView="75" workbookViewId="0" topLeftCell="A1">
      <selection activeCell="C3" sqref="C3"/>
    </sheetView>
  </sheetViews>
  <sheetFormatPr defaultColWidth="9.00390625" defaultRowHeight="12.75"/>
  <cols>
    <col min="1" max="1" width="5.25390625" style="22" customWidth="1"/>
    <col min="2" max="2" width="7.75390625" style="22" customWidth="1"/>
    <col min="3" max="3" width="57.00390625" style="22" customWidth="1"/>
    <col min="4" max="7" width="20.75390625" style="22" customWidth="1"/>
    <col min="8" max="8" width="11.875" style="22" customWidth="1"/>
    <col min="9" max="9" width="12.375" style="22" customWidth="1"/>
    <col min="10" max="10" width="13.375" style="22" customWidth="1"/>
    <col min="11" max="11" width="11.00390625" style="22" customWidth="1"/>
    <col min="12" max="16384" width="9.125" style="22" customWidth="1"/>
  </cols>
  <sheetData>
    <row r="1" ht="18" customHeight="1">
      <c r="F1" s="50" t="s">
        <v>65</v>
      </c>
    </row>
    <row r="2" ht="18" customHeight="1">
      <c r="F2" s="22" t="s">
        <v>308</v>
      </c>
    </row>
    <row r="3" ht="18" customHeight="1">
      <c r="F3" s="22" t="s">
        <v>523</v>
      </c>
    </row>
    <row r="4" spans="3:6" ht="18" customHeight="1">
      <c r="C4" s="4" t="s">
        <v>575</v>
      </c>
      <c r="F4" s="22" t="s">
        <v>446</v>
      </c>
    </row>
    <row r="5" ht="17.25" customHeight="1" thickBot="1">
      <c r="G5" s="54" t="s">
        <v>524</v>
      </c>
    </row>
    <row r="6" spans="1:7" ht="66.75" customHeight="1" thickBot="1" thickTop="1">
      <c r="A6" s="116" t="s">
        <v>576</v>
      </c>
      <c r="B6" s="116" t="s">
        <v>529</v>
      </c>
      <c r="C6" s="117" t="s">
        <v>612</v>
      </c>
      <c r="D6" s="118" t="s">
        <v>578</v>
      </c>
      <c r="E6" s="117" t="s">
        <v>566</v>
      </c>
      <c r="F6" s="117" t="s">
        <v>567</v>
      </c>
      <c r="G6" s="117" t="s">
        <v>579</v>
      </c>
    </row>
    <row r="7" spans="1:9" ht="18.75" customHeight="1" thickBot="1" thickTop="1">
      <c r="A7" s="16">
        <v>1</v>
      </c>
      <c r="B7" s="16">
        <v>2</v>
      </c>
      <c r="C7" s="119">
        <v>3</v>
      </c>
      <c r="D7" s="119">
        <v>4</v>
      </c>
      <c r="E7" s="119">
        <v>5</v>
      </c>
      <c r="F7" s="119">
        <v>6</v>
      </c>
      <c r="G7" s="119">
        <v>7</v>
      </c>
      <c r="I7" s="47"/>
    </row>
    <row r="8" spans="1:11" ht="21.75" customHeight="1" thickBot="1" thickTop="1">
      <c r="A8" s="85"/>
      <c r="B8" s="120"/>
      <c r="C8" s="121" t="s">
        <v>544</v>
      </c>
      <c r="D8" s="122">
        <v>947834108</v>
      </c>
      <c r="E8" s="122">
        <f>E10+E170+E180</f>
        <v>8605520</v>
      </c>
      <c r="F8" s="122">
        <f>F10+F170+F180</f>
        <v>9434590</v>
      </c>
      <c r="G8" s="122">
        <f>D8+F8-E8</f>
        <v>948663178</v>
      </c>
      <c r="H8" s="47">
        <f>F8-E8</f>
        <v>829070</v>
      </c>
      <c r="I8" s="47"/>
      <c r="J8" s="47"/>
      <c r="K8" s="47"/>
    </row>
    <row r="9" spans="1:9" ht="21" customHeight="1">
      <c r="A9" s="67"/>
      <c r="B9" s="67"/>
      <c r="C9" s="67" t="s">
        <v>545</v>
      </c>
      <c r="D9" s="123"/>
      <c r="E9" s="123"/>
      <c r="F9" s="123"/>
      <c r="G9" s="123"/>
      <c r="I9" s="124"/>
    </row>
    <row r="10" spans="1:11" ht="21" customHeight="1" thickBot="1">
      <c r="A10" s="86"/>
      <c r="B10" s="86"/>
      <c r="C10" s="91" t="s">
        <v>547</v>
      </c>
      <c r="D10" s="88">
        <v>843238354</v>
      </c>
      <c r="E10" s="125">
        <f>E11+E22+E26+E35+E42+E52+E93+E104+E128+E135+E154+E166</f>
        <v>7914630</v>
      </c>
      <c r="F10" s="125">
        <f>F11+F22+F26+F35+F42+F52+F93+F104+F128+F135+F154+F166</f>
        <v>9228757</v>
      </c>
      <c r="G10" s="125">
        <f aca="true" t="shared" si="0" ref="G10:G45">D10+F10-E10</f>
        <v>844552481</v>
      </c>
      <c r="H10" s="47"/>
      <c r="I10" s="47"/>
      <c r="K10" s="47"/>
    </row>
    <row r="11" spans="1:11" ht="21" customHeight="1" thickTop="1">
      <c r="A11" s="89">
        <v>600</v>
      </c>
      <c r="B11" s="89"/>
      <c r="C11" s="89" t="s">
        <v>551</v>
      </c>
      <c r="D11" s="74">
        <v>124332191</v>
      </c>
      <c r="E11" s="75">
        <f>E12+E15+E17+E20</f>
        <v>2925000</v>
      </c>
      <c r="F11" s="75">
        <f>F12+F15+F17+F20</f>
        <v>3065000</v>
      </c>
      <c r="G11" s="75">
        <f t="shared" si="0"/>
        <v>124472191</v>
      </c>
      <c r="H11" s="47">
        <f>F11-E11</f>
        <v>140000</v>
      </c>
      <c r="I11" s="47"/>
      <c r="K11" s="47"/>
    </row>
    <row r="12" spans="1:11" s="130" customFormat="1" ht="21" customHeight="1">
      <c r="A12" s="81"/>
      <c r="B12" s="78">
        <v>60015</v>
      </c>
      <c r="C12" s="768" t="s">
        <v>70</v>
      </c>
      <c r="D12" s="137">
        <v>88810356</v>
      </c>
      <c r="E12" s="137">
        <f>E13+E14</f>
        <v>2897000</v>
      </c>
      <c r="F12" s="137"/>
      <c r="G12" s="137">
        <f t="shared" si="0"/>
        <v>85913356</v>
      </c>
      <c r="H12" s="138"/>
      <c r="I12" s="138"/>
      <c r="K12" s="138"/>
    </row>
    <row r="13" spans="1:11" s="130" customFormat="1" ht="21" customHeight="1">
      <c r="A13" s="206"/>
      <c r="B13" s="207"/>
      <c r="C13" s="775" t="s">
        <v>449</v>
      </c>
      <c r="D13" s="144">
        <v>3291089</v>
      </c>
      <c r="E13" s="144">
        <v>1137000</v>
      </c>
      <c r="F13" s="144"/>
      <c r="G13" s="144">
        <f t="shared" si="0"/>
        <v>2154089</v>
      </c>
      <c r="H13" s="138"/>
      <c r="I13" s="138"/>
      <c r="K13" s="138"/>
    </row>
    <row r="14" spans="1:11" s="130" customFormat="1" ht="21" customHeight="1">
      <c r="A14" s="206"/>
      <c r="B14" s="1282"/>
      <c r="C14" s="1343" t="s">
        <v>763</v>
      </c>
      <c r="D14" s="1288">
        <v>77685356</v>
      </c>
      <c r="E14" s="1288">
        <v>1760000</v>
      </c>
      <c r="F14" s="1288"/>
      <c r="G14" s="1288">
        <f t="shared" si="0"/>
        <v>75925356</v>
      </c>
      <c r="H14" s="138"/>
      <c r="I14" s="138"/>
      <c r="K14" s="138"/>
    </row>
    <row r="15" spans="1:11" s="130" customFormat="1" ht="21" customHeight="1">
      <c r="A15" s="81"/>
      <c r="B15" s="78">
        <v>60016</v>
      </c>
      <c r="C15" s="768" t="s">
        <v>115</v>
      </c>
      <c r="D15" s="137">
        <v>9029000</v>
      </c>
      <c r="E15" s="137"/>
      <c r="F15" s="137">
        <f>F16</f>
        <v>1788000</v>
      </c>
      <c r="G15" s="137">
        <f t="shared" si="0"/>
        <v>10817000</v>
      </c>
      <c r="H15" s="138"/>
      <c r="I15" s="138"/>
      <c r="K15" s="138"/>
    </row>
    <row r="16" spans="1:11" s="130" customFormat="1" ht="21" customHeight="1">
      <c r="A16" s="206"/>
      <c r="B16" s="1344"/>
      <c r="C16" s="775" t="s">
        <v>763</v>
      </c>
      <c r="D16" s="143">
        <v>4800000</v>
      </c>
      <c r="E16" s="143"/>
      <c r="F16" s="143">
        <v>1788000</v>
      </c>
      <c r="G16" s="143">
        <f t="shared" si="0"/>
        <v>6588000</v>
      </c>
      <c r="H16" s="138"/>
      <c r="I16" s="138"/>
      <c r="K16" s="138"/>
    </row>
    <row r="17" spans="1:11" s="130" customFormat="1" ht="21" customHeight="1">
      <c r="A17" s="81"/>
      <c r="B17" s="78">
        <v>60017</v>
      </c>
      <c r="C17" s="159" t="s">
        <v>456</v>
      </c>
      <c r="D17" s="137">
        <v>1220000</v>
      </c>
      <c r="E17" s="137">
        <f>E18+E19</f>
        <v>28000</v>
      </c>
      <c r="F17" s="137">
        <f>F18+F19</f>
        <v>1137000</v>
      </c>
      <c r="G17" s="137">
        <f t="shared" si="0"/>
        <v>2329000</v>
      </c>
      <c r="H17" s="138"/>
      <c r="I17" s="138"/>
      <c r="K17" s="138"/>
    </row>
    <row r="18" spans="1:11" s="130" customFormat="1" ht="21" customHeight="1">
      <c r="A18" s="206"/>
      <c r="B18" s="207"/>
      <c r="C18" s="775" t="s">
        <v>449</v>
      </c>
      <c r="D18" s="144">
        <v>160000</v>
      </c>
      <c r="E18" s="144"/>
      <c r="F18" s="144">
        <v>1137000</v>
      </c>
      <c r="G18" s="144">
        <f t="shared" si="0"/>
        <v>1297000</v>
      </c>
      <c r="H18" s="138"/>
      <c r="I18" s="138"/>
      <c r="K18" s="138"/>
    </row>
    <row r="19" spans="1:11" s="130" customFormat="1" ht="21" customHeight="1">
      <c r="A19" s="206"/>
      <c r="B19" s="1282"/>
      <c r="C19" s="1343" t="s">
        <v>243</v>
      </c>
      <c r="D19" s="1288">
        <v>360000</v>
      </c>
      <c r="E19" s="1288">
        <v>28000</v>
      </c>
      <c r="F19" s="1288"/>
      <c r="G19" s="1288">
        <f t="shared" si="0"/>
        <v>332000</v>
      </c>
      <c r="H19" s="138"/>
      <c r="I19" s="138"/>
      <c r="K19" s="138"/>
    </row>
    <row r="20" spans="1:11" s="130" customFormat="1" ht="21" customHeight="1">
      <c r="A20" s="81"/>
      <c r="B20" s="78">
        <v>60095</v>
      </c>
      <c r="C20" s="159" t="s">
        <v>553</v>
      </c>
      <c r="D20" s="137">
        <v>300000</v>
      </c>
      <c r="E20" s="137"/>
      <c r="F20" s="137">
        <f>F21</f>
        <v>140000</v>
      </c>
      <c r="G20" s="137">
        <f t="shared" si="0"/>
        <v>440000</v>
      </c>
      <c r="H20" s="138"/>
      <c r="I20" s="138"/>
      <c r="K20" s="138"/>
    </row>
    <row r="21" spans="1:11" s="130" customFormat="1" ht="18" customHeight="1">
      <c r="A21" s="206"/>
      <c r="B21" s="207"/>
      <c r="C21" s="1342" t="s">
        <v>731</v>
      </c>
      <c r="D21" s="1286">
        <v>300000</v>
      </c>
      <c r="E21" s="1286"/>
      <c r="F21" s="1286">
        <v>140000</v>
      </c>
      <c r="G21" s="1286">
        <f t="shared" si="0"/>
        <v>440000</v>
      </c>
      <c r="H21" s="138"/>
      <c r="I21" s="138"/>
      <c r="K21" s="138"/>
    </row>
    <row r="22" spans="1:11" ht="21" customHeight="1">
      <c r="A22" s="89">
        <v>630</v>
      </c>
      <c r="B22" s="89"/>
      <c r="C22" s="73" t="s">
        <v>139</v>
      </c>
      <c r="D22" s="74">
        <v>913463</v>
      </c>
      <c r="E22" s="75"/>
      <c r="F22" s="75">
        <f>F23</f>
        <v>18700</v>
      </c>
      <c r="G22" s="75">
        <f t="shared" si="0"/>
        <v>932163</v>
      </c>
      <c r="H22" s="47">
        <f>F22-E22</f>
        <v>18700</v>
      </c>
      <c r="I22" s="47"/>
      <c r="K22" s="47"/>
    </row>
    <row r="23" spans="1:11" s="130" customFormat="1" ht="21" customHeight="1">
      <c r="A23" s="81"/>
      <c r="B23" s="77">
        <v>63003</v>
      </c>
      <c r="C23" s="77" t="s">
        <v>140</v>
      </c>
      <c r="D23" s="137">
        <v>728463</v>
      </c>
      <c r="E23" s="137"/>
      <c r="F23" s="137">
        <f>F24</f>
        <v>18700</v>
      </c>
      <c r="G23" s="137">
        <f t="shared" si="0"/>
        <v>747163</v>
      </c>
      <c r="H23" s="138"/>
      <c r="I23" s="138"/>
      <c r="K23" s="138"/>
    </row>
    <row r="24" spans="1:11" s="130" customFormat="1" ht="25.5">
      <c r="A24" s="206"/>
      <c r="B24" s="93"/>
      <c r="C24" s="631" t="s">
        <v>141</v>
      </c>
      <c r="D24" s="544">
        <v>678463</v>
      </c>
      <c r="E24" s="544"/>
      <c r="F24" s="544">
        <f>22144-3444</f>
        <v>18700</v>
      </c>
      <c r="G24" s="144">
        <f t="shared" si="0"/>
        <v>697163</v>
      </c>
      <c r="H24" s="138"/>
      <c r="I24" s="138"/>
      <c r="K24" s="138"/>
    </row>
    <row r="25" spans="1:11" s="156" customFormat="1" ht="21" customHeight="1">
      <c r="A25" s="205"/>
      <c r="B25" s="169"/>
      <c r="C25" s="1267" t="s">
        <v>244</v>
      </c>
      <c r="D25" s="160">
        <v>506512</v>
      </c>
      <c r="E25" s="160"/>
      <c r="F25" s="160">
        <f>18700+2583+861</f>
        <v>22144</v>
      </c>
      <c r="G25" s="154">
        <f t="shared" si="0"/>
        <v>528656</v>
      </c>
      <c r="H25" s="155"/>
      <c r="I25" s="155"/>
      <c r="K25" s="155"/>
    </row>
    <row r="26" spans="1:11" ht="21" customHeight="1">
      <c r="A26" s="89">
        <v>750</v>
      </c>
      <c r="B26" s="89"/>
      <c r="C26" s="89" t="s">
        <v>558</v>
      </c>
      <c r="D26" s="74">
        <v>65617863</v>
      </c>
      <c r="E26" s="75">
        <f>E27+E33</f>
        <v>182647</v>
      </c>
      <c r="F26" s="75">
        <f>F27+F33</f>
        <v>582647</v>
      </c>
      <c r="G26" s="75">
        <f t="shared" si="0"/>
        <v>66017863</v>
      </c>
      <c r="H26" s="47">
        <f>F26-E26</f>
        <v>400000</v>
      </c>
      <c r="I26" s="47"/>
      <c r="K26" s="47"/>
    </row>
    <row r="27" spans="1:11" s="130" customFormat="1" ht="21" customHeight="1">
      <c r="A27" s="81"/>
      <c r="B27" s="78">
        <v>75023</v>
      </c>
      <c r="C27" s="78" t="s">
        <v>573</v>
      </c>
      <c r="D27" s="137">
        <v>61463685</v>
      </c>
      <c r="E27" s="137">
        <f>E28+E29+E31+E32</f>
        <v>182647</v>
      </c>
      <c r="F27" s="137">
        <f>F28+F29+F31+F32</f>
        <v>182647</v>
      </c>
      <c r="G27" s="137">
        <f t="shared" si="0"/>
        <v>61463685</v>
      </c>
      <c r="H27" s="138"/>
      <c r="I27" s="138"/>
      <c r="K27" s="138"/>
    </row>
    <row r="28" spans="1:11" s="130" customFormat="1" ht="21" customHeight="1">
      <c r="A28" s="1338"/>
      <c r="B28" s="1339"/>
      <c r="C28" s="635" t="s">
        <v>278</v>
      </c>
      <c r="D28" s="1340">
        <v>36845000</v>
      </c>
      <c r="E28" s="1340">
        <v>82647</v>
      </c>
      <c r="F28" s="1340"/>
      <c r="G28" s="1286">
        <f t="shared" si="0"/>
        <v>36762353</v>
      </c>
      <c r="H28" s="138"/>
      <c r="I28" s="138"/>
      <c r="K28" s="138"/>
    </row>
    <row r="29" spans="1:11" s="130" customFormat="1" ht="21" customHeight="1">
      <c r="A29" s="206"/>
      <c r="B29" s="215"/>
      <c r="C29" s="101" t="s">
        <v>574</v>
      </c>
      <c r="D29" s="943">
        <v>12296970</v>
      </c>
      <c r="E29" s="943">
        <v>20000</v>
      </c>
      <c r="F29" s="943"/>
      <c r="G29" s="943">
        <f t="shared" si="0"/>
        <v>12276970</v>
      </c>
      <c r="H29" s="138"/>
      <c r="I29" s="138"/>
      <c r="K29" s="138"/>
    </row>
    <row r="30" spans="1:11" s="156" customFormat="1" ht="18.75" customHeight="1">
      <c r="A30" s="205"/>
      <c r="B30" s="169"/>
      <c r="C30" s="1069" t="s">
        <v>485</v>
      </c>
      <c r="D30" s="467">
        <v>685970</v>
      </c>
      <c r="E30" s="467"/>
      <c r="F30" s="467">
        <v>80000</v>
      </c>
      <c r="G30" s="467">
        <f t="shared" si="0"/>
        <v>765970</v>
      </c>
      <c r="H30" s="155"/>
      <c r="I30" s="155"/>
      <c r="K30" s="155"/>
    </row>
    <row r="31" spans="1:11" s="130" customFormat="1" ht="21" customHeight="1">
      <c r="A31" s="206"/>
      <c r="B31" s="215"/>
      <c r="C31" s="101" t="s">
        <v>599</v>
      </c>
      <c r="D31" s="943">
        <v>6012000</v>
      </c>
      <c r="E31" s="943"/>
      <c r="F31" s="943">
        <v>182647</v>
      </c>
      <c r="G31" s="943">
        <f t="shared" si="0"/>
        <v>6194647</v>
      </c>
      <c r="H31" s="138"/>
      <c r="I31" s="138"/>
      <c r="K31" s="138"/>
    </row>
    <row r="32" spans="1:11" s="230" customFormat="1" ht="21" customHeight="1">
      <c r="A32" s="206"/>
      <c r="B32" s="215"/>
      <c r="C32" s="1341" t="s">
        <v>763</v>
      </c>
      <c r="D32" s="1290">
        <v>3164010</v>
      </c>
      <c r="E32" s="1290">
        <v>80000</v>
      </c>
      <c r="F32" s="1290"/>
      <c r="G32" s="1290">
        <f t="shared" si="0"/>
        <v>3084010</v>
      </c>
      <c r="H32" s="210"/>
      <c r="I32" s="210"/>
      <c r="K32" s="210"/>
    </row>
    <row r="33" spans="1:11" s="130" customFormat="1" ht="21" customHeight="1">
      <c r="A33" s="81"/>
      <c r="B33" s="77">
        <v>75075</v>
      </c>
      <c r="C33" s="78" t="s">
        <v>390</v>
      </c>
      <c r="D33" s="583">
        <v>2228900</v>
      </c>
      <c r="E33" s="583"/>
      <c r="F33" s="583">
        <f>F34</f>
        <v>400000</v>
      </c>
      <c r="G33" s="583">
        <f t="shared" si="0"/>
        <v>2628900</v>
      </c>
      <c r="H33" s="138"/>
      <c r="I33" s="138"/>
      <c r="K33" s="138"/>
    </row>
    <row r="34" spans="1:11" s="130" customFormat="1" ht="21" customHeight="1">
      <c r="A34" s="1338"/>
      <c r="B34" s="1339"/>
      <c r="C34" s="1285" t="s">
        <v>391</v>
      </c>
      <c r="D34" s="1340">
        <v>1805000</v>
      </c>
      <c r="E34" s="1340"/>
      <c r="F34" s="1340">
        <v>400000</v>
      </c>
      <c r="G34" s="1286">
        <f t="shared" si="0"/>
        <v>2205000</v>
      </c>
      <c r="H34" s="138"/>
      <c r="I34" s="138"/>
      <c r="K34" s="138"/>
    </row>
    <row r="35" spans="1:11" ht="19.5" customHeight="1">
      <c r="A35" s="73">
        <v>754</v>
      </c>
      <c r="B35" s="73"/>
      <c r="C35" s="73" t="s">
        <v>548</v>
      </c>
      <c r="D35" s="74">
        <v>7258659</v>
      </c>
      <c r="E35" s="75"/>
      <c r="F35" s="75"/>
      <c r="G35" s="75">
        <f t="shared" si="0"/>
        <v>7258659</v>
      </c>
      <c r="H35" s="47"/>
      <c r="I35" s="47"/>
      <c r="K35" s="47"/>
    </row>
    <row r="36" spans="1:11" s="130" customFormat="1" ht="19.5" customHeight="1">
      <c r="A36" s="81"/>
      <c r="B36" s="78">
        <v>75412</v>
      </c>
      <c r="C36" s="78" t="s">
        <v>655</v>
      </c>
      <c r="D36" s="137">
        <v>65000</v>
      </c>
      <c r="E36" s="137"/>
      <c r="F36" s="137"/>
      <c r="G36" s="137">
        <f t="shared" si="0"/>
        <v>65000</v>
      </c>
      <c r="H36" s="138"/>
      <c r="I36" s="138"/>
      <c r="K36" s="138"/>
    </row>
    <row r="37" spans="1:11" s="130" customFormat="1" ht="19.5" customHeight="1">
      <c r="A37" s="206"/>
      <c r="B37" s="207"/>
      <c r="C37" s="954" t="s">
        <v>484</v>
      </c>
      <c r="D37" s="1108">
        <v>65000</v>
      </c>
      <c r="E37" s="1108"/>
      <c r="F37" s="1108"/>
      <c r="G37" s="1108">
        <f t="shared" si="0"/>
        <v>65000</v>
      </c>
      <c r="H37" s="138"/>
      <c r="I37" s="138"/>
      <c r="K37" s="138"/>
    </row>
    <row r="38" spans="1:11" ht="19.5" customHeight="1">
      <c r="A38" s="85"/>
      <c r="B38" s="86"/>
      <c r="C38" s="1107" t="s">
        <v>136</v>
      </c>
      <c r="D38" s="671"/>
      <c r="E38" s="1010"/>
      <c r="F38" s="1010">
        <v>6100</v>
      </c>
      <c r="G38" s="1010">
        <f t="shared" si="0"/>
        <v>6100</v>
      </c>
      <c r="H38" s="47"/>
      <c r="I38" s="47"/>
      <c r="K38" s="47"/>
    </row>
    <row r="39" spans="1:11" s="130" customFormat="1" ht="19.5" customHeight="1">
      <c r="A39" s="81"/>
      <c r="B39" s="78">
        <v>75495</v>
      </c>
      <c r="C39" s="78" t="s">
        <v>553</v>
      </c>
      <c r="D39" s="583">
        <v>978000</v>
      </c>
      <c r="E39" s="583"/>
      <c r="F39" s="583"/>
      <c r="G39" s="583">
        <f t="shared" si="0"/>
        <v>978000</v>
      </c>
      <c r="H39" s="138"/>
      <c r="I39" s="138"/>
      <c r="K39" s="138"/>
    </row>
    <row r="40" spans="1:11" s="230" customFormat="1" ht="19.5" customHeight="1">
      <c r="A40" s="206"/>
      <c r="B40" s="207"/>
      <c r="C40" s="1418" t="s">
        <v>437</v>
      </c>
      <c r="D40" s="1419">
        <v>743000</v>
      </c>
      <c r="E40" s="1419"/>
      <c r="F40" s="1419"/>
      <c r="G40" s="1419">
        <f t="shared" si="0"/>
        <v>743000</v>
      </c>
      <c r="H40" s="210"/>
      <c r="I40" s="210"/>
      <c r="K40" s="210"/>
    </row>
    <row r="41" spans="1:11" s="459" customFormat="1" ht="19.5" customHeight="1">
      <c r="A41" s="1056"/>
      <c r="B41" s="1056"/>
      <c r="C41" s="758" t="s">
        <v>137</v>
      </c>
      <c r="D41" s="671">
        <v>696000</v>
      </c>
      <c r="E41" s="1010">
        <v>19000</v>
      </c>
      <c r="F41" s="1010"/>
      <c r="G41" s="1010">
        <f t="shared" si="0"/>
        <v>677000</v>
      </c>
      <c r="H41" s="458"/>
      <c r="I41" s="458"/>
      <c r="K41" s="458"/>
    </row>
    <row r="42" spans="1:11" ht="19.5" customHeight="1">
      <c r="A42" s="89">
        <v>758</v>
      </c>
      <c r="B42" s="89"/>
      <c r="C42" s="89" t="s">
        <v>549</v>
      </c>
      <c r="D42" s="74">
        <v>8158659</v>
      </c>
      <c r="E42" s="75">
        <f>E43+E47</f>
        <v>793337</v>
      </c>
      <c r="F42" s="75">
        <f>F43+F47</f>
        <v>8175</v>
      </c>
      <c r="G42" s="75">
        <f t="shared" si="0"/>
        <v>7373497</v>
      </c>
      <c r="H42" s="47"/>
      <c r="I42" s="47"/>
      <c r="K42" s="47"/>
    </row>
    <row r="43" spans="1:11" s="130" customFormat="1" ht="19.5" customHeight="1">
      <c r="A43" s="550"/>
      <c r="B43" s="77">
        <v>75818</v>
      </c>
      <c r="C43" s="77" t="s">
        <v>550</v>
      </c>
      <c r="D43" s="137">
        <v>4950836</v>
      </c>
      <c r="E43" s="137">
        <f>E44+E45</f>
        <v>793337</v>
      </c>
      <c r="F43" s="137"/>
      <c r="G43" s="137">
        <f t="shared" si="0"/>
        <v>4157499</v>
      </c>
      <c r="H43" s="138"/>
      <c r="I43" s="138"/>
      <c r="K43" s="138"/>
    </row>
    <row r="44" spans="1:11" s="130" customFormat="1" ht="19.5" customHeight="1">
      <c r="A44" s="206"/>
      <c r="B44" s="215"/>
      <c r="C44" s="954" t="s">
        <v>324</v>
      </c>
      <c r="D44" s="144">
        <v>2759421</v>
      </c>
      <c r="E44" s="144">
        <v>766462</v>
      </c>
      <c r="F44" s="144"/>
      <c r="G44" s="144">
        <f t="shared" si="0"/>
        <v>1992959</v>
      </c>
      <c r="H44" s="138"/>
      <c r="I44" s="138"/>
      <c r="K44" s="138"/>
    </row>
    <row r="45" spans="1:11" s="130" customFormat="1" ht="27.75" customHeight="1">
      <c r="A45" s="206"/>
      <c r="B45" s="215"/>
      <c r="C45" s="1337" t="s">
        <v>131</v>
      </c>
      <c r="D45" s="1300">
        <v>1872625</v>
      </c>
      <c r="E45" s="1300">
        <v>26875</v>
      </c>
      <c r="F45" s="1300"/>
      <c r="G45" s="1300">
        <f t="shared" si="0"/>
        <v>1845750</v>
      </c>
      <c r="H45" s="138"/>
      <c r="I45" s="138"/>
      <c r="K45" s="138"/>
    </row>
    <row r="46" spans="1:11" s="156" customFormat="1" ht="20.25" customHeight="1">
      <c r="A46" s="205"/>
      <c r="B46" s="321"/>
      <c r="C46" s="320" t="s">
        <v>136</v>
      </c>
      <c r="D46" s="426">
        <v>1826898</v>
      </c>
      <c r="E46" s="426">
        <v>18700</v>
      </c>
      <c r="F46" s="426"/>
      <c r="G46" s="426">
        <f aca="true" t="shared" si="1" ref="G46:G70">D46+F46-E46</f>
        <v>1808198</v>
      </c>
      <c r="H46" s="155"/>
      <c r="I46" s="155"/>
      <c r="K46" s="155"/>
    </row>
    <row r="47" spans="1:11" s="130" customFormat="1" ht="19.5" customHeight="1">
      <c r="A47" s="81"/>
      <c r="B47" s="78">
        <v>75860</v>
      </c>
      <c r="C47" s="78" t="s">
        <v>205</v>
      </c>
      <c r="D47" s="583">
        <v>453039</v>
      </c>
      <c r="E47" s="583"/>
      <c r="F47" s="583">
        <f>F48+F50</f>
        <v>8175</v>
      </c>
      <c r="G47" s="583">
        <f t="shared" si="1"/>
        <v>461214</v>
      </c>
      <c r="H47" s="138"/>
      <c r="I47" s="138"/>
      <c r="K47" s="138"/>
    </row>
    <row r="48" spans="1:11" s="130" customFormat="1" ht="27" customHeight="1">
      <c r="A48" s="80"/>
      <c r="B48" s="474"/>
      <c r="C48" s="819" t="s">
        <v>512</v>
      </c>
      <c r="D48" s="143">
        <v>73945</v>
      </c>
      <c r="E48" s="143"/>
      <c r="F48" s="143">
        <v>2200</v>
      </c>
      <c r="G48" s="143">
        <f t="shared" si="1"/>
        <v>76145</v>
      </c>
      <c r="H48" s="138"/>
      <c r="I48" s="138"/>
      <c r="K48" s="138"/>
    </row>
    <row r="49" spans="1:11" s="158" customFormat="1" ht="19.5" customHeight="1">
      <c r="A49" s="204"/>
      <c r="B49" s="81"/>
      <c r="C49" s="1265" t="s">
        <v>486</v>
      </c>
      <c r="D49" s="604">
        <v>18080</v>
      </c>
      <c r="E49" s="604"/>
      <c r="F49" s="604">
        <v>2200</v>
      </c>
      <c r="G49" s="604">
        <f t="shared" si="1"/>
        <v>20280</v>
      </c>
      <c r="H49" s="157"/>
      <c r="I49" s="157"/>
      <c r="K49" s="157"/>
    </row>
    <row r="50" spans="1:11" s="130" customFormat="1" ht="27" customHeight="1">
      <c r="A50" s="80"/>
      <c r="B50" s="66"/>
      <c r="C50" s="1336" t="s">
        <v>388</v>
      </c>
      <c r="D50" s="943"/>
      <c r="E50" s="943"/>
      <c r="F50" s="943">
        <v>5975</v>
      </c>
      <c r="G50" s="943">
        <f t="shared" si="1"/>
        <v>5975</v>
      </c>
      <c r="H50" s="138"/>
      <c r="I50" s="138"/>
      <c r="K50" s="138"/>
    </row>
    <row r="51" spans="1:11" s="158" customFormat="1" ht="19.5" customHeight="1">
      <c r="A51" s="204"/>
      <c r="B51" s="81"/>
      <c r="C51" s="1107" t="s">
        <v>486</v>
      </c>
      <c r="D51" s="152"/>
      <c r="E51" s="152"/>
      <c r="F51" s="152">
        <f>1410+470</f>
        <v>1880</v>
      </c>
      <c r="G51" s="152">
        <f t="shared" si="1"/>
        <v>1880</v>
      </c>
      <c r="H51" s="157"/>
      <c r="I51" s="157"/>
      <c r="K51" s="157"/>
    </row>
    <row r="52" spans="1:11" ht="18.75" customHeight="1">
      <c r="A52" s="72">
        <v>801</v>
      </c>
      <c r="B52" s="89"/>
      <c r="C52" s="92" t="s">
        <v>554</v>
      </c>
      <c r="D52" s="74">
        <v>354068284</v>
      </c>
      <c r="E52" s="75">
        <f>E53+E59+E63+E67+E69+E72+E75+E78+E83+E87+E90</f>
        <v>1085580</v>
      </c>
      <c r="F52" s="75">
        <f>F53+F59+F63+F67+F69+F72+F75+F78+F83+F87+F90</f>
        <v>1086437</v>
      </c>
      <c r="G52" s="75">
        <f t="shared" si="1"/>
        <v>354069141</v>
      </c>
      <c r="H52" s="47"/>
      <c r="I52" s="47"/>
      <c r="K52" s="47"/>
    </row>
    <row r="53" spans="1:11" s="95" customFormat="1" ht="18.75" customHeight="1">
      <c r="A53" s="76"/>
      <c r="B53" s="78">
        <v>80101</v>
      </c>
      <c r="C53" s="78" t="s">
        <v>60</v>
      </c>
      <c r="D53" s="583">
        <v>101243109</v>
      </c>
      <c r="E53" s="543">
        <f>E54+E56+E57+E58</f>
        <v>488978</v>
      </c>
      <c r="F53" s="543">
        <f>F54+F56+F57+F58</f>
        <v>335107</v>
      </c>
      <c r="G53" s="543">
        <f t="shared" si="1"/>
        <v>101089238</v>
      </c>
      <c r="H53" s="138"/>
      <c r="I53" s="138"/>
      <c r="K53" s="94"/>
    </row>
    <row r="54" spans="1:11" s="95" customFormat="1" ht="18.75" customHeight="1">
      <c r="A54" s="80"/>
      <c r="B54" s="66"/>
      <c r="C54" s="1162" t="s">
        <v>574</v>
      </c>
      <c r="D54" s="144">
        <v>12144312</v>
      </c>
      <c r="E54" s="589"/>
      <c r="F54" s="589">
        <v>333250</v>
      </c>
      <c r="G54" s="589">
        <f t="shared" si="1"/>
        <v>12477562</v>
      </c>
      <c r="H54" s="138"/>
      <c r="I54" s="138"/>
      <c r="K54" s="94"/>
    </row>
    <row r="55" spans="1:11" s="585" customFormat="1" ht="18.75" customHeight="1">
      <c r="A55" s="204"/>
      <c r="B55" s="81"/>
      <c r="C55" s="832" t="s">
        <v>485</v>
      </c>
      <c r="D55" s="467">
        <v>1083379</v>
      </c>
      <c r="E55" s="762"/>
      <c r="F55" s="762">
        <v>325101</v>
      </c>
      <c r="G55" s="762">
        <f t="shared" si="1"/>
        <v>1408480</v>
      </c>
      <c r="H55" s="157"/>
      <c r="I55" s="157"/>
      <c r="K55" s="586"/>
    </row>
    <row r="56" spans="1:11" s="95" customFormat="1" ht="18.75" customHeight="1">
      <c r="A56" s="80"/>
      <c r="B56" s="66"/>
      <c r="C56" s="648" t="s">
        <v>276</v>
      </c>
      <c r="D56" s="943">
        <v>403730</v>
      </c>
      <c r="E56" s="649"/>
      <c r="F56" s="649">
        <v>1000</v>
      </c>
      <c r="G56" s="649">
        <f t="shared" si="1"/>
        <v>404730</v>
      </c>
      <c r="H56" s="138"/>
      <c r="I56" s="138"/>
      <c r="K56" s="94"/>
    </row>
    <row r="57" spans="1:11" s="95" customFormat="1" ht="18.75" customHeight="1">
      <c r="A57" s="1027"/>
      <c r="B57" s="69"/>
      <c r="C57" s="1301" t="s">
        <v>511</v>
      </c>
      <c r="D57" s="1288">
        <v>40743</v>
      </c>
      <c r="E57" s="1297"/>
      <c r="F57" s="1297">
        <v>857</v>
      </c>
      <c r="G57" s="1297">
        <f t="shared" si="1"/>
        <v>41600</v>
      </c>
      <c r="H57" s="138"/>
      <c r="I57" s="138"/>
      <c r="K57" s="94"/>
    </row>
    <row r="58" spans="1:11" s="95" customFormat="1" ht="18.75" customHeight="1">
      <c r="A58" s="80"/>
      <c r="B58" s="66"/>
      <c r="C58" s="648" t="s">
        <v>763</v>
      </c>
      <c r="D58" s="943">
        <v>18311121</v>
      </c>
      <c r="E58" s="649">
        <v>488978</v>
      </c>
      <c r="F58" s="649"/>
      <c r="G58" s="649">
        <f t="shared" si="1"/>
        <v>17822143</v>
      </c>
      <c r="H58" s="138"/>
      <c r="I58" s="138"/>
      <c r="K58" s="94"/>
    </row>
    <row r="59" spans="1:11" s="130" customFormat="1" ht="17.25" customHeight="1">
      <c r="A59" s="76"/>
      <c r="B59" s="77">
        <v>80104</v>
      </c>
      <c r="C59" s="77" t="s">
        <v>601</v>
      </c>
      <c r="D59" s="137">
        <v>49276500</v>
      </c>
      <c r="E59" s="137">
        <f>E60+E62</f>
        <v>55320</v>
      </c>
      <c r="F59" s="137">
        <f>F60+F62</f>
        <v>174880</v>
      </c>
      <c r="G59" s="137">
        <f t="shared" si="1"/>
        <v>49396060</v>
      </c>
      <c r="H59" s="138"/>
      <c r="I59" s="138"/>
      <c r="K59" s="138"/>
    </row>
    <row r="60" spans="1:11" s="95" customFormat="1" ht="18.75" customHeight="1">
      <c r="A60" s="80"/>
      <c r="B60" s="66"/>
      <c r="C60" s="1162" t="s">
        <v>574</v>
      </c>
      <c r="D60" s="144">
        <v>6591954</v>
      </c>
      <c r="E60" s="589"/>
      <c r="F60" s="589">
        <f>178425-3545</f>
        <v>174880</v>
      </c>
      <c r="G60" s="589">
        <f t="shared" si="1"/>
        <v>6766834</v>
      </c>
      <c r="H60" s="138"/>
      <c r="I60" s="138"/>
      <c r="K60" s="94"/>
    </row>
    <row r="61" spans="1:11" s="95" customFormat="1" ht="18.75" customHeight="1">
      <c r="A61" s="80"/>
      <c r="B61" s="66"/>
      <c r="C61" s="1069" t="s">
        <v>485</v>
      </c>
      <c r="D61" s="467">
        <v>378227</v>
      </c>
      <c r="E61" s="762"/>
      <c r="F61" s="762">
        <v>174781</v>
      </c>
      <c r="G61" s="467">
        <f t="shared" si="1"/>
        <v>553008</v>
      </c>
      <c r="H61" s="138"/>
      <c r="I61" s="138"/>
      <c r="K61" s="94"/>
    </row>
    <row r="62" spans="1:11" s="95" customFormat="1" ht="18.75" customHeight="1">
      <c r="A62" s="80"/>
      <c r="B62" s="69"/>
      <c r="C62" s="191" t="s">
        <v>763</v>
      </c>
      <c r="D62" s="1293">
        <v>1404475</v>
      </c>
      <c r="E62" s="1298">
        <v>55320</v>
      </c>
      <c r="F62" s="1298"/>
      <c r="G62" s="1298">
        <f t="shared" si="1"/>
        <v>1349155</v>
      </c>
      <c r="H62" s="138"/>
      <c r="I62" s="138"/>
      <c r="K62" s="94"/>
    </row>
    <row r="63" spans="1:11" s="95" customFormat="1" ht="18" customHeight="1">
      <c r="A63" s="76"/>
      <c r="B63" s="78">
        <v>80110</v>
      </c>
      <c r="C63" s="78" t="s">
        <v>61</v>
      </c>
      <c r="D63" s="583">
        <v>54542466</v>
      </c>
      <c r="E63" s="543">
        <f>E64+E66</f>
        <v>320182</v>
      </c>
      <c r="F63" s="543">
        <f>F64+F66</f>
        <v>85450</v>
      </c>
      <c r="G63" s="543">
        <f t="shared" si="1"/>
        <v>54307734</v>
      </c>
      <c r="H63" s="138"/>
      <c r="I63" s="138"/>
      <c r="K63" s="94"/>
    </row>
    <row r="64" spans="1:11" s="95" customFormat="1" ht="17.25" customHeight="1">
      <c r="A64" s="80"/>
      <c r="B64" s="474"/>
      <c r="C64" s="558" t="s">
        <v>574</v>
      </c>
      <c r="D64" s="143">
        <v>7007599</v>
      </c>
      <c r="E64" s="584"/>
      <c r="F64" s="584">
        <v>85450</v>
      </c>
      <c r="G64" s="584">
        <f t="shared" si="1"/>
        <v>7093049</v>
      </c>
      <c r="H64" s="138"/>
      <c r="I64" s="138"/>
      <c r="K64" s="94"/>
    </row>
    <row r="65" spans="1:11" s="585" customFormat="1" ht="16.5" customHeight="1">
      <c r="A65" s="204"/>
      <c r="B65" s="81"/>
      <c r="C65" s="587" t="s">
        <v>485</v>
      </c>
      <c r="D65" s="576">
        <v>960182</v>
      </c>
      <c r="E65" s="588"/>
      <c r="F65" s="588">
        <v>64500</v>
      </c>
      <c r="G65" s="588">
        <f t="shared" si="1"/>
        <v>1024682</v>
      </c>
      <c r="H65" s="157"/>
      <c r="I65" s="157"/>
      <c r="K65" s="586"/>
    </row>
    <row r="66" spans="1:11" s="130" customFormat="1" ht="18.75" customHeight="1">
      <c r="A66" s="80"/>
      <c r="B66" s="69"/>
      <c r="C66" s="1303" t="s">
        <v>763</v>
      </c>
      <c r="D66" s="1304">
        <v>3252743</v>
      </c>
      <c r="E66" s="1304">
        <f>330743-10561</f>
        <v>320182</v>
      </c>
      <c r="F66" s="1304"/>
      <c r="G66" s="1304">
        <f t="shared" si="1"/>
        <v>2932561</v>
      </c>
      <c r="H66" s="138"/>
      <c r="I66" s="138"/>
      <c r="K66" s="138"/>
    </row>
    <row r="67" spans="1:11" s="95" customFormat="1" ht="17.25" customHeight="1">
      <c r="A67" s="76"/>
      <c r="B67" s="78">
        <v>80113</v>
      </c>
      <c r="C67" s="78" t="s">
        <v>175</v>
      </c>
      <c r="D67" s="583">
        <v>600000</v>
      </c>
      <c r="E67" s="543"/>
      <c r="F67" s="543">
        <f>F68</f>
        <v>15000</v>
      </c>
      <c r="G67" s="543">
        <f t="shared" si="1"/>
        <v>615000</v>
      </c>
      <c r="H67" s="138"/>
      <c r="I67" s="138"/>
      <c r="K67" s="94"/>
    </row>
    <row r="68" spans="1:11" s="95" customFormat="1" ht="19.5" customHeight="1">
      <c r="A68" s="80"/>
      <c r="B68" s="474"/>
      <c r="C68" s="558" t="s">
        <v>353</v>
      </c>
      <c r="D68" s="143">
        <v>600000</v>
      </c>
      <c r="E68" s="584"/>
      <c r="F68" s="584">
        <v>15000</v>
      </c>
      <c r="G68" s="584">
        <f t="shared" si="1"/>
        <v>615000</v>
      </c>
      <c r="H68" s="138"/>
      <c r="I68" s="138"/>
      <c r="K68" s="94"/>
    </row>
    <row r="69" spans="1:11" s="95" customFormat="1" ht="17.25" customHeight="1">
      <c r="A69" s="76"/>
      <c r="B69" s="77">
        <v>80120</v>
      </c>
      <c r="C69" s="77" t="s">
        <v>62</v>
      </c>
      <c r="D69" s="137">
        <v>50503443</v>
      </c>
      <c r="E69" s="79"/>
      <c r="F69" s="79">
        <f>F70</f>
        <v>46000</v>
      </c>
      <c r="G69" s="79">
        <f t="shared" si="1"/>
        <v>50549443</v>
      </c>
      <c r="H69" s="138"/>
      <c r="I69" s="138"/>
      <c r="K69" s="94"/>
    </row>
    <row r="70" spans="1:11" s="95" customFormat="1" ht="19.5" customHeight="1">
      <c r="A70" s="80"/>
      <c r="B70" s="474"/>
      <c r="C70" s="558" t="s">
        <v>574</v>
      </c>
      <c r="D70" s="143">
        <v>5949623</v>
      </c>
      <c r="E70" s="584"/>
      <c r="F70" s="584">
        <f>135300-89300</f>
        <v>46000</v>
      </c>
      <c r="G70" s="584">
        <f t="shared" si="1"/>
        <v>5995623</v>
      </c>
      <c r="H70" s="138"/>
      <c r="I70" s="138"/>
      <c r="K70" s="94"/>
    </row>
    <row r="71" spans="1:11" s="158" customFormat="1" ht="19.5" customHeight="1">
      <c r="A71" s="204"/>
      <c r="B71" s="81"/>
      <c r="C71" s="555" t="s">
        <v>485</v>
      </c>
      <c r="D71" s="152">
        <v>919143</v>
      </c>
      <c r="E71" s="152"/>
      <c r="F71" s="152">
        <f>976+51000</f>
        <v>51976</v>
      </c>
      <c r="G71" s="152">
        <f aca="true" t="shared" si="2" ref="G71:G103">D71+F71-E71</f>
        <v>971119</v>
      </c>
      <c r="H71" s="157"/>
      <c r="I71" s="157"/>
      <c r="K71" s="157"/>
    </row>
    <row r="72" spans="1:11" s="130" customFormat="1" ht="17.25" customHeight="1">
      <c r="A72" s="76"/>
      <c r="B72" s="77">
        <v>80121</v>
      </c>
      <c r="C72" s="77" t="s">
        <v>176</v>
      </c>
      <c r="D72" s="137">
        <v>810000</v>
      </c>
      <c r="E72" s="137"/>
      <c r="F72" s="137">
        <f>F73+F74</f>
        <v>16000</v>
      </c>
      <c r="G72" s="137">
        <f t="shared" si="2"/>
        <v>826000</v>
      </c>
      <c r="H72" s="138"/>
      <c r="I72" s="138"/>
      <c r="K72" s="138"/>
    </row>
    <row r="73" spans="1:11" s="95" customFormat="1" ht="18.75" customHeight="1">
      <c r="A73" s="80"/>
      <c r="B73" s="66"/>
      <c r="C73" s="1162" t="s">
        <v>278</v>
      </c>
      <c r="D73" s="144">
        <v>614700</v>
      </c>
      <c r="E73" s="589"/>
      <c r="F73" s="589">
        <v>10000</v>
      </c>
      <c r="G73" s="144">
        <f t="shared" si="2"/>
        <v>624700</v>
      </c>
      <c r="H73" s="138"/>
      <c r="I73" s="138"/>
      <c r="K73" s="94"/>
    </row>
    <row r="74" spans="1:11" s="95" customFormat="1" ht="18.75" customHeight="1">
      <c r="A74" s="80"/>
      <c r="B74" s="66"/>
      <c r="C74" s="1301" t="s">
        <v>599</v>
      </c>
      <c r="D74" s="1288">
        <v>115800</v>
      </c>
      <c r="E74" s="1297"/>
      <c r="F74" s="1297">
        <v>6000</v>
      </c>
      <c r="G74" s="1288">
        <f t="shared" si="2"/>
        <v>121800</v>
      </c>
      <c r="H74" s="138"/>
      <c r="I74" s="138"/>
      <c r="K74" s="94"/>
    </row>
    <row r="75" spans="1:11" s="130" customFormat="1" ht="17.25" customHeight="1">
      <c r="A75" s="76"/>
      <c r="B75" s="77">
        <v>80123</v>
      </c>
      <c r="C75" s="77" t="s">
        <v>177</v>
      </c>
      <c r="D75" s="137">
        <v>8713500</v>
      </c>
      <c r="E75" s="137"/>
      <c r="F75" s="137">
        <f>F76</f>
        <v>43000</v>
      </c>
      <c r="G75" s="137">
        <f t="shared" si="2"/>
        <v>8756500</v>
      </c>
      <c r="H75" s="138"/>
      <c r="I75" s="138"/>
      <c r="K75" s="138"/>
    </row>
    <row r="76" spans="1:11" s="95" customFormat="1" ht="18.75" customHeight="1">
      <c r="A76" s="80"/>
      <c r="B76" s="66"/>
      <c r="C76" s="1162" t="s">
        <v>574</v>
      </c>
      <c r="D76" s="144">
        <v>658400</v>
      </c>
      <c r="E76" s="589"/>
      <c r="F76" s="589">
        <v>43000</v>
      </c>
      <c r="G76" s="144">
        <f t="shared" si="2"/>
        <v>701400</v>
      </c>
      <c r="H76" s="138"/>
      <c r="I76" s="138"/>
      <c r="K76" s="94"/>
    </row>
    <row r="77" spans="1:11" s="581" customFormat="1" ht="18.75" customHeight="1">
      <c r="A77" s="205"/>
      <c r="B77" s="169"/>
      <c r="C77" s="842" t="s">
        <v>485</v>
      </c>
      <c r="D77" s="154"/>
      <c r="E77" s="671"/>
      <c r="F77" s="671">
        <v>30000</v>
      </c>
      <c r="G77" s="154">
        <f>D77+F77-E77</f>
        <v>30000</v>
      </c>
      <c r="H77" s="155"/>
      <c r="I77" s="155"/>
      <c r="K77" s="582"/>
    </row>
    <row r="78" spans="1:11" s="95" customFormat="1" ht="18" customHeight="1">
      <c r="A78" s="76"/>
      <c r="B78" s="77">
        <v>80130</v>
      </c>
      <c r="C78" s="77" t="s">
        <v>600</v>
      </c>
      <c r="D78" s="137">
        <v>49395317</v>
      </c>
      <c r="E78" s="79">
        <f>E79+E80+E82</f>
        <v>12000</v>
      </c>
      <c r="F78" s="79">
        <f>F79+F80+F82</f>
        <v>354000</v>
      </c>
      <c r="G78" s="79">
        <f t="shared" si="2"/>
        <v>49737317</v>
      </c>
      <c r="H78" s="138"/>
      <c r="I78" s="138"/>
      <c r="K78" s="94"/>
    </row>
    <row r="79" spans="1:11" s="95" customFormat="1" ht="18.75" customHeight="1">
      <c r="A79" s="80"/>
      <c r="B79" s="66"/>
      <c r="C79" s="1162" t="s">
        <v>278</v>
      </c>
      <c r="D79" s="144">
        <v>24907700</v>
      </c>
      <c r="E79" s="589">
        <v>12000</v>
      </c>
      <c r="F79" s="589"/>
      <c r="G79" s="144">
        <f t="shared" si="2"/>
        <v>24895700</v>
      </c>
      <c r="H79" s="138"/>
      <c r="I79" s="138"/>
      <c r="K79" s="94"/>
    </row>
    <row r="80" spans="1:11" s="95" customFormat="1" ht="19.5" customHeight="1">
      <c r="A80" s="80"/>
      <c r="B80" s="66"/>
      <c r="C80" s="1299" t="s">
        <v>574</v>
      </c>
      <c r="D80" s="1300">
        <v>5249547</v>
      </c>
      <c r="E80" s="573"/>
      <c r="F80" s="573">
        <v>54000</v>
      </c>
      <c r="G80" s="573">
        <f t="shared" si="2"/>
        <v>5303547</v>
      </c>
      <c r="H80" s="138"/>
      <c r="I80" s="138"/>
      <c r="K80" s="94"/>
    </row>
    <row r="81" spans="1:11" s="156" customFormat="1" ht="21" customHeight="1">
      <c r="A81" s="205"/>
      <c r="B81" s="169"/>
      <c r="C81" s="1045" t="s">
        <v>485</v>
      </c>
      <c r="D81" s="467">
        <v>642741</v>
      </c>
      <c r="E81" s="467"/>
      <c r="F81" s="467">
        <v>42000</v>
      </c>
      <c r="G81" s="467">
        <f t="shared" si="2"/>
        <v>684741</v>
      </c>
      <c r="H81" s="155"/>
      <c r="I81" s="155"/>
      <c r="K81" s="155"/>
    </row>
    <row r="82" spans="1:11" s="130" customFormat="1" ht="21" customHeight="1">
      <c r="A82" s="80"/>
      <c r="B82" s="66"/>
      <c r="C82" s="592" t="s">
        <v>763</v>
      </c>
      <c r="D82" s="943">
        <v>9483590</v>
      </c>
      <c r="E82" s="943"/>
      <c r="F82" s="943">
        <v>300000</v>
      </c>
      <c r="G82" s="943">
        <f t="shared" si="2"/>
        <v>9783590</v>
      </c>
      <c r="H82" s="138"/>
      <c r="I82" s="138"/>
      <c r="K82" s="138"/>
    </row>
    <row r="83" spans="1:11" s="95" customFormat="1" ht="18.75" customHeight="1">
      <c r="A83" s="76"/>
      <c r="B83" s="77">
        <v>80134</v>
      </c>
      <c r="C83" s="77" t="s">
        <v>180</v>
      </c>
      <c r="D83" s="137">
        <v>5146038</v>
      </c>
      <c r="E83" s="79">
        <f>E84+E85+E86</f>
        <v>10000</v>
      </c>
      <c r="F83" s="79">
        <f>F84+F85+F86</f>
        <v>17000</v>
      </c>
      <c r="G83" s="79">
        <f t="shared" si="2"/>
        <v>5153038</v>
      </c>
      <c r="H83" s="138"/>
      <c r="I83" s="138"/>
      <c r="K83" s="94"/>
    </row>
    <row r="84" spans="1:11" s="95" customFormat="1" ht="18.75" customHeight="1">
      <c r="A84" s="80"/>
      <c r="B84" s="66"/>
      <c r="C84" s="1162" t="s">
        <v>278</v>
      </c>
      <c r="D84" s="144">
        <v>3896200</v>
      </c>
      <c r="E84" s="589">
        <v>10000</v>
      </c>
      <c r="F84" s="589"/>
      <c r="G84" s="144">
        <f t="shared" si="2"/>
        <v>3886200</v>
      </c>
      <c r="H84" s="138"/>
      <c r="I84" s="138"/>
      <c r="K84" s="94"/>
    </row>
    <row r="85" spans="1:11" s="95" customFormat="1" ht="19.5" customHeight="1">
      <c r="A85" s="80"/>
      <c r="B85" s="66"/>
      <c r="C85" s="1299" t="s">
        <v>574</v>
      </c>
      <c r="D85" s="1300">
        <v>513638</v>
      </c>
      <c r="E85" s="573"/>
      <c r="F85" s="573">
        <v>10000</v>
      </c>
      <c r="G85" s="573">
        <f t="shared" si="2"/>
        <v>523638</v>
      </c>
      <c r="H85" s="138"/>
      <c r="I85" s="138"/>
      <c r="K85" s="94"/>
    </row>
    <row r="86" spans="1:11" s="95" customFormat="1" ht="19.5" customHeight="1">
      <c r="A86" s="80"/>
      <c r="B86" s="69"/>
      <c r="C86" s="191" t="s">
        <v>599</v>
      </c>
      <c r="D86" s="1293">
        <v>736200</v>
      </c>
      <c r="E86" s="1298"/>
      <c r="F86" s="1298">
        <v>7000</v>
      </c>
      <c r="G86" s="1298">
        <f t="shared" si="2"/>
        <v>743200</v>
      </c>
      <c r="H86" s="138"/>
      <c r="I86" s="138"/>
      <c r="K86" s="94"/>
    </row>
    <row r="87" spans="1:11" s="95" customFormat="1" ht="18.75" customHeight="1">
      <c r="A87" s="76"/>
      <c r="B87" s="78">
        <v>80146</v>
      </c>
      <c r="C87" s="78" t="s">
        <v>68</v>
      </c>
      <c r="D87" s="583">
        <v>1630000</v>
      </c>
      <c r="E87" s="543"/>
      <c r="F87" s="543"/>
      <c r="G87" s="543">
        <f t="shared" si="2"/>
        <v>1630000</v>
      </c>
      <c r="H87" s="138"/>
      <c r="I87" s="138"/>
      <c r="K87" s="94"/>
    </row>
    <row r="88" spans="1:11" s="95" customFormat="1" ht="18.75" customHeight="1">
      <c r="A88" s="80"/>
      <c r="B88" s="474"/>
      <c r="C88" s="1162" t="s">
        <v>132</v>
      </c>
      <c r="D88" s="144">
        <v>1630000</v>
      </c>
      <c r="E88" s="589"/>
      <c r="F88" s="589"/>
      <c r="G88" s="589">
        <f t="shared" si="2"/>
        <v>1630000</v>
      </c>
      <c r="H88" s="138"/>
      <c r="I88" s="138"/>
      <c r="K88" s="94"/>
    </row>
    <row r="89" spans="1:11" s="585" customFormat="1" ht="18.75" customHeight="1">
      <c r="A89" s="561"/>
      <c r="B89" s="82"/>
      <c r="C89" s="590" t="s">
        <v>486</v>
      </c>
      <c r="D89" s="145">
        <v>667047</v>
      </c>
      <c r="E89" s="591">
        <v>900</v>
      </c>
      <c r="F89" s="591"/>
      <c r="G89" s="591">
        <f t="shared" si="2"/>
        <v>666147</v>
      </c>
      <c r="H89" s="157"/>
      <c r="I89" s="157"/>
      <c r="K89" s="586"/>
    </row>
    <row r="90" spans="1:11" s="95" customFormat="1" ht="18.75" customHeight="1">
      <c r="A90" s="76"/>
      <c r="B90" s="78">
        <v>80195</v>
      </c>
      <c r="C90" s="78" t="s">
        <v>553</v>
      </c>
      <c r="D90" s="583">
        <v>2916561</v>
      </c>
      <c r="E90" s="543">
        <f>E91+E92</f>
        <v>199100</v>
      </c>
      <c r="F90" s="543"/>
      <c r="G90" s="543">
        <f t="shared" si="2"/>
        <v>2717461</v>
      </c>
      <c r="H90" s="138"/>
      <c r="I90" s="138"/>
      <c r="K90" s="94"/>
    </row>
    <row r="91" spans="1:11" s="95" customFormat="1" ht="26.25" customHeight="1">
      <c r="A91" s="80"/>
      <c r="B91" s="474"/>
      <c r="C91" s="631" t="s">
        <v>730</v>
      </c>
      <c r="D91" s="144">
        <v>2567500</v>
      </c>
      <c r="E91" s="589">
        <v>76099</v>
      </c>
      <c r="F91" s="589"/>
      <c r="G91" s="589">
        <f t="shared" si="2"/>
        <v>2491401</v>
      </c>
      <c r="H91" s="138"/>
      <c r="I91" s="138"/>
      <c r="K91" s="94"/>
    </row>
    <row r="92" spans="1:11" s="95" customFormat="1" ht="18.75" customHeight="1">
      <c r="A92" s="1027"/>
      <c r="B92" s="69"/>
      <c r="C92" s="1296" t="s">
        <v>763</v>
      </c>
      <c r="D92" s="1288">
        <v>280000</v>
      </c>
      <c r="E92" s="1297">
        <v>123001</v>
      </c>
      <c r="F92" s="1297"/>
      <c r="G92" s="1297">
        <f t="shared" si="2"/>
        <v>156999</v>
      </c>
      <c r="H92" s="138"/>
      <c r="I92" s="138"/>
      <c r="K92" s="94"/>
    </row>
    <row r="93" spans="1:11" ht="21" customHeight="1">
      <c r="A93" s="439">
        <v>851</v>
      </c>
      <c r="B93" s="73"/>
      <c r="C93" s="92" t="s">
        <v>557</v>
      </c>
      <c r="D93" s="74">
        <v>6235000</v>
      </c>
      <c r="E93" s="75"/>
      <c r="F93" s="75"/>
      <c r="G93" s="75">
        <f t="shared" si="2"/>
        <v>6235000</v>
      </c>
      <c r="H93" s="47">
        <f>F93-E93</f>
        <v>0</v>
      </c>
      <c r="I93" s="47"/>
      <c r="K93" s="47"/>
    </row>
    <row r="94" spans="1:11" s="130" customFormat="1" ht="21" customHeight="1">
      <c r="A94" s="76"/>
      <c r="B94" s="77">
        <v>85121</v>
      </c>
      <c r="C94" s="77" t="s">
        <v>335</v>
      </c>
      <c r="D94" s="137">
        <v>1003500</v>
      </c>
      <c r="E94" s="137"/>
      <c r="F94" s="137"/>
      <c r="G94" s="137">
        <f t="shared" si="2"/>
        <v>1003500</v>
      </c>
      <c r="H94" s="138"/>
      <c r="I94" s="138"/>
      <c r="K94" s="138"/>
    </row>
    <row r="95" spans="1:11" s="130" customFormat="1" ht="21" customHeight="1">
      <c r="A95" s="80"/>
      <c r="B95" s="474"/>
      <c r="C95" s="862" t="s">
        <v>336</v>
      </c>
      <c r="D95" s="144">
        <v>783500</v>
      </c>
      <c r="E95" s="144"/>
      <c r="F95" s="144"/>
      <c r="G95" s="144">
        <f t="shared" si="2"/>
        <v>783500</v>
      </c>
      <c r="H95" s="138"/>
      <c r="I95" s="138"/>
      <c r="K95" s="138"/>
    </row>
    <row r="96" spans="1:11" s="158" customFormat="1" ht="21" customHeight="1">
      <c r="A96" s="204"/>
      <c r="B96" s="82"/>
      <c r="C96" s="468" t="s">
        <v>486</v>
      </c>
      <c r="D96" s="145"/>
      <c r="E96" s="145"/>
      <c r="F96" s="145">
        <v>10000</v>
      </c>
      <c r="G96" s="145">
        <f t="shared" si="2"/>
        <v>10000</v>
      </c>
      <c r="H96" s="157"/>
      <c r="I96" s="157"/>
      <c r="K96" s="157"/>
    </row>
    <row r="97" spans="1:11" s="130" customFormat="1" ht="21" customHeight="1">
      <c r="A97" s="76"/>
      <c r="B97" s="78">
        <v>85154</v>
      </c>
      <c r="C97" s="78" t="s">
        <v>580</v>
      </c>
      <c r="D97" s="137">
        <v>4345000</v>
      </c>
      <c r="E97" s="137"/>
      <c r="F97" s="137"/>
      <c r="G97" s="137">
        <f t="shared" si="2"/>
        <v>4345000</v>
      </c>
      <c r="H97" s="138"/>
      <c r="I97" s="138"/>
      <c r="K97" s="138"/>
    </row>
    <row r="98" spans="1:11" s="130" customFormat="1" ht="29.25" customHeight="1">
      <c r="A98" s="80"/>
      <c r="B98" s="474"/>
      <c r="C98" s="631" t="s">
        <v>487</v>
      </c>
      <c r="D98" s="632">
        <v>4345000</v>
      </c>
      <c r="E98" s="632"/>
      <c r="F98" s="632"/>
      <c r="G98" s="632">
        <f t="shared" si="2"/>
        <v>4345000</v>
      </c>
      <c r="H98" s="138"/>
      <c r="I98" s="138"/>
      <c r="K98" s="138"/>
    </row>
    <row r="99" spans="1:11" s="130" customFormat="1" ht="21" customHeight="1">
      <c r="A99" s="205"/>
      <c r="B99" s="169"/>
      <c r="C99" s="832" t="s">
        <v>486</v>
      </c>
      <c r="D99" s="865">
        <v>866935</v>
      </c>
      <c r="E99" s="865">
        <f>1700+1459</f>
        <v>3159</v>
      </c>
      <c r="F99" s="865"/>
      <c r="G99" s="604">
        <f t="shared" si="2"/>
        <v>863776</v>
      </c>
      <c r="H99" s="138"/>
      <c r="I99" s="138"/>
      <c r="K99" s="138"/>
    </row>
    <row r="100" spans="1:11" s="130" customFormat="1" ht="18.75" customHeight="1">
      <c r="A100" s="76"/>
      <c r="B100" s="78"/>
      <c r="C100" s="83" t="s">
        <v>137</v>
      </c>
      <c r="D100" s="84">
        <v>772500</v>
      </c>
      <c r="E100" s="84"/>
      <c r="F100" s="84">
        <v>54300</v>
      </c>
      <c r="G100" s="84">
        <f t="shared" si="2"/>
        <v>826800</v>
      </c>
      <c r="H100" s="138"/>
      <c r="I100" s="138"/>
      <c r="K100" s="138"/>
    </row>
    <row r="101" spans="1:11" s="130" customFormat="1" ht="21" customHeight="1">
      <c r="A101" s="76"/>
      <c r="B101" s="78">
        <v>85195</v>
      </c>
      <c r="C101" s="78" t="s">
        <v>553</v>
      </c>
      <c r="D101" s="583">
        <v>420000</v>
      </c>
      <c r="E101" s="583"/>
      <c r="F101" s="583"/>
      <c r="G101" s="583">
        <f t="shared" si="2"/>
        <v>420000</v>
      </c>
      <c r="H101" s="138"/>
      <c r="I101" s="138"/>
      <c r="K101" s="138"/>
    </row>
    <row r="102" spans="1:11" s="130" customFormat="1" ht="29.25" customHeight="1">
      <c r="A102" s="80"/>
      <c r="B102" s="474"/>
      <c r="C102" s="551" t="s">
        <v>488</v>
      </c>
      <c r="D102" s="552">
        <v>400000</v>
      </c>
      <c r="E102" s="552"/>
      <c r="F102" s="552"/>
      <c r="G102" s="552">
        <f t="shared" si="2"/>
        <v>400000</v>
      </c>
      <c r="H102" s="138"/>
      <c r="I102" s="138"/>
      <c r="K102" s="138"/>
    </row>
    <row r="103" spans="1:11" s="158" customFormat="1" ht="21" customHeight="1">
      <c r="A103" s="561"/>
      <c r="B103" s="82"/>
      <c r="C103" s="555" t="s">
        <v>486</v>
      </c>
      <c r="D103" s="152">
        <v>22831</v>
      </c>
      <c r="E103" s="152"/>
      <c r="F103" s="152">
        <v>3168</v>
      </c>
      <c r="G103" s="152">
        <f t="shared" si="2"/>
        <v>25999</v>
      </c>
      <c r="H103" s="157"/>
      <c r="I103" s="157"/>
      <c r="K103" s="157"/>
    </row>
    <row r="104" spans="1:11" ht="21" customHeight="1">
      <c r="A104" s="439">
        <v>852</v>
      </c>
      <c r="B104" s="73"/>
      <c r="C104" s="92" t="s">
        <v>555</v>
      </c>
      <c r="D104" s="74">
        <v>98197293</v>
      </c>
      <c r="E104" s="75">
        <f>E105+E110+E112+E122+E115+E117+E126</f>
        <v>1062605</v>
      </c>
      <c r="F104" s="75">
        <f>F105+F110+F112+F122+F115+F117+F126</f>
        <v>2554337</v>
      </c>
      <c r="G104" s="75">
        <f aca="true" t="shared" si="3" ref="G104:G134">D104+F104-E104</f>
        <v>99689025</v>
      </c>
      <c r="H104" s="47">
        <f>F104-E104</f>
        <v>1491732</v>
      </c>
      <c r="I104" s="47"/>
      <c r="K104" s="47"/>
    </row>
    <row r="105" spans="1:11" s="130" customFormat="1" ht="21" customHeight="1">
      <c r="A105" s="76"/>
      <c r="B105" s="77">
        <v>85201</v>
      </c>
      <c r="C105" s="324" t="s">
        <v>190</v>
      </c>
      <c r="D105" s="137">
        <v>11293282</v>
      </c>
      <c r="E105" s="137">
        <f>E106+E107+E109</f>
        <v>61001</v>
      </c>
      <c r="F105" s="137">
        <f>F106+F107+F109</f>
        <v>977223</v>
      </c>
      <c r="G105" s="137">
        <f t="shared" si="3"/>
        <v>12209504</v>
      </c>
      <c r="H105" s="138"/>
      <c r="I105" s="138"/>
      <c r="K105" s="138"/>
    </row>
    <row r="106" spans="1:11" s="130" customFormat="1" ht="21" customHeight="1">
      <c r="A106" s="206"/>
      <c r="B106" s="215"/>
      <c r="C106" s="968" t="s">
        <v>765</v>
      </c>
      <c r="D106" s="268">
        <v>3505700</v>
      </c>
      <c r="E106" s="268">
        <f>4500-2665</f>
        <v>1835</v>
      </c>
      <c r="F106" s="268"/>
      <c r="G106" s="268">
        <f t="shared" si="3"/>
        <v>3503865</v>
      </c>
      <c r="H106" s="138"/>
      <c r="I106" s="138"/>
      <c r="K106" s="138"/>
    </row>
    <row r="107" spans="1:11" s="130" customFormat="1" ht="21" customHeight="1">
      <c r="A107" s="206"/>
      <c r="B107" s="215"/>
      <c r="C107" s="1420" t="s">
        <v>574</v>
      </c>
      <c r="D107" s="1300">
        <v>1750582</v>
      </c>
      <c r="E107" s="1300">
        <v>59166</v>
      </c>
      <c r="F107" s="1300"/>
      <c r="G107" s="1300">
        <f t="shared" si="3"/>
        <v>1691416</v>
      </c>
      <c r="H107" s="138"/>
      <c r="I107" s="138"/>
      <c r="K107" s="138"/>
    </row>
    <row r="108" spans="1:11" s="156" customFormat="1" ht="21" customHeight="1">
      <c r="A108" s="205"/>
      <c r="B108" s="169"/>
      <c r="C108" s="1045" t="s">
        <v>485</v>
      </c>
      <c r="D108" s="467">
        <v>75000</v>
      </c>
      <c r="E108" s="467">
        <v>56001</v>
      </c>
      <c r="F108" s="467"/>
      <c r="G108" s="467">
        <f t="shared" si="3"/>
        <v>18999</v>
      </c>
      <c r="H108" s="155"/>
      <c r="I108" s="155"/>
      <c r="K108" s="155"/>
    </row>
    <row r="109" spans="1:11" s="130" customFormat="1" ht="21" customHeight="1">
      <c r="A109" s="206"/>
      <c r="B109" s="215"/>
      <c r="C109" s="968" t="s">
        <v>763</v>
      </c>
      <c r="D109" s="268">
        <v>1240000</v>
      </c>
      <c r="E109" s="268"/>
      <c r="F109" s="268">
        <v>977223</v>
      </c>
      <c r="G109" s="268">
        <f t="shared" si="3"/>
        <v>2217223</v>
      </c>
      <c r="H109" s="138"/>
      <c r="I109" s="138"/>
      <c r="K109" s="138"/>
    </row>
    <row r="110" spans="1:11" s="130" customFormat="1" ht="21" customHeight="1">
      <c r="A110" s="76"/>
      <c r="B110" s="77">
        <v>85202</v>
      </c>
      <c r="C110" s="324" t="s">
        <v>82</v>
      </c>
      <c r="D110" s="137">
        <v>18961401</v>
      </c>
      <c r="E110" s="137"/>
      <c r="F110" s="137">
        <f>F111</f>
        <v>655950</v>
      </c>
      <c r="G110" s="137">
        <f t="shared" si="3"/>
        <v>19617351</v>
      </c>
      <c r="H110" s="138"/>
      <c r="I110" s="138"/>
      <c r="K110" s="138"/>
    </row>
    <row r="111" spans="1:11" s="130" customFormat="1" ht="21" customHeight="1">
      <c r="A111" s="206"/>
      <c r="B111" s="215"/>
      <c r="C111" s="474" t="s">
        <v>763</v>
      </c>
      <c r="D111" s="144">
        <v>3570053</v>
      </c>
      <c r="E111" s="144"/>
      <c r="F111" s="144">
        <v>655950</v>
      </c>
      <c r="G111" s="144">
        <f t="shared" si="3"/>
        <v>4226003</v>
      </c>
      <c r="H111" s="138"/>
      <c r="I111" s="138"/>
      <c r="K111" s="138"/>
    </row>
    <row r="112" spans="1:11" s="130" customFormat="1" ht="21" customHeight="1">
      <c r="A112" s="76"/>
      <c r="B112" s="77">
        <v>85204</v>
      </c>
      <c r="C112" s="324" t="s">
        <v>440</v>
      </c>
      <c r="D112" s="137">
        <v>5800000</v>
      </c>
      <c r="E112" s="137"/>
      <c r="F112" s="137">
        <f>F114+F113</f>
        <v>135500</v>
      </c>
      <c r="G112" s="137">
        <f t="shared" si="3"/>
        <v>5935500</v>
      </c>
      <c r="H112" s="138"/>
      <c r="I112" s="138"/>
      <c r="K112" s="138"/>
    </row>
    <row r="113" spans="1:11" s="130" customFormat="1" ht="18.75" customHeight="1">
      <c r="A113" s="206"/>
      <c r="B113" s="207"/>
      <c r="C113" s="1280" t="s">
        <v>469</v>
      </c>
      <c r="D113" s="144">
        <v>5400000</v>
      </c>
      <c r="E113" s="144"/>
      <c r="F113" s="144">
        <v>129000</v>
      </c>
      <c r="G113" s="144">
        <f t="shared" si="3"/>
        <v>5529000</v>
      </c>
      <c r="H113" s="138"/>
      <c r="I113" s="138"/>
      <c r="K113" s="138"/>
    </row>
    <row r="114" spans="1:11" s="130" customFormat="1" ht="25.5">
      <c r="A114" s="206"/>
      <c r="B114" s="215"/>
      <c r="C114" s="1296" t="s">
        <v>441</v>
      </c>
      <c r="D114" s="1288">
        <v>400000</v>
      </c>
      <c r="E114" s="1288"/>
      <c r="F114" s="1288">
        <v>6500</v>
      </c>
      <c r="G114" s="1288">
        <f t="shared" si="3"/>
        <v>406500</v>
      </c>
      <c r="H114" s="138"/>
      <c r="I114" s="138"/>
      <c r="K114" s="138"/>
    </row>
    <row r="115" spans="1:11" s="130" customFormat="1" ht="25.5">
      <c r="A115" s="76"/>
      <c r="B115" s="77">
        <v>85214</v>
      </c>
      <c r="C115" s="1172" t="s">
        <v>699</v>
      </c>
      <c r="D115" s="137">
        <v>9314344</v>
      </c>
      <c r="E115" s="137"/>
      <c r="F115" s="137">
        <f>F116</f>
        <v>500000</v>
      </c>
      <c r="G115" s="137">
        <f t="shared" si="3"/>
        <v>9814344</v>
      </c>
      <c r="H115" s="138"/>
      <c r="I115" s="138"/>
      <c r="K115" s="138"/>
    </row>
    <row r="116" spans="1:11" s="130" customFormat="1" ht="20.25" customHeight="1">
      <c r="A116" s="1338"/>
      <c r="B116" s="1344"/>
      <c r="C116" s="635" t="s">
        <v>469</v>
      </c>
      <c r="D116" s="1286">
        <v>9314344</v>
      </c>
      <c r="E116" s="1286"/>
      <c r="F116" s="1286">
        <v>500000</v>
      </c>
      <c r="G116" s="1286">
        <f t="shared" si="3"/>
        <v>9814344</v>
      </c>
      <c r="H116" s="138"/>
      <c r="I116" s="138"/>
      <c r="K116" s="138"/>
    </row>
    <row r="117" spans="1:11" s="130" customFormat="1" ht="21" customHeight="1">
      <c r="A117" s="76"/>
      <c r="B117" s="78">
        <v>85219</v>
      </c>
      <c r="C117" s="1421" t="s">
        <v>133</v>
      </c>
      <c r="D117" s="583">
        <v>13189201</v>
      </c>
      <c r="E117" s="583"/>
      <c r="F117" s="583">
        <f>F118+F119+F121</f>
        <v>285664</v>
      </c>
      <c r="G117" s="583">
        <f t="shared" si="3"/>
        <v>13474865</v>
      </c>
      <c r="H117" s="138"/>
      <c r="I117" s="138"/>
      <c r="K117" s="138"/>
    </row>
    <row r="118" spans="1:11" s="130" customFormat="1" ht="18" customHeight="1">
      <c r="A118" s="206"/>
      <c r="B118" s="207"/>
      <c r="C118" s="1280" t="s">
        <v>278</v>
      </c>
      <c r="D118" s="144">
        <v>9177634</v>
      </c>
      <c r="E118" s="144"/>
      <c r="F118" s="144">
        <v>174276</v>
      </c>
      <c r="G118" s="144">
        <f t="shared" si="3"/>
        <v>9351910</v>
      </c>
      <c r="H118" s="138"/>
      <c r="I118" s="138"/>
      <c r="K118" s="138"/>
    </row>
    <row r="119" spans="1:11" s="130" customFormat="1" ht="17.25" customHeight="1">
      <c r="A119" s="206"/>
      <c r="B119" s="215"/>
      <c r="C119" s="1294" t="s">
        <v>574</v>
      </c>
      <c r="D119" s="1295">
        <v>1535901</v>
      </c>
      <c r="E119" s="1295"/>
      <c r="F119" s="1295">
        <f>116343-35000</f>
        <v>81343</v>
      </c>
      <c r="G119" s="1295">
        <f t="shared" si="3"/>
        <v>1617244</v>
      </c>
      <c r="H119" s="138"/>
      <c r="I119" s="138"/>
      <c r="K119" s="138"/>
    </row>
    <row r="120" spans="1:11" s="156" customFormat="1" ht="16.5" customHeight="1">
      <c r="A120" s="205"/>
      <c r="B120" s="169"/>
      <c r="C120" s="1069" t="s">
        <v>485</v>
      </c>
      <c r="D120" s="467">
        <v>40000</v>
      </c>
      <c r="E120" s="467">
        <v>35000</v>
      </c>
      <c r="F120" s="467"/>
      <c r="G120" s="467">
        <f t="shared" si="3"/>
        <v>5000</v>
      </c>
      <c r="H120" s="155"/>
      <c r="I120" s="155"/>
      <c r="K120" s="155"/>
    </row>
    <row r="121" spans="1:11" s="130" customFormat="1" ht="18" customHeight="1">
      <c r="A121" s="206"/>
      <c r="B121" s="1282"/>
      <c r="C121" s="1292" t="s">
        <v>599</v>
      </c>
      <c r="D121" s="1293">
        <v>1782483</v>
      </c>
      <c r="E121" s="1293"/>
      <c r="F121" s="1293">
        <v>30045</v>
      </c>
      <c r="G121" s="1293">
        <f t="shared" si="3"/>
        <v>1812528</v>
      </c>
      <c r="H121" s="138"/>
      <c r="I121" s="138"/>
      <c r="K121" s="138"/>
    </row>
    <row r="122" spans="1:11" s="130" customFormat="1" ht="24.75" customHeight="1">
      <c r="A122" s="76"/>
      <c r="B122" s="78">
        <v>85220</v>
      </c>
      <c r="C122" s="975" t="s">
        <v>725</v>
      </c>
      <c r="D122" s="583">
        <v>789000</v>
      </c>
      <c r="E122" s="583">
        <f>E123</f>
        <v>86940</v>
      </c>
      <c r="F122" s="583"/>
      <c r="G122" s="583">
        <f t="shared" si="3"/>
        <v>702060</v>
      </c>
      <c r="H122" s="138"/>
      <c r="I122" s="138"/>
      <c r="K122" s="138"/>
    </row>
    <row r="123" spans="1:11" s="230" customFormat="1" ht="15.75" customHeight="1">
      <c r="A123" s="206"/>
      <c r="B123" s="207"/>
      <c r="C123" s="207" t="s">
        <v>489</v>
      </c>
      <c r="D123" s="424">
        <v>379000</v>
      </c>
      <c r="E123" s="424">
        <f>E124</f>
        <v>86940</v>
      </c>
      <c r="F123" s="424"/>
      <c r="G123" s="424">
        <f t="shared" si="3"/>
        <v>292060</v>
      </c>
      <c r="H123" s="210"/>
      <c r="I123" s="210"/>
      <c r="K123" s="210"/>
    </row>
    <row r="124" spans="1:11" s="230" customFormat="1" ht="18" customHeight="1">
      <c r="A124" s="206"/>
      <c r="B124" s="215"/>
      <c r="C124" s="982" t="s">
        <v>574</v>
      </c>
      <c r="D124" s="983">
        <v>264000</v>
      </c>
      <c r="E124" s="983">
        <v>86940</v>
      </c>
      <c r="F124" s="983"/>
      <c r="G124" s="983">
        <f t="shared" si="3"/>
        <v>177060</v>
      </c>
      <c r="H124" s="210"/>
      <c r="I124" s="210"/>
      <c r="K124" s="210"/>
    </row>
    <row r="125" spans="1:11" s="156" customFormat="1" ht="18" customHeight="1">
      <c r="A125" s="205"/>
      <c r="B125" s="321"/>
      <c r="C125" s="984" t="s">
        <v>485</v>
      </c>
      <c r="D125" s="154">
        <v>95000</v>
      </c>
      <c r="E125" s="154">
        <v>50000</v>
      </c>
      <c r="F125" s="154"/>
      <c r="G125" s="154">
        <f t="shared" si="3"/>
        <v>45000</v>
      </c>
      <c r="H125" s="155"/>
      <c r="I125" s="155"/>
      <c r="K125" s="155"/>
    </row>
    <row r="126" spans="1:11" s="130" customFormat="1" ht="21" customHeight="1">
      <c r="A126" s="76"/>
      <c r="B126" s="77">
        <v>85228</v>
      </c>
      <c r="C126" s="1174" t="s">
        <v>142</v>
      </c>
      <c r="D126" s="137">
        <v>10000000</v>
      </c>
      <c r="E126" s="137">
        <f>E127</f>
        <v>914664</v>
      </c>
      <c r="F126" s="137"/>
      <c r="G126" s="137">
        <f t="shared" si="3"/>
        <v>9085336</v>
      </c>
      <c r="H126" s="138"/>
      <c r="I126" s="138"/>
      <c r="K126" s="138"/>
    </row>
    <row r="127" spans="1:11" s="130" customFormat="1" ht="18.75" customHeight="1">
      <c r="A127" s="206"/>
      <c r="B127" s="207"/>
      <c r="C127" s="1277" t="s">
        <v>471</v>
      </c>
      <c r="D127" s="1286">
        <v>10000000</v>
      </c>
      <c r="E127" s="1286">
        <v>914664</v>
      </c>
      <c r="F127" s="1286"/>
      <c r="G127" s="1286">
        <f t="shared" si="3"/>
        <v>9085336</v>
      </c>
      <c r="H127" s="138"/>
      <c r="I127" s="138"/>
      <c r="K127" s="138"/>
    </row>
    <row r="128" spans="1:11" ht="21" customHeight="1">
      <c r="A128" s="72">
        <v>853</v>
      </c>
      <c r="B128" s="89"/>
      <c r="C128" s="92" t="s">
        <v>598</v>
      </c>
      <c r="D128" s="74">
        <v>9892267</v>
      </c>
      <c r="E128" s="75">
        <f>E129+E132</f>
        <v>3300</v>
      </c>
      <c r="F128" s="75">
        <f>F129+F132</f>
        <v>51300</v>
      </c>
      <c r="G128" s="75">
        <f t="shared" si="3"/>
        <v>9940267</v>
      </c>
      <c r="H128" s="47"/>
      <c r="I128" s="47"/>
      <c r="K128" s="47"/>
    </row>
    <row r="129" spans="1:11" s="95" customFormat="1" ht="20.25" customHeight="1">
      <c r="A129" s="76"/>
      <c r="B129" s="77">
        <v>85305</v>
      </c>
      <c r="C129" s="78" t="s">
        <v>436</v>
      </c>
      <c r="D129" s="137">
        <v>5254800</v>
      </c>
      <c r="E129" s="79"/>
      <c r="F129" s="79">
        <f>F130+F131</f>
        <v>48000</v>
      </c>
      <c r="G129" s="79">
        <f t="shared" si="3"/>
        <v>5302800</v>
      </c>
      <c r="H129" s="138"/>
      <c r="I129" s="138"/>
      <c r="K129" s="94"/>
    </row>
    <row r="130" spans="1:11" s="579" customFormat="1" ht="18.75" customHeight="1">
      <c r="A130" s="206"/>
      <c r="B130" s="207"/>
      <c r="C130" s="992" t="s">
        <v>574</v>
      </c>
      <c r="D130" s="578">
        <v>704000</v>
      </c>
      <c r="E130" s="209"/>
      <c r="F130" s="209">
        <v>40000</v>
      </c>
      <c r="G130" s="209">
        <f t="shared" si="3"/>
        <v>744000</v>
      </c>
      <c r="H130" s="210"/>
      <c r="I130" s="210"/>
      <c r="K130" s="580"/>
    </row>
    <row r="131" spans="1:11" s="130" customFormat="1" ht="21" customHeight="1">
      <c r="A131" s="80"/>
      <c r="B131" s="66"/>
      <c r="C131" s="1285" t="s">
        <v>763</v>
      </c>
      <c r="D131" s="943">
        <v>300000</v>
      </c>
      <c r="E131" s="943"/>
      <c r="F131" s="943">
        <v>8000</v>
      </c>
      <c r="G131" s="943">
        <f t="shared" si="3"/>
        <v>308000</v>
      </c>
      <c r="H131" s="138"/>
      <c r="I131" s="138"/>
      <c r="K131" s="138"/>
    </row>
    <row r="132" spans="1:11" s="95" customFormat="1" ht="20.25" customHeight="1">
      <c r="A132" s="76"/>
      <c r="B132" s="77">
        <v>85333</v>
      </c>
      <c r="C132" s="78" t="s">
        <v>517</v>
      </c>
      <c r="D132" s="137">
        <v>4451467</v>
      </c>
      <c r="E132" s="79">
        <f>E133+E134</f>
        <v>3300</v>
      </c>
      <c r="F132" s="79">
        <f>F133+F134</f>
        <v>3300</v>
      </c>
      <c r="G132" s="79">
        <f t="shared" si="3"/>
        <v>4451467</v>
      </c>
      <c r="H132" s="138"/>
      <c r="I132" s="138"/>
      <c r="K132" s="94"/>
    </row>
    <row r="133" spans="1:11" s="579" customFormat="1" ht="18.75" customHeight="1">
      <c r="A133" s="206"/>
      <c r="B133" s="215"/>
      <c r="C133" s="207" t="s">
        <v>765</v>
      </c>
      <c r="D133" s="871">
        <v>2742100</v>
      </c>
      <c r="E133" s="835"/>
      <c r="F133" s="835">
        <v>3300</v>
      </c>
      <c r="G133" s="835">
        <f t="shared" si="3"/>
        <v>2745400</v>
      </c>
      <c r="H133" s="210"/>
      <c r="I133" s="210"/>
      <c r="K133" s="580"/>
    </row>
    <row r="134" spans="1:11" s="230" customFormat="1" ht="21" customHeight="1">
      <c r="A134" s="206"/>
      <c r="B134" s="215"/>
      <c r="C134" s="1287" t="s">
        <v>574</v>
      </c>
      <c r="D134" s="1290">
        <v>606900</v>
      </c>
      <c r="E134" s="1290">
        <v>3300</v>
      </c>
      <c r="F134" s="1290"/>
      <c r="G134" s="1290">
        <f t="shared" si="3"/>
        <v>603600</v>
      </c>
      <c r="H134" s="210"/>
      <c r="I134" s="210"/>
      <c r="K134" s="210"/>
    </row>
    <row r="135" spans="1:11" ht="20.25" customHeight="1">
      <c r="A135" s="72">
        <v>854</v>
      </c>
      <c r="B135" s="89"/>
      <c r="C135" s="92" t="s">
        <v>556</v>
      </c>
      <c r="D135" s="74">
        <v>43770070</v>
      </c>
      <c r="E135" s="75">
        <f>E136+E139+E142+E145+E148+E151</f>
        <v>37161</v>
      </c>
      <c r="F135" s="75">
        <f>F136+F139+F142+F145+F148+F151</f>
        <v>37161</v>
      </c>
      <c r="G135" s="75">
        <f aca="true" t="shared" si="4" ref="G135:G164">D135+F135-E135</f>
        <v>43770070</v>
      </c>
      <c r="H135" s="47"/>
      <c r="I135" s="47"/>
      <c r="K135" s="47"/>
    </row>
    <row r="136" spans="1:11" s="95" customFormat="1" ht="18.75" customHeight="1">
      <c r="A136" s="76"/>
      <c r="B136" s="77">
        <v>85401</v>
      </c>
      <c r="C136" s="78" t="s">
        <v>182</v>
      </c>
      <c r="D136" s="137">
        <v>7300000</v>
      </c>
      <c r="E136" s="79">
        <f>E137+E138</f>
        <v>2000</v>
      </c>
      <c r="F136" s="79">
        <f>F137+F138</f>
        <v>2000</v>
      </c>
      <c r="G136" s="79">
        <f t="shared" si="4"/>
        <v>7300000</v>
      </c>
      <c r="H136" s="138"/>
      <c r="I136" s="138"/>
      <c r="K136" s="94"/>
    </row>
    <row r="137" spans="1:11" s="95" customFormat="1" ht="15.75" customHeight="1">
      <c r="A137" s="80"/>
      <c r="B137" s="66"/>
      <c r="C137" s="558" t="s">
        <v>574</v>
      </c>
      <c r="D137" s="144">
        <v>442200</v>
      </c>
      <c r="E137" s="589"/>
      <c r="F137" s="589">
        <v>2000</v>
      </c>
      <c r="G137" s="589">
        <f t="shared" si="4"/>
        <v>444200</v>
      </c>
      <c r="H137" s="138"/>
      <c r="I137" s="138"/>
      <c r="K137" s="94"/>
    </row>
    <row r="138" spans="1:11" s="579" customFormat="1" ht="17.25" customHeight="1">
      <c r="A138" s="206"/>
      <c r="B138" s="215"/>
      <c r="C138" s="1289" t="s">
        <v>599</v>
      </c>
      <c r="D138" s="1290">
        <v>1124900</v>
      </c>
      <c r="E138" s="1291">
        <v>2000</v>
      </c>
      <c r="F138" s="1291"/>
      <c r="G138" s="1291">
        <f t="shared" si="4"/>
        <v>1122900</v>
      </c>
      <c r="H138" s="210"/>
      <c r="I138" s="210"/>
      <c r="K138" s="580"/>
    </row>
    <row r="139" spans="1:11" s="95" customFormat="1" ht="18.75" customHeight="1">
      <c r="A139" s="76"/>
      <c r="B139" s="77">
        <v>85403</v>
      </c>
      <c r="C139" s="78" t="s">
        <v>171</v>
      </c>
      <c r="D139" s="583">
        <v>10798176</v>
      </c>
      <c r="E139" s="543"/>
      <c r="F139" s="543">
        <f>F140</f>
        <v>31130</v>
      </c>
      <c r="G139" s="543">
        <f t="shared" si="4"/>
        <v>10829306</v>
      </c>
      <c r="H139" s="138"/>
      <c r="I139" s="138"/>
      <c r="K139" s="94"/>
    </row>
    <row r="140" spans="1:11" s="95" customFormat="1" ht="18.75" customHeight="1">
      <c r="A140" s="80"/>
      <c r="B140" s="66"/>
      <c r="C140" s="558" t="s">
        <v>574</v>
      </c>
      <c r="D140" s="143">
        <v>1322134</v>
      </c>
      <c r="E140" s="584"/>
      <c r="F140" s="584">
        <v>31130</v>
      </c>
      <c r="G140" s="584">
        <f t="shared" si="4"/>
        <v>1353264</v>
      </c>
      <c r="H140" s="138"/>
      <c r="I140" s="138"/>
      <c r="K140" s="94"/>
    </row>
    <row r="141" spans="1:11" s="581" customFormat="1" ht="18.75" customHeight="1">
      <c r="A141" s="205"/>
      <c r="B141" s="169"/>
      <c r="C141" s="322" t="s">
        <v>485</v>
      </c>
      <c r="D141" s="426">
        <v>194943</v>
      </c>
      <c r="E141" s="323"/>
      <c r="F141" s="323">
        <v>31130</v>
      </c>
      <c r="G141" s="323">
        <f t="shared" si="4"/>
        <v>226073</v>
      </c>
      <c r="H141" s="155"/>
      <c r="I141" s="155"/>
      <c r="K141" s="582"/>
    </row>
    <row r="142" spans="1:11" s="95" customFormat="1" ht="27.75" customHeight="1">
      <c r="A142" s="76"/>
      <c r="B142" s="77">
        <v>85406</v>
      </c>
      <c r="C142" s="324" t="s">
        <v>621</v>
      </c>
      <c r="D142" s="137">
        <v>6133342</v>
      </c>
      <c r="E142" s="79">
        <f>E143+E144</f>
        <v>500</v>
      </c>
      <c r="F142" s="79">
        <f>F143+F144</f>
        <v>500</v>
      </c>
      <c r="G142" s="79">
        <f t="shared" si="4"/>
        <v>6133342</v>
      </c>
      <c r="H142" s="138"/>
      <c r="I142" s="138"/>
      <c r="K142" s="94"/>
    </row>
    <row r="143" spans="1:11" s="579" customFormat="1" ht="18.75" customHeight="1">
      <c r="A143" s="206"/>
      <c r="B143" s="207"/>
      <c r="C143" s="981" t="s">
        <v>278</v>
      </c>
      <c r="D143" s="424">
        <v>4697300</v>
      </c>
      <c r="E143" s="1046">
        <v>500</v>
      </c>
      <c r="F143" s="1046"/>
      <c r="G143" s="1046">
        <f t="shared" si="4"/>
        <v>4696800</v>
      </c>
      <c r="H143" s="210"/>
      <c r="I143" s="210"/>
      <c r="K143" s="580"/>
    </row>
    <row r="144" spans="1:11" s="230" customFormat="1" ht="21" customHeight="1">
      <c r="A144" s="206"/>
      <c r="B144" s="215"/>
      <c r="C144" s="1287" t="s">
        <v>574</v>
      </c>
      <c r="D144" s="1290">
        <v>595600</v>
      </c>
      <c r="E144" s="1290"/>
      <c r="F144" s="1290">
        <v>500</v>
      </c>
      <c r="G144" s="1290">
        <f t="shared" si="4"/>
        <v>596100</v>
      </c>
      <c r="H144" s="210"/>
      <c r="I144" s="210"/>
      <c r="K144" s="210"/>
    </row>
    <row r="145" spans="1:11" s="1408" customFormat="1" ht="19.5" customHeight="1">
      <c r="A145" s="972"/>
      <c r="B145" s="1404">
        <v>85410</v>
      </c>
      <c r="C145" s="1405" t="s">
        <v>91</v>
      </c>
      <c r="D145" s="1406">
        <v>7386200</v>
      </c>
      <c r="E145" s="1407">
        <f>E146</f>
        <v>34661</v>
      </c>
      <c r="F145" s="1407"/>
      <c r="G145" s="1407">
        <f t="shared" si="4"/>
        <v>7351539</v>
      </c>
      <c r="H145" s="224"/>
      <c r="I145" s="224"/>
      <c r="K145" s="1409"/>
    </row>
    <row r="146" spans="1:11" s="1408" customFormat="1" ht="18.75" customHeight="1">
      <c r="A146" s="1410"/>
      <c r="B146" s="1411"/>
      <c r="C146" s="1412" t="s">
        <v>574</v>
      </c>
      <c r="D146" s="1413">
        <v>1525500</v>
      </c>
      <c r="E146" s="1414">
        <v>34661</v>
      </c>
      <c r="F146" s="1414"/>
      <c r="G146" s="1414">
        <f t="shared" si="4"/>
        <v>1490839</v>
      </c>
      <c r="H146" s="224"/>
      <c r="I146" s="224"/>
      <c r="K146" s="1409"/>
    </row>
    <row r="147" spans="1:11" s="581" customFormat="1" ht="18.75" customHeight="1">
      <c r="A147" s="228"/>
      <c r="B147" s="321"/>
      <c r="C147" s="322" t="s">
        <v>485</v>
      </c>
      <c r="D147" s="426">
        <v>117200</v>
      </c>
      <c r="E147" s="323">
        <v>31130</v>
      </c>
      <c r="F147" s="323"/>
      <c r="G147" s="323">
        <f t="shared" si="4"/>
        <v>86070</v>
      </c>
      <c r="H147" s="155"/>
      <c r="I147" s="155"/>
      <c r="K147" s="582"/>
    </row>
    <row r="148" spans="1:11" s="1408" customFormat="1" ht="19.5" customHeight="1">
      <c r="A148" s="972"/>
      <c r="B148" s="976">
        <v>85417</v>
      </c>
      <c r="C148" s="976" t="s">
        <v>185</v>
      </c>
      <c r="D148" s="1422">
        <v>282000</v>
      </c>
      <c r="E148" s="1423"/>
      <c r="F148" s="1423">
        <f>F149</f>
        <v>3531</v>
      </c>
      <c r="G148" s="1423">
        <f t="shared" si="4"/>
        <v>285531</v>
      </c>
      <c r="H148" s="224"/>
      <c r="I148" s="224"/>
      <c r="K148" s="1409"/>
    </row>
    <row r="149" spans="1:11" s="1408" customFormat="1" ht="18.75" customHeight="1">
      <c r="A149" s="1410"/>
      <c r="B149" s="1411"/>
      <c r="C149" s="1415" t="s">
        <v>574</v>
      </c>
      <c r="D149" s="1413">
        <v>76100</v>
      </c>
      <c r="E149" s="1414"/>
      <c r="F149" s="1414">
        <v>3531</v>
      </c>
      <c r="G149" s="1414">
        <f t="shared" si="4"/>
        <v>79631</v>
      </c>
      <c r="H149" s="224"/>
      <c r="I149" s="224"/>
      <c r="K149" s="1409"/>
    </row>
    <row r="150" spans="1:11" s="581" customFormat="1" ht="18.75" customHeight="1">
      <c r="A150" s="205"/>
      <c r="B150" s="169"/>
      <c r="C150" s="468" t="s">
        <v>485</v>
      </c>
      <c r="D150" s="426">
        <v>10000</v>
      </c>
      <c r="E150" s="323"/>
      <c r="F150" s="323">
        <v>3531</v>
      </c>
      <c r="G150" s="323">
        <f t="shared" si="4"/>
        <v>13531</v>
      </c>
      <c r="H150" s="155"/>
      <c r="I150" s="155"/>
      <c r="K150" s="582"/>
    </row>
    <row r="151" spans="1:11" s="1408" customFormat="1" ht="19.5" customHeight="1">
      <c r="A151" s="972"/>
      <c r="B151" s="1404">
        <v>85446</v>
      </c>
      <c r="C151" s="976" t="s">
        <v>68</v>
      </c>
      <c r="D151" s="1406">
        <v>178000</v>
      </c>
      <c r="E151" s="1407"/>
      <c r="F151" s="1407"/>
      <c r="G151" s="1407">
        <f t="shared" si="4"/>
        <v>178000</v>
      </c>
      <c r="H151" s="224"/>
      <c r="I151" s="224"/>
      <c r="K151" s="1409"/>
    </row>
    <row r="152" spans="1:11" s="1408" customFormat="1" ht="18.75" customHeight="1">
      <c r="A152" s="1410"/>
      <c r="B152" s="1411"/>
      <c r="C152" s="1415" t="s">
        <v>132</v>
      </c>
      <c r="D152" s="1413">
        <v>178000</v>
      </c>
      <c r="E152" s="1414"/>
      <c r="F152" s="1414"/>
      <c r="G152" s="1414">
        <f t="shared" si="4"/>
        <v>178000</v>
      </c>
      <c r="H152" s="224"/>
      <c r="I152" s="224"/>
      <c r="K152" s="1409"/>
    </row>
    <row r="153" spans="1:11" s="581" customFormat="1" ht="18.75" customHeight="1">
      <c r="A153" s="228"/>
      <c r="B153" s="321"/>
      <c r="C153" s="468" t="s">
        <v>486</v>
      </c>
      <c r="D153" s="426">
        <v>59964</v>
      </c>
      <c r="E153" s="323"/>
      <c r="F153" s="323">
        <v>413</v>
      </c>
      <c r="G153" s="323">
        <f t="shared" si="4"/>
        <v>60377</v>
      </c>
      <c r="H153" s="155"/>
      <c r="I153" s="155"/>
      <c r="K153" s="582"/>
    </row>
    <row r="154" spans="1:11" ht="21" customHeight="1">
      <c r="A154" s="73">
        <v>900</v>
      </c>
      <c r="B154" s="73"/>
      <c r="C154" s="73" t="s">
        <v>228</v>
      </c>
      <c r="D154" s="74">
        <v>63857379</v>
      </c>
      <c r="E154" s="75">
        <f>E155+E157+E159+E161+E164</f>
        <v>1825000</v>
      </c>
      <c r="F154" s="75">
        <f>F155+F157+F159+F161+F164</f>
        <v>1825000</v>
      </c>
      <c r="G154" s="75">
        <f t="shared" si="4"/>
        <v>63857379</v>
      </c>
      <c r="H154" s="47"/>
      <c r="I154" s="47"/>
      <c r="K154" s="47"/>
    </row>
    <row r="155" spans="1:11" s="95" customFormat="1" ht="19.5" customHeight="1">
      <c r="A155" s="76"/>
      <c r="B155" s="78">
        <v>90001</v>
      </c>
      <c r="C155" s="78" t="s">
        <v>124</v>
      </c>
      <c r="D155" s="583">
        <v>10912000</v>
      </c>
      <c r="E155" s="543">
        <f>E156</f>
        <v>1225000</v>
      </c>
      <c r="F155" s="543"/>
      <c r="G155" s="543">
        <f t="shared" si="4"/>
        <v>9687000</v>
      </c>
      <c r="H155" s="138"/>
      <c r="I155" s="138"/>
      <c r="K155" s="94"/>
    </row>
    <row r="156" spans="1:11" s="130" customFormat="1" ht="21" customHeight="1">
      <c r="A156" s="80"/>
      <c r="B156" s="635"/>
      <c r="C156" s="635" t="s">
        <v>763</v>
      </c>
      <c r="D156" s="1286">
        <v>8495000</v>
      </c>
      <c r="E156" s="1286">
        <v>1225000</v>
      </c>
      <c r="F156" s="1286"/>
      <c r="G156" s="1286">
        <f t="shared" si="4"/>
        <v>7270000</v>
      </c>
      <c r="H156" s="138"/>
      <c r="I156" s="138"/>
      <c r="K156" s="138"/>
    </row>
    <row r="157" spans="1:11" s="95" customFormat="1" ht="19.5" customHeight="1">
      <c r="A157" s="76"/>
      <c r="B157" s="78">
        <v>90002</v>
      </c>
      <c r="C157" s="78" t="s">
        <v>125</v>
      </c>
      <c r="D157" s="583">
        <v>16172379</v>
      </c>
      <c r="E157" s="543">
        <f>E158</f>
        <v>200000</v>
      </c>
      <c r="F157" s="543"/>
      <c r="G157" s="543">
        <f t="shared" si="4"/>
        <v>15972379</v>
      </c>
      <c r="H157" s="138"/>
      <c r="I157" s="138"/>
      <c r="K157" s="94"/>
    </row>
    <row r="158" spans="1:11" s="130" customFormat="1" ht="18.75" customHeight="1">
      <c r="A158" s="80"/>
      <c r="B158" s="635"/>
      <c r="C158" s="651" t="s">
        <v>763</v>
      </c>
      <c r="D158" s="1286">
        <v>11752379</v>
      </c>
      <c r="E158" s="1286">
        <v>200000</v>
      </c>
      <c r="F158" s="1286"/>
      <c r="G158" s="1286">
        <f t="shared" si="4"/>
        <v>11552379</v>
      </c>
      <c r="H158" s="138"/>
      <c r="I158" s="138"/>
      <c r="K158" s="138"/>
    </row>
    <row r="159" spans="1:11" s="95" customFormat="1" ht="19.5" customHeight="1">
      <c r="A159" s="76"/>
      <c r="B159" s="78">
        <v>90003</v>
      </c>
      <c r="C159" s="78" t="s">
        <v>126</v>
      </c>
      <c r="D159" s="583">
        <v>9217000</v>
      </c>
      <c r="E159" s="543">
        <f>E160</f>
        <v>100000</v>
      </c>
      <c r="F159" s="543"/>
      <c r="G159" s="543">
        <f t="shared" si="4"/>
        <v>9117000</v>
      </c>
      <c r="H159" s="138"/>
      <c r="I159" s="138"/>
      <c r="K159" s="94"/>
    </row>
    <row r="160" spans="1:11" s="130" customFormat="1" ht="21" customHeight="1">
      <c r="A160" s="80"/>
      <c r="B160" s="635"/>
      <c r="C160" s="635" t="s">
        <v>243</v>
      </c>
      <c r="D160" s="1286">
        <v>100000</v>
      </c>
      <c r="E160" s="1286">
        <v>100000</v>
      </c>
      <c r="F160" s="1286"/>
      <c r="G160" s="1286">
        <f t="shared" si="4"/>
        <v>0</v>
      </c>
      <c r="H160" s="138"/>
      <c r="I160" s="138"/>
      <c r="K160" s="138"/>
    </row>
    <row r="161" spans="1:11" s="585" customFormat="1" ht="18.75" customHeight="1">
      <c r="A161" s="81"/>
      <c r="B161" s="78">
        <v>90004</v>
      </c>
      <c r="C161" s="78" t="s">
        <v>226</v>
      </c>
      <c r="D161" s="583">
        <v>3640000</v>
      </c>
      <c r="E161" s="583">
        <f>E162+E163</f>
        <v>300000</v>
      </c>
      <c r="F161" s="583">
        <f>F162+F163</f>
        <v>300000</v>
      </c>
      <c r="G161" s="583">
        <f t="shared" si="4"/>
        <v>3640000</v>
      </c>
      <c r="H161" s="157"/>
      <c r="I161" s="157"/>
      <c r="K161" s="586"/>
    </row>
    <row r="162" spans="1:11" s="585" customFormat="1" ht="18.75" customHeight="1">
      <c r="A162" s="206"/>
      <c r="B162" s="215"/>
      <c r="C162" s="631" t="s">
        <v>227</v>
      </c>
      <c r="D162" s="268">
        <v>2500000</v>
      </c>
      <c r="E162" s="268"/>
      <c r="F162" s="268">
        <v>300000</v>
      </c>
      <c r="G162" s="144">
        <f t="shared" si="4"/>
        <v>2800000</v>
      </c>
      <c r="H162" s="157"/>
      <c r="I162" s="157"/>
      <c r="K162" s="586"/>
    </row>
    <row r="163" spans="1:11" s="579" customFormat="1" ht="18.75" customHeight="1">
      <c r="A163" s="206"/>
      <c r="B163" s="1282"/>
      <c r="C163" s="1079" t="s">
        <v>763</v>
      </c>
      <c r="D163" s="1290">
        <v>800000</v>
      </c>
      <c r="E163" s="1290">
        <v>300000</v>
      </c>
      <c r="F163" s="1290"/>
      <c r="G163" s="1290">
        <f t="shared" si="4"/>
        <v>500000</v>
      </c>
      <c r="H163" s="210"/>
      <c r="I163" s="210"/>
      <c r="K163" s="580"/>
    </row>
    <row r="164" spans="1:11" s="95" customFormat="1" ht="19.5" customHeight="1">
      <c r="A164" s="76"/>
      <c r="B164" s="78">
        <v>90095</v>
      </c>
      <c r="C164" s="78" t="s">
        <v>553</v>
      </c>
      <c r="D164" s="583">
        <v>15656000</v>
      </c>
      <c r="E164" s="543"/>
      <c r="F164" s="543">
        <f>F165</f>
        <v>1525000</v>
      </c>
      <c r="G164" s="543">
        <f t="shared" si="4"/>
        <v>17181000</v>
      </c>
      <c r="H164" s="138"/>
      <c r="I164" s="138"/>
      <c r="K164" s="94"/>
    </row>
    <row r="165" spans="1:11" s="130" customFormat="1" ht="21" customHeight="1">
      <c r="A165" s="80"/>
      <c r="B165" s="66"/>
      <c r="C165" s="635" t="s">
        <v>763</v>
      </c>
      <c r="D165" s="1286">
        <v>15546000</v>
      </c>
      <c r="E165" s="1286"/>
      <c r="F165" s="1286">
        <v>1525000</v>
      </c>
      <c r="G165" s="1286">
        <f aca="true" t="shared" si="5" ref="G165:G193">D165+F165-E165</f>
        <v>17071000</v>
      </c>
      <c r="H165" s="138"/>
      <c r="I165" s="138"/>
      <c r="K165" s="138"/>
    </row>
    <row r="166" spans="1:11" ht="21" customHeight="1">
      <c r="A166" s="72">
        <v>926</v>
      </c>
      <c r="B166" s="89"/>
      <c r="C166" s="92" t="s">
        <v>128</v>
      </c>
      <c r="D166" s="74">
        <v>19758114</v>
      </c>
      <c r="E166" s="75"/>
      <c r="F166" s="75"/>
      <c r="G166" s="75">
        <f>D166+F166-E166</f>
        <v>19758114</v>
      </c>
      <c r="H166" s="47"/>
      <c r="I166" s="47"/>
      <c r="K166" s="47"/>
    </row>
    <row r="167" spans="1:11" s="130" customFormat="1" ht="18.75" customHeight="1">
      <c r="A167" s="76"/>
      <c r="B167" s="77">
        <v>92605</v>
      </c>
      <c r="C167" s="77" t="s">
        <v>181</v>
      </c>
      <c r="D167" s="137">
        <v>3240000</v>
      </c>
      <c r="E167" s="137"/>
      <c r="F167" s="137"/>
      <c r="G167" s="137">
        <f>D167+F167-E167</f>
        <v>3240000</v>
      </c>
      <c r="H167" s="138"/>
      <c r="I167" s="138"/>
      <c r="K167" s="138"/>
    </row>
    <row r="168" spans="1:11" s="130" customFormat="1" ht="18.75" customHeight="1">
      <c r="A168" s="80"/>
      <c r="B168" s="474"/>
      <c r="C168" s="862" t="s">
        <v>490</v>
      </c>
      <c r="D168" s="143">
        <v>800000</v>
      </c>
      <c r="E168" s="143"/>
      <c r="F168" s="143"/>
      <c r="G168" s="143">
        <f>D168+F168-E168</f>
        <v>800000</v>
      </c>
      <c r="H168" s="138"/>
      <c r="I168" s="138"/>
      <c r="K168" s="138"/>
    </row>
    <row r="169" spans="1:11" s="156" customFormat="1" ht="18.75" customHeight="1">
      <c r="A169" s="205"/>
      <c r="B169" s="169"/>
      <c r="C169" s="549" t="s">
        <v>486</v>
      </c>
      <c r="D169" s="426">
        <v>624653</v>
      </c>
      <c r="E169" s="426"/>
      <c r="F169" s="426">
        <v>41324</v>
      </c>
      <c r="G169" s="426">
        <f>D169+F169-E169</f>
        <v>665977</v>
      </c>
      <c r="H169" s="155"/>
      <c r="I169" s="155"/>
      <c r="K169" s="155"/>
    </row>
    <row r="170" spans="1:11" ht="27.75" customHeight="1" thickBot="1">
      <c r="A170" s="66"/>
      <c r="B170" s="69"/>
      <c r="C170" s="665" t="s">
        <v>520</v>
      </c>
      <c r="D170" s="850">
        <v>5163548</v>
      </c>
      <c r="E170" s="850">
        <f>E171+E175</f>
        <v>51590</v>
      </c>
      <c r="F170" s="850">
        <f>F171+F175</f>
        <v>58590</v>
      </c>
      <c r="G170" s="850">
        <f t="shared" si="5"/>
        <v>5170548</v>
      </c>
      <c r="H170" s="47"/>
      <c r="I170" s="47"/>
      <c r="K170" s="47"/>
    </row>
    <row r="171" spans="1:11" ht="21" customHeight="1" thickTop="1">
      <c r="A171" s="72">
        <v>754</v>
      </c>
      <c r="B171" s="89"/>
      <c r="C171" s="92" t="s">
        <v>548</v>
      </c>
      <c r="D171" s="74"/>
      <c r="E171" s="75"/>
      <c r="F171" s="75">
        <f>F172</f>
        <v>7000</v>
      </c>
      <c r="G171" s="75">
        <f t="shared" si="5"/>
        <v>7000</v>
      </c>
      <c r="H171" s="47"/>
      <c r="I171" s="47"/>
      <c r="K171" s="47"/>
    </row>
    <row r="172" spans="1:11" s="130" customFormat="1" ht="18.75" customHeight="1">
      <c r="A172" s="76"/>
      <c r="B172" s="77">
        <v>75411</v>
      </c>
      <c r="C172" s="77" t="s">
        <v>284</v>
      </c>
      <c r="D172" s="137"/>
      <c r="E172" s="137"/>
      <c r="F172" s="137">
        <f>F173</f>
        <v>7000</v>
      </c>
      <c r="G172" s="137">
        <f t="shared" si="5"/>
        <v>7000</v>
      </c>
      <c r="H172" s="138"/>
      <c r="I172" s="138"/>
      <c r="K172" s="138"/>
    </row>
    <row r="173" spans="1:11" s="130" customFormat="1" ht="18.75" customHeight="1">
      <c r="A173" s="80"/>
      <c r="B173" s="474"/>
      <c r="C173" s="862" t="s">
        <v>574</v>
      </c>
      <c r="D173" s="143"/>
      <c r="E173" s="143"/>
      <c r="F173" s="143">
        <v>7000</v>
      </c>
      <c r="G173" s="143">
        <f t="shared" si="5"/>
        <v>7000</v>
      </c>
      <c r="H173" s="138"/>
      <c r="I173" s="138"/>
      <c r="K173" s="138"/>
    </row>
    <row r="174" spans="1:11" s="156" customFormat="1" ht="18.75" customHeight="1">
      <c r="A174" s="205"/>
      <c r="B174" s="169"/>
      <c r="C174" s="549" t="s">
        <v>491</v>
      </c>
      <c r="D174" s="426"/>
      <c r="E174" s="426"/>
      <c r="F174" s="426">
        <v>7000</v>
      </c>
      <c r="G174" s="426">
        <f t="shared" si="5"/>
        <v>7000</v>
      </c>
      <c r="H174" s="155"/>
      <c r="I174" s="155"/>
      <c r="K174" s="155"/>
    </row>
    <row r="175" spans="1:11" s="194" customFormat="1" ht="18.75" customHeight="1">
      <c r="A175" s="72">
        <v>852</v>
      </c>
      <c r="B175" s="89"/>
      <c r="C175" s="92" t="s">
        <v>555</v>
      </c>
      <c r="D175" s="623">
        <v>3547310</v>
      </c>
      <c r="E175" s="623">
        <f>E176</f>
        <v>51590</v>
      </c>
      <c r="F175" s="623">
        <f>F176</f>
        <v>51590</v>
      </c>
      <c r="G175" s="623">
        <f t="shared" si="5"/>
        <v>3547310</v>
      </c>
      <c r="H175" s="195"/>
      <c r="I175" s="195"/>
      <c r="K175" s="195"/>
    </row>
    <row r="176" spans="1:11" s="194" customFormat="1" ht="18.75" customHeight="1">
      <c r="A176" s="141"/>
      <c r="B176" s="136">
        <v>85201</v>
      </c>
      <c r="C176" s="77" t="s">
        <v>190</v>
      </c>
      <c r="D176" s="316">
        <v>2160000</v>
      </c>
      <c r="E176" s="316">
        <f>E177+E178+E179</f>
        <v>51590</v>
      </c>
      <c r="F176" s="316">
        <f>F177+F178+F179</f>
        <v>51590</v>
      </c>
      <c r="G176" s="316">
        <f t="shared" si="5"/>
        <v>2160000</v>
      </c>
      <c r="H176" s="195"/>
      <c r="I176" s="195"/>
      <c r="K176" s="195"/>
    </row>
    <row r="177" spans="1:11" s="274" customFormat="1" ht="18.75" customHeight="1">
      <c r="A177" s="1282"/>
      <c r="B177" s="1282"/>
      <c r="C177" s="635" t="s">
        <v>765</v>
      </c>
      <c r="D177" s="1283">
        <v>988400</v>
      </c>
      <c r="E177" s="1283"/>
      <c r="F177" s="1283">
        <v>51590</v>
      </c>
      <c r="G177" s="1283">
        <f t="shared" si="5"/>
        <v>1039990</v>
      </c>
      <c r="H177" s="414"/>
      <c r="I177" s="414"/>
      <c r="K177" s="414"/>
    </row>
    <row r="178" spans="1:11" s="274" customFormat="1" ht="18.75" customHeight="1">
      <c r="A178" s="215"/>
      <c r="B178" s="1386"/>
      <c r="C178" s="1424" t="s">
        <v>574</v>
      </c>
      <c r="D178" s="1425">
        <v>415100</v>
      </c>
      <c r="E178" s="1425">
        <v>28390</v>
      </c>
      <c r="F178" s="1425"/>
      <c r="G178" s="1425">
        <f t="shared" si="5"/>
        <v>386710</v>
      </c>
      <c r="H178" s="414"/>
      <c r="I178" s="414"/>
      <c r="K178" s="414"/>
    </row>
    <row r="179" spans="1:11" s="274" customFormat="1" ht="18.75" customHeight="1">
      <c r="A179" s="215"/>
      <c r="B179" s="1386"/>
      <c r="C179" s="1403" t="s">
        <v>599</v>
      </c>
      <c r="D179" s="1402">
        <v>196500</v>
      </c>
      <c r="E179" s="1402">
        <v>23200</v>
      </c>
      <c r="F179" s="1402"/>
      <c r="G179" s="1402">
        <f t="shared" si="5"/>
        <v>173300</v>
      </c>
      <c r="H179" s="414"/>
      <c r="I179" s="414"/>
      <c r="K179" s="414"/>
    </row>
    <row r="180" spans="1:11" ht="20.25" customHeight="1" thickBot="1">
      <c r="A180" s="66"/>
      <c r="B180" s="66"/>
      <c r="C180" s="1076" t="s">
        <v>583</v>
      </c>
      <c r="D180" s="1077">
        <v>99432206</v>
      </c>
      <c r="E180" s="1077">
        <f>E181+E191</f>
        <v>639300</v>
      </c>
      <c r="F180" s="1077">
        <f>F181+F191</f>
        <v>147243</v>
      </c>
      <c r="G180" s="1077">
        <f t="shared" si="5"/>
        <v>98940149</v>
      </c>
      <c r="H180" s="47">
        <f>F180-E180</f>
        <v>-492057</v>
      </c>
      <c r="I180" s="47"/>
      <c r="K180" s="47"/>
    </row>
    <row r="181" spans="1:11" s="194" customFormat="1" ht="21" customHeight="1" thickBot="1">
      <c r="A181" s="169"/>
      <c r="B181" s="169"/>
      <c r="C181" s="162" t="s">
        <v>584</v>
      </c>
      <c r="D181" s="471">
        <v>77259529</v>
      </c>
      <c r="E181" s="471">
        <f>E182+E186</f>
        <v>639300</v>
      </c>
      <c r="F181" s="471">
        <f>F182+F186</f>
        <v>2149</v>
      </c>
      <c r="G181" s="471">
        <f t="shared" si="5"/>
        <v>76622378</v>
      </c>
      <c r="H181" s="195"/>
      <c r="I181" s="195"/>
      <c r="K181" s="195"/>
    </row>
    <row r="182" spans="1:11" s="194" customFormat="1" ht="21" customHeight="1" thickTop="1">
      <c r="A182" s="184">
        <v>851</v>
      </c>
      <c r="B182" s="72"/>
      <c r="C182" s="658" t="s">
        <v>557</v>
      </c>
      <c r="D182" s="315">
        <v>1533</v>
      </c>
      <c r="E182" s="315"/>
      <c r="F182" s="315">
        <f>F183</f>
        <v>2149</v>
      </c>
      <c r="G182" s="315">
        <f t="shared" si="5"/>
        <v>3682</v>
      </c>
      <c r="H182" s="195"/>
      <c r="I182" s="195"/>
      <c r="K182" s="195"/>
    </row>
    <row r="183" spans="1:11" s="194" customFormat="1" ht="21" customHeight="1">
      <c r="A183" s="258"/>
      <c r="B183" s="227">
        <v>85195</v>
      </c>
      <c r="C183" s="232" t="s">
        <v>553</v>
      </c>
      <c r="D183" s="749">
        <v>1533</v>
      </c>
      <c r="E183" s="749"/>
      <c r="F183" s="749">
        <f>F184</f>
        <v>2149</v>
      </c>
      <c r="G183" s="316">
        <f t="shared" si="5"/>
        <v>3682</v>
      </c>
      <c r="H183" s="195"/>
      <c r="I183" s="195"/>
      <c r="K183" s="195"/>
    </row>
    <row r="184" spans="1:11" s="194" customFormat="1" ht="19.5" customHeight="1">
      <c r="A184" s="169"/>
      <c r="B184" s="169"/>
      <c r="C184" s="748" t="s">
        <v>326</v>
      </c>
      <c r="D184" s="1281">
        <v>1533</v>
      </c>
      <c r="E184" s="1281"/>
      <c r="F184" s="1281">
        <v>2149</v>
      </c>
      <c r="G184" s="1281">
        <f t="shared" si="5"/>
        <v>3682</v>
      </c>
      <c r="H184" s="195"/>
      <c r="I184" s="195"/>
      <c r="K184" s="195"/>
    </row>
    <row r="185" spans="1:11" s="156" customFormat="1" ht="21" customHeight="1">
      <c r="A185" s="153"/>
      <c r="B185" s="153"/>
      <c r="C185" s="320" t="s">
        <v>486</v>
      </c>
      <c r="D185" s="160">
        <v>1278</v>
      </c>
      <c r="E185" s="160"/>
      <c r="F185" s="160">
        <v>1792</v>
      </c>
      <c r="G185" s="160">
        <f t="shared" si="5"/>
        <v>3070</v>
      </c>
      <c r="H185" s="155"/>
      <c r="I185" s="155"/>
      <c r="K185" s="155"/>
    </row>
    <row r="186" spans="1:11" s="194" customFormat="1" ht="21" customHeight="1">
      <c r="A186" s="184">
        <v>852</v>
      </c>
      <c r="B186" s="72"/>
      <c r="C186" s="233" t="s">
        <v>555</v>
      </c>
      <c r="D186" s="623">
        <v>75654900</v>
      </c>
      <c r="E186" s="623">
        <f>E187+E189</f>
        <v>639300</v>
      </c>
      <c r="F186" s="623"/>
      <c r="G186" s="623">
        <f t="shared" si="5"/>
        <v>75015600</v>
      </c>
      <c r="H186" s="195"/>
      <c r="I186" s="195"/>
      <c r="K186" s="195"/>
    </row>
    <row r="187" spans="1:11" s="194" customFormat="1" ht="27.75" customHeight="1">
      <c r="A187" s="258"/>
      <c r="B187" s="227">
        <v>85212</v>
      </c>
      <c r="C187" s="232" t="s">
        <v>144</v>
      </c>
      <c r="D187" s="316">
        <v>64522000</v>
      </c>
      <c r="E187" s="316">
        <f>E188</f>
        <v>600000</v>
      </c>
      <c r="F187" s="316"/>
      <c r="G187" s="316">
        <f t="shared" si="5"/>
        <v>63922000</v>
      </c>
      <c r="H187" s="195"/>
      <c r="I187" s="195"/>
      <c r="K187" s="195"/>
    </row>
    <row r="188" spans="1:11" s="194" customFormat="1" ht="21" customHeight="1">
      <c r="A188" s="169"/>
      <c r="B188" s="161"/>
      <c r="C188" s="635" t="s">
        <v>146</v>
      </c>
      <c r="D188" s="1283">
        <v>62644000</v>
      </c>
      <c r="E188" s="1283">
        <v>600000</v>
      </c>
      <c r="F188" s="1283"/>
      <c r="G188" s="1283">
        <f t="shared" si="5"/>
        <v>62044000</v>
      </c>
      <c r="H188" s="195"/>
      <c r="I188" s="195"/>
      <c r="K188" s="195"/>
    </row>
    <row r="189" spans="1:11" s="194" customFormat="1" ht="21" customHeight="1">
      <c r="A189" s="185"/>
      <c r="B189" s="227">
        <v>85228</v>
      </c>
      <c r="C189" s="1284" t="s">
        <v>142</v>
      </c>
      <c r="D189" s="316">
        <v>1317800</v>
      </c>
      <c r="E189" s="316">
        <f>E190</f>
        <v>39300</v>
      </c>
      <c r="F189" s="316"/>
      <c r="G189" s="316">
        <f t="shared" si="5"/>
        <v>1278500</v>
      </c>
      <c r="H189" s="195"/>
      <c r="I189" s="195"/>
      <c r="K189" s="195"/>
    </row>
    <row r="190" spans="1:11" s="194" customFormat="1" ht="21" customHeight="1">
      <c r="A190" s="169"/>
      <c r="B190" s="169"/>
      <c r="C190" s="664" t="s">
        <v>147</v>
      </c>
      <c r="D190" s="1006">
        <v>1317800</v>
      </c>
      <c r="E190" s="1006">
        <v>39300</v>
      </c>
      <c r="F190" s="1006"/>
      <c r="G190" s="1006">
        <f t="shared" si="5"/>
        <v>1278500</v>
      </c>
      <c r="H190" s="195"/>
      <c r="I190" s="195"/>
      <c r="K190" s="195"/>
    </row>
    <row r="191" spans="1:11" s="194" customFormat="1" ht="29.25" customHeight="1" thickBot="1">
      <c r="A191" s="321"/>
      <c r="B191" s="321"/>
      <c r="C191" s="665" t="s">
        <v>585</v>
      </c>
      <c r="D191" s="650">
        <v>22172677</v>
      </c>
      <c r="E191" s="650"/>
      <c r="F191" s="650">
        <f>F192+F196</f>
        <v>145094</v>
      </c>
      <c r="G191" s="650">
        <f t="shared" si="5"/>
        <v>22317771</v>
      </c>
      <c r="H191" s="195"/>
      <c r="I191" s="195"/>
      <c r="K191" s="195"/>
    </row>
    <row r="192" spans="1:11" s="194" customFormat="1" ht="18.75" customHeight="1" thickTop="1">
      <c r="A192" s="72">
        <v>851</v>
      </c>
      <c r="B192" s="89"/>
      <c r="C192" s="658" t="s">
        <v>557</v>
      </c>
      <c r="D192" s="315">
        <v>3187000</v>
      </c>
      <c r="E192" s="315"/>
      <c r="F192" s="315">
        <f>F193</f>
        <v>120000</v>
      </c>
      <c r="G192" s="315">
        <f t="shared" si="5"/>
        <v>3307000</v>
      </c>
      <c r="H192" s="195"/>
      <c r="I192" s="195"/>
      <c r="K192" s="195"/>
    </row>
    <row r="193" spans="1:11" s="194" customFormat="1" ht="18.75" customHeight="1">
      <c r="A193" s="141"/>
      <c r="B193" s="136">
        <v>85141</v>
      </c>
      <c r="C193" s="991" t="s">
        <v>451</v>
      </c>
      <c r="D193" s="316"/>
      <c r="E193" s="316"/>
      <c r="F193" s="316">
        <f>F194</f>
        <v>120000</v>
      </c>
      <c r="G193" s="316">
        <f t="shared" si="5"/>
        <v>120000</v>
      </c>
      <c r="H193" s="195"/>
      <c r="I193" s="195"/>
      <c r="K193" s="195"/>
    </row>
    <row r="194" spans="1:11" s="274" customFormat="1" ht="18.75" customHeight="1">
      <c r="A194" s="215"/>
      <c r="B194" s="215"/>
      <c r="C194" s="1088" t="s">
        <v>694</v>
      </c>
      <c r="D194" s="1006"/>
      <c r="E194" s="1006"/>
      <c r="F194" s="1006">
        <v>120000</v>
      </c>
      <c r="G194" s="1006">
        <f>D194+F194-E194</f>
        <v>120000</v>
      </c>
      <c r="H194" s="414"/>
      <c r="I194" s="414"/>
      <c r="K194" s="414"/>
    </row>
    <row r="195" spans="1:11" s="194" customFormat="1" ht="18.75" customHeight="1">
      <c r="A195" s="169"/>
      <c r="B195" s="990"/>
      <c r="C195" s="842" t="s">
        <v>485</v>
      </c>
      <c r="D195" s="941"/>
      <c r="E195" s="941"/>
      <c r="F195" s="941">
        <v>19893</v>
      </c>
      <c r="G195" s="941">
        <f>D195+F195-E195</f>
        <v>19893</v>
      </c>
      <c r="H195" s="195"/>
      <c r="I195" s="195"/>
      <c r="K195" s="195"/>
    </row>
    <row r="196" spans="1:11" s="194" customFormat="1" ht="21" customHeight="1">
      <c r="A196" s="72">
        <v>853</v>
      </c>
      <c r="B196" s="89"/>
      <c r="C196" s="92" t="s">
        <v>598</v>
      </c>
      <c r="D196" s="623">
        <v>591560</v>
      </c>
      <c r="E196" s="623"/>
      <c r="F196" s="623">
        <f>F197</f>
        <v>25094</v>
      </c>
      <c r="G196" s="623">
        <f>D196+F196-E196</f>
        <v>616654</v>
      </c>
      <c r="H196" s="195"/>
      <c r="I196" s="195"/>
      <c r="K196" s="195"/>
    </row>
    <row r="197" spans="1:11" s="194" customFormat="1" ht="21" customHeight="1">
      <c r="A197" s="141"/>
      <c r="B197" s="136">
        <v>85334</v>
      </c>
      <c r="C197" s="314" t="s">
        <v>222</v>
      </c>
      <c r="D197" s="316">
        <v>39560</v>
      </c>
      <c r="E197" s="316"/>
      <c r="F197" s="316">
        <f>F198</f>
        <v>25094</v>
      </c>
      <c r="G197" s="316">
        <f>D197+F197-E197</f>
        <v>64654</v>
      </c>
      <c r="H197" s="195"/>
      <c r="I197" s="195"/>
      <c r="K197" s="195"/>
    </row>
    <row r="198" spans="1:11" s="194" customFormat="1" ht="21" customHeight="1">
      <c r="A198" s="321"/>
      <c r="B198" s="321"/>
      <c r="C198" s="1276" t="s">
        <v>223</v>
      </c>
      <c r="D198" s="1283">
        <v>39560</v>
      </c>
      <c r="E198" s="1283"/>
      <c r="F198" s="1283">
        <v>25094</v>
      </c>
      <c r="G198" s="1283">
        <f>D198+F198-E198</f>
        <v>64654</v>
      </c>
      <c r="H198" s="195"/>
      <c r="I198" s="195"/>
      <c r="K198" s="195"/>
    </row>
    <row r="199" ht="30" customHeight="1"/>
    <row r="200" ht="49.5" customHeight="1"/>
    <row r="201" ht="27.75" customHeight="1"/>
    <row r="202" spans="3:4" ht="18" customHeight="1">
      <c r="C202" s="1475" t="s">
        <v>117</v>
      </c>
      <c r="D202" s="1478" t="s">
        <v>118</v>
      </c>
    </row>
    <row r="203" spans="1:11" s="95" customFormat="1" ht="18.75" customHeight="1">
      <c r="A203" s="22"/>
      <c r="B203" s="22"/>
      <c r="C203" s="1475" t="s">
        <v>119</v>
      </c>
      <c r="D203" s="1477" t="s">
        <v>120</v>
      </c>
      <c r="E203" s="22"/>
      <c r="F203" s="22"/>
      <c r="G203" s="22"/>
      <c r="H203" s="94"/>
      <c r="I203" s="94"/>
      <c r="K203" s="94"/>
    </row>
    <row r="204" spans="1:11" s="45" customFormat="1" ht="18.75" customHeight="1">
      <c r="A204" s="22"/>
      <c r="B204" s="22"/>
      <c r="C204" s="1476"/>
      <c r="D204" s="1477" t="s">
        <v>121</v>
      </c>
      <c r="E204" s="22"/>
      <c r="F204" s="22"/>
      <c r="G204" s="22"/>
      <c r="H204" s="126"/>
      <c r="I204" s="126"/>
      <c r="K204" s="126"/>
    </row>
    <row r="205" spans="1:11" s="45" customFormat="1" ht="18.75" customHeight="1">
      <c r="A205" s="22"/>
      <c r="B205" s="22"/>
      <c r="C205" s="22"/>
      <c r="D205" s="22"/>
      <c r="E205" s="22"/>
      <c r="F205" s="22"/>
      <c r="G205" s="22"/>
      <c r="H205" s="126"/>
      <c r="I205" s="126"/>
      <c r="K205" s="126"/>
    </row>
    <row r="206" spans="8:11" ht="21" customHeight="1">
      <c r="H206" s="47"/>
      <c r="I206" s="47"/>
      <c r="K206" s="47"/>
    </row>
    <row r="207" spans="8:11" ht="21" customHeight="1">
      <c r="H207" s="47"/>
      <c r="I207" s="47"/>
      <c r="K207" s="47"/>
    </row>
    <row r="208" ht="18.75" customHeight="1"/>
    <row r="209" ht="18.75" customHeight="1"/>
    <row r="210" spans="8:11" ht="21" customHeight="1">
      <c r="H210" s="47"/>
      <c r="I210" s="47"/>
      <c r="K210" s="47"/>
    </row>
    <row r="211" ht="18.75" customHeight="1"/>
    <row r="212" ht="19.5" customHeight="1"/>
    <row r="213" ht="19.5" customHeight="1"/>
    <row r="214" ht="19.5" customHeight="1"/>
    <row r="215" ht="18.75" customHeight="1"/>
    <row r="216" ht="18.75" customHeight="1"/>
    <row r="217" ht="28.5" customHeight="1"/>
    <row r="218" spans="1:8" s="33" customFormat="1" ht="18.75" customHeight="1">
      <c r="A218" s="22"/>
      <c r="B218" s="22"/>
      <c r="C218" s="22"/>
      <c r="D218" s="22"/>
      <c r="E218" s="22"/>
      <c r="F218" s="22"/>
      <c r="G218" s="22"/>
      <c r="H218" s="127"/>
    </row>
    <row r="219" spans="1:8" s="33" customFormat="1" ht="18.75" customHeight="1">
      <c r="A219" s="22"/>
      <c r="B219" s="22"/>
      <c r="C219" s="22"/>
      <c r="D219" s="22"/>
      <c r="E219" s="22"/>
      <c r="F219" s="22"/>
      <c r="G219" s="22"/>
      <c r="H219" s="127"/>
    </row>
    <row r="220" spans="1:8" s="33" customFormat="1" ht="18.75" customHeight="1">
      <c r="A220" s="22"/>
      <c r="B220" s="22"/>
      <c r="C220" s="22"/>
      <c r="D220" s="22"/>
      <c r="E220" s="22"/>
      <c r="F220" s="22"/>
      <c r="G220" s="22"/>
      <c r="H220" s="127"/>
    </row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spans="1:8" s="33" customFormat="1" ht="19.5" customHeight="1">
      <c r="A229" s="22"/>
      <c r="B229" s="22"/>
      <c r="C229" s="22"/>
      <c r="D229" s="22"/>
      <c r="E229" s="22"/>
      <c r="F229" s="22"/>
      <c r="G229" s="22"/>
      <c r="H229" s="128"/>
    </row>
    <row r="230" spans="1:8" s="33" customFormat="1" ht="18.75" customHeight="1">
      <c r="A230" s="22"/>
      <c r="B230" s="22"/>
      <c r="C230" s="22"/>
      <c r="D230" s="22"/>
      <c r="E230" s="22"/>
      <c r="F230" s="22"/>
      <c r="G230" s="22"/>
      <c r="H230" s="127"/>
    </row>
    <row r="231" spans="1:8" s="33" customFormat="1" ht="18.75" customHeight="1">
      <c r="A231" s="22"/>
      <c r="B231" s="22"/>
      <c r="C231" s="22"/>
      <c r="D231" s="22"/>
      <c r="E231" s="22"/>
      <c r="F231" s="22"/>
      <c r="G231" s="22"/>
      <c r="H231" s="127"/>
    </row>
    <row r="232" spans="1:8" s="33" customFormat="1" ht="18.75" customHeight="1">
      <c r="A232" s="22"/>
      <c r="B232" s="22"/>
      <c r="C232" s="22"/>
      <c r="D232" s="22"/>
      <c r="E232" s="22"/>
      <c r="F232" s="22"/>
      <c r="G232" s="22"/>
      <c r="H232" s="127"/>
    </row>
    <row r="233" ht="19.5" customHeight="1"/>
    <row r="234" ht="18.75" customHeight="1"/>
    <row r="235" spans="1:8" s="33" customFormat="1" ht="18.75" customHeight="1">
      <c r="A235" s="22"/>
      <c r="B235" s="22"/>
      <c r="C235" s="22"/>
      <c r="D235" s="22"/>
      <c r="E235" s="22"/>
      <c r="F235" s="22"/>
      <c r="G235" s="22"/>
      <c r="H235" s="127"/>
    </row>
    <row r="236" ht="18.75" customHeight="1"/>
    <row r="237" spans="1:8" s="33" customFormat="1" ht="18.75" customHeight="1">
      <c r="A237" s="22"/>
      <c r="B237" s="22"/>
      <c r="C237" s="22"/>
      <c r="D237" s="22"/>
      <c r="E237" s="22"/>
      <c r="F237" s="22"/>
      <c r="G237" s="22"/>
      <c r="H237" s="127"/>
    </row>
    <row r="238" spans="1:8" s="33" customFormat="1" ht="27" customHeight="1">
      <c r="A238" s="22"/>
      <c r="B238" s="22"/>
      <c r="C238" s="22"/>
      <c r="D238" s="22"/>
      <c r="E238" s="22"/>
      <c r="F238" s="22"/>
      <c r="G238" s="22"/>
      <c r="H238" s="127"/>
    </row>
    <row r="239" spans="1:8" s="33" customFormat="1" ht="18.75" customHeight="1">
      <c r="A239" s="22"/>
      <c r="B239" s="22"/>
      <c r="C239" s="22"/>
      <c r="D239" s="22"/>
      <c r="E239" s="22"/>
      <c r="F239" s="22"/>
      <c r="G239" s="22"/>
      <c r="H239" s="127"/>
    </row>
    <row r="240" spans="1:8" s="33" customFormat="1" ht="19.5" customHeight="1">
      <c r="A240" s="22"/>
      <c r="B240" s="22"/>
      <c r="C240" s="22"/>
      <c r="D240" s="22"/>
      <c r="E240" s="22"/>
      <c r="F240" s="22"/>
      <c r="G240" s="22"/>
      <c r="H240" s="127"/>
    </row>
    <row r="241" ht="19.5" customHeight="1"/>
    <row r="242" ht="19.5" customHeight="1"/>
    <row r="243" ht="19.5" customHeight="1"/>
    <row r="244" ht="19.5" customHeight="1"/>
    <row r="245" ht="19.5" customHeight="1"/>
    <row r="246" spans="1:8" s="33" customFormat="1" ht="18.75" customHeight="1">
      <c r="A246" s="22"/>
      <c r="B246" s="22"/>
      <c r="C246" s="22"/>
      <c r="D246" s="22"/>
      <c r="E246" s="22"/>
      <c r="F246" s="22"/>
      <c r="G246" s="22"/>
      <c r="H246" s="127"/>
    </row>
    <row r="247" spans="1:8" s="33" customFormat="1" ht="19.5" customHeight="1">
      <c r="A247" s="22"/>
      <c r="B247" s="22"/>
      <c r="C247" s="22"/>
      <c r="D247" s="22"/>
      <c r="E247" s="22"/>
      <c r="F247" s="22"/>
      <c r="G247" s="22"/>
      <c r="H247" s="127"/>
    </row>
    <row r="248" ht="19.5" customHeight="1"/>
    <row r="249" ht="18.75" customHeight="1"/>
    <row r="250" ht="18" customHeight="1"/>
    <row r="251" ht="28.5" customHeight="1"/>
    <row r="252" ht="20.25" customHeight="1"/>
    <row r="253" ht="18" customHeight="1"/>
    <row r="254" ht="19.5" customHeight="1"/>
    <row r="255" ht="20.25" customHeight="1"/>
    <row r="256" ht="20.25" customHeight="1"/>
    <row r="257" ht="20.25" customHeight="1"/>
    <row r="258" spans="1:7" s="33" customFormat="1" ht="27" customHeight="1">
      <c r="A258" s="22"/>
      <c r="B258" s="22"/>
      <c r="C258" s="22"/>
      <c r="D258" s="22"/>
      <c r="E258" s="22"/>
      <c r="F258" s="22"/>
      <c r="G258" s="22"/>
    </row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27.75" customHeight="1"/>
    <row r="279" ht="20.25" customHeight="1"/>
    <row r="280" ht="20.25" customHeight="1"/>
    <row r="281" ht="19.5" customHeight="1"/>
    <row r="282" ht="25.5" customHeight="1"/>
    <row r="283" ht="26.25" customHeight="1"/>
    <row r="284" ht="19.5" customHeight="1"/>
    <row r="285" ht="18.75" customHeight="1"/>
    <row r="286" ht="18" customHeight="1"/>
    <row r="287" ht="19.5" customHeight="1"/>
    <row r="288" ht="19.5" customHeight="1"/>
    <row r="289" ht="20.25" customHeight="1"/>
    <row r="290" ht="19.5" customHeight="1"/>
    <row r="291" ht="19.5" customHeight="1"/>
    <row r="292" ht="20.25" customHeight="1"/>
    <row r="293" ht="18" customHeight="1"/>
    <row r="294" ht="19.5" customHeight="1"/>
    <row r="295" ht="19.5" customHeight="1"/>
  </sheetData>
  <printOptions horizontalCentered="1"/>
  <pageMargins left="0.6" right="0.3937007874015748" top="0.61" bottom="0.47" header="0.5118110236220472" footer="0.31496062992125984"/>
  <pageSetup firstPageNumber="8" useFirstPageNumber="1" horizontalDpi="300" verticalDpi="300" orientation="landscape" paperSize="9" scale="8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1"/>
  <dimension ref="A1:P97"/>
  <sheetViews>
    <sheetView zoomScale="90" zoomScaleNormal="90" zoomScaleSheetLayoutView="75" workbookViewId="0" topLeftCell="A8">
      <pane ySplit="885" topLeftCell="BM1" activePane="bottomLeft" state="split"/>
      <selection pane="topLeft" activeCell="A13" sqref="A13"/>
      <selection pane="bottomLeft" activeCell="B4" sqref="B4"/>
    </sheetView>
  </sheetViews>
  <sheetFormatPr defaultColWidth="9.00390625" defaultRowHeight="12.75"/>
  <cols>
    <col min="1" max="1" width="5.125" style="0" customWidth="1"/>
    <col min="2" max="2" width="7.875" style="0" customWidth="1"/>
    <col min="3" max="3" width="41.875" style="381" customWidth="1"/>
    <col min="4" max="4" width="17.75390625" style="0" customWidth="1"/>
    <col min="5" max="5" width="14.625" style="0" customWidth="1"/>
    <col min="6" max="6" width="13.875" style="0" customWidth="1"/>
    <col min="7" max="7" width="16.375" style="0" customWidth="1"/>
    <col min="8" max="8" width="12.25390625" style="0" customWidth="1"/>
    <col min="9" max="9" width="15.625" style="0" customWidth="1"/>
    <col min="10" max="10" width="15.375" style="0" customWidth="1"/>
    <col min="11" max="11" width="13.75390625" style="0" customWidth="1"/>
    <col min="12" max="12" width="16.00390625" style="0" customWidth="1"/>
    <col min="13" max="13" width="14.875" style="0" customWidth="1"/>
    <col min="14" max="14" width="12.75390625" style="0" customWidth="1"/>
  </cols>
  <sheetData>
    <row r="1" spans="3:11" s="22" customFormat="1" ht="16.5" customHeight="1">
      <c r="C1" s="325"/>
      <c r="J1" s="50"/>
      <c r="K1" s="50" t="s">
        <v>93</v>
      </c>
    </row>
    <row r="2" spans="3:11" s="22" customFormat="1" ht="16.5" customHeight="1">
      <c r="C2" s="325"/>
      <c r="H2" s="47"/>
      <c r="K2" s="22" t="s">
        <v>308</v>
      </c>
    </row>
    <row r="3" spans="3:11" s="22" customFormat="1" ht="16.5" customHeight="1">
      <c r="C3" s="326" t="s">
        <v>97</v>
      </c>
      <c r="G3" s="47"/>
      <c r="H3" s="47"/>
      <c r="K3" s="22" t="s">
        <v>523</v>
      </c>
    </row>
    <row r="4" spans="3:11" s="22" customFormat="1" ht="16.5" customHeight="1">
      <c r="C4" s="325"/>
      <c r="G4" s="47"/>
      <c r="K4" s="22" t="s">
        <v>446</v>
      </c>
    </row>
    <row r="5" spans="2:12" s="22" customFormat="1" ht="16.5" customHeight="1" thickBot="1">
      <c r="B5" s="241"/>
      <c r="C5" s="325"/>
      <c r="G5" s="47"/>
      <c r="K5" s="130"/>
      <c r="L5" s="327" t="s">
        <v>524</v>
      </c>
    </row>
    <row r="6" spans="1:12" s="22" customFormat="1" ht="42" customHeight="1" thickBot="1" thickTop="1">
      <c r="A6" s="328"/>
      <c r="B6" s="328"/>
      <c r="C6" s="329"/>
      <c r="D6" s="1437" t="s">
        <v>98</v>
      </c>
      <c r="E6" s="1439" t="s">
        <v>99</v>
      </c>
      <c r="F6" s="1440"/>
      <c r="G6" s="1441"/>
      <c r="H6" s="330"/>
      <c r="I6" s="331" t="s">
        <v>526</v>
      </c>
      <c r="J6" s="1439" t="s">
        <v>99</v>
      </c>
      <c r="K6" s="1440"/>
      <c r="L6" s="1441"/>
    </row>
    <row r="7" spans="1:12" s="22" customFormat="1" ht="67.5" customHeight="1" thickBot="1" thickTop="1">
      <c r="A7" s="332" t="s">
        <v>576</v>
      </c>
      <c r="B7" s="333" t="s">
        <v>100</v>
      </c>
      <c r="C7" s="333" t="s">
        <v>101</v>
      </c>
      <c r="D7" s="1438"/>
      <c r="E7" s="118" t="s">
        <v>102</v>
      </c>
      <c r="F7" s="118" t="s">
        <v>103</v>
      </c>
      <c r="G7" s="118" t="s">
        <v>104</v>
      </c>
      <c r="H7" s="334" t="s">
        <v>591</v>
      </c>
      <c r="I7" s="333" t="s">
        <v>105</v>
      </c>
      <c r="J7" s="118" t="s">
        <v>102</v>
      </c>
      <c r="K7" s="118" t="s">
        <v>103</v>
      </c>
      <c r="L7" s="118" t="s">
        <v>104</v>
      </c>
    </row>
    <row r="8" spans="1:12" s="18" customFormat="1" ht="18" customHeight="1" thickBot="1" thickTop="1">
      <c r="A8" s="335">
        <v>1</v>
      </c>
      <c r="B8" s="335">
        <v>2</v>
      </c>
      <c r="C8" s="336">
        <v>3</v>
      </c>
      <c r="D8" s="335">
        <v>4</v>
      </c>
      <c r="E8" s="335">
        <v>5</v>
      </c>
      <c r="F8" s="337">
        <v>6</v>
      </c>
      <c r="G8" s="335">
        <v>7</v>
      </c>
      <c r="H8" s="335">
        <v>8</v>
      </c>
      <c r="I8" s="335">
        <v>9</v>
      </c>
      <c r="J8" s="335">
        <v>10</v>
      </c>
      <c r="K8" s="337">
        <v>11</v>
      </c>
      <c r="L8" s="337">
        <v>12</v>
      </c>
    </row>
    <row r="9" spans="1:14" s="244" customFormat="1" ht="21" customHeight="1" thickBot="1" thickTop="1">
      <c r="A9" s="338"/>
      <c r="B9" s="338"/>
      <c r="C9" s="339" t="s">
        <v>106</v>
      </c>
      <c r="D9" s="340">
        <f>E9+F9+G9</f>
        <v>204760514</v>
      </c>
      <c r="E9" s="340">
        <v>146677731</v>
      </c>
      <c r="F9" s="340">
        <v>50727542</v>
      </c>
      <c r="G9" s="340">
        <v>7355241</v>
      </c>
      <c r="H9" s="341">
        <f>H11+H89+H90</f>
        <v>758536</v>
      </c>
      <c r="I9" s="342">
        <f>D9+H9</f>
        <v>205519050</v>
      </c>
      <c r="J9" s="343">
        <f>E9+H9-2583-1313270</f>
        <v>146120414</v>
      </c>
      <c r="K9" s="343">
        <f>F9+2583</f>
        <v>50730125</v>
      </c>
      <c r="L9" s="343">
        <f>G9+1313270</f>
        <v>8668511</v>
      </c>
      <c r="M9" s="344">
        <f>SUM(J9:L9)</f>
        <v>205519050</v>
      </c>
      <c r="N9" s="52"/>
    </row>
    <row r="10" spans="1:13" s="133" customFormat="1" ht="12.75" customHeight="1">
      <c r="A10" s="67"/>
      <c r="B10" s="67"/>
      <c r="C10" s="345" t="s">
        <v>545</v>
      </c>
      <c r="D10" s="214"/>
      <c r="E10" s="214"/>
      <c r="F10" s="214"/>
      <c r="G10" s="346"/>
      <c r="H10" s="347"/>
      <c r="I10" s="348"/>
      <c r="J10" s="349"/>
      <c r="K10" s="349"/>
      <c r="L10" s="350"/>
      <c r="M10" s="344"/>
    </row>
    <row r="11" spans="1:14" ht="21" customHeight="1" thickBot="1">
      <c r="A11" s="405"/>
      <c r="B11" s="405"/>
      <c r="C11" s="253" t="s">
        <v>547</v>
      </c>
      <c r="D11" s="192">
        <f>E11+F11+G11</f>
        <v>203189204</v>
      </c>
      <c r="E11" s="351">
        <v>146110421</v>
      </c>
      <c r="F11" s="351">
        <v>50727542</v>
      </c>
      <c r="G11" s="351">
        <v>6351241</v>
      </c>
      <c r="H11" s="352">
        <f>H12+H23+H26+H32+H37+H40+H56+H59+H67+H70</f>
        <v>758536</v>
      </c>
      <c r="I11" s="353">
        <f>D11+H11</f>
        <v>203947740</v>
      </c>
      <c r="J11" s="354">
        <f>E11+H11-2583-1313270</f>
        <v>145553104</v>
      </c>
      <c r="K11" s="354">
        <f>F11+2583</f>
        <v>50730125</v>
      </c>
      <c r="L11" s="355">
        <f>G11+1313270</f>
        <v>7664511</v>
      </c>
      <c r="M11" s="344"/>
      <c r="N11" s="52"/>
    </row>
    <row r="12" spans="1:14" s="241" customFormat="1" ht="19.5" customHeight="1" thickBot="1" thickTop="1">
      <c r="A12" s="356">
        <v>600</v>
      </c>
      <c r="B12" s="356"/>
      <c r="C12" s="357" t="s">
        <v>551</v>
      </c>
      <c r="D12" s="358">
        <f aca="true" t="shared" si="0" ref="D12:D68">E12+F12+G12</f>
        <v>88845356</v>
      </c>
      <c r="E12" s="358">
        <f>49263000+80000</f>
        <v>49343000</v>
      </c>
      <c r="F12" s="358">
        <v>38002356</v>
      </c>
      <c r="G12" s="358">
        <v>1500000</v>
      </c>
      <c r="H12" s="359">
        <f>H13+H16+H19+H21</f>
        <v>140000</v>
      </c>
      <c r="I12" s="360">
        <f aca="true" t="shared" si="1" ref="I12:I73">J12+K12+L12</f>
        <v>88985356</v>
      </c>
      <c r="J12" s="361">
        <f>E12+H14+H15+H17+H18+H20+H22</f>
        <v>49483000</v>
      </c>
      <c r="K12" s="361">
        <f>F12</f>
        <v>38002356</v>
      </c>
      <c r="L12" s="362">
        <f>G12</f>
        <v>1500000</v>
      </c>
      <c r="M12" s="124"/>
      <c r="N12" s="124"/>
    </row>
    <row r="13" spans="1:14" s="241" customFormat="1" ht="29.25" customHeight="1">
      <c r="A13" s="363"/>
      <c r="B13" s="364">
        <v>60015</v>
      </c>
      <c r="C13" s="603" t="s">
        <v>70</v>
      </c>
      <c r="D13" s="365">
        <f t="shared" si="0"/>
        <v>77685356</v>
      </c>
      <c r="E13" s="365">
        <f>38133000+50000</f>
        <v>38183000</v>
      </c>
      <c r="F13" s="365">
        <v>38002356</v>
      </c>
      <c r="G13" s="365">
        <v>1500000</v>
      </c>
      <c r="H13" s="366">
        <f>SUM(H14:H15)</f>
        <v>-1760000</v>
      </c>
      <c r="I13" s="367">
        <f t="shared" si="1"/>
        <v>75925356</v>
      </c>
      <c r="J13" s="368">
        <f>E13+H14+H15</f>
        <v>36423000</v>
      </c>
      <c r="K13" s="368">
        <f>F13</f>
        <v>38002356</v>
      </c>
      <c r="L13" s="369">
        <f>G13</f>
        <v>1500000</v>
      </c>
      <c r="M13" s="124"/>
      <c r="N13" s="124"/>
    </row>
    <row r="14" spans="1:14" s="241" customFormat="1" ht="42.75">
      <c r="A14" s="363"/>
      <c r="B14" s="767"/>
      <c r="C14" s="1198" t="s">
        <v>368</v>
      </c>
      <c r="D14" s="770">
        <f t="shared" si="0"/>
        <v>1700000</v>
      </c>
      <c r="E14" s="770">
        <v>1700000</v>
      </c>
      <c r="F14" s="770"/>
      <c r="G14" s="770"/>
      <c r="H14" s="771">
        <v>-1560000</v>
      </c>
      <c r="I14" s="772">
        <f t="shared" si="1"/>
        <v>140000</v>
      </c>
      <c r="J14" s="769">
        <f>E14+H14</f>
        <v>140000</v>
      </c>
      <c r="K14" s="769"/>
      <c r="L14" s="773"/>
      <c r="M14" s="124"/>
      <c r="N14" s="124"/>
    </row>
    <row r="15" spans="1:14" s="22" customFormat="1" ht="25.5">
      <c r="A15" s="363"/>
      <c r="B15" s="370"/>
      <c r="C15" s="1197" t="s">
        <v>248</v>
      </c>
      <c r="D15" s="638">
        <f t="shared" si="0"/>
        <v>280000</v>
      </c>
      <c r="E15" s="638">
        <v>280000</v>
      </c>
      <c r="F15" s="638"/>
      <c r="G15" s="638"/>
      <c r="H15" s="639">
        <v>-200000</v>
      </c>
      <c r="I15" s="640">
        <f t="shared" si="1"/>
        <v>80000</v>
      </c>
      <c r="J15" s="641">
        <f>E15+H15</f>
        <v>80000</v>
      </c>
      <c r="K15" s="641"/>
      <c r="L15" s="642"/>
      <c r="M15" s="47"/>
      <c r="N15" s="47"/>
    </row>
    <row r="16" spans="1:14" s="241" customFormat="1" ht="21" customHeight="1">
      <c r="A16" s="363"/>
      <c r="B16" s="364">
        <v>60016</v>
      </c>
      <c r="C16" s="159" t="s">
        <v>115</v>
      </c>
      <c r="D16" s="365">
        <f t="shared" si="0"/>
        <v>4800000</v>
      </c>
      <c r="E16" s="365">
        <v>4800000</v>
      </c>
      <c r="F16" s="365"/>
      <c r="G16" s="365"/>
      <c r="H16" s="366">
        <f>SUM(H17:H18)</f>
        <v>1788000</v>
      </c>
      <c r="I16" s="367">
        <f t="shared" si="1"/>
        <v>6588000</v>
      </c>
      <c r="J16" s="368">
        <f>E16+H17+H18</f>
        <v>6588000</v>
      </c>
      <c r="K16" s="368"/>
      <c r="L16" s="369"/>
      <c r="M16" s="124"/>
      <c r="N16" s="124"/>
    </row>
    <row r="17" spans="1:14" s="241" customFormat="1" ht="28.5" customHeight="1">
      <c r="A17" s="363"/>
      <c r="B17" s="767"/>
      <c r="C17" s="1199" t="s">
        <v>249</v>
      </c>
      <c r="D17" s="1200">
        <f t="shared" si="0"/>
        <v>2025000</v>
      </c>
      <c r="E17" s="1200">
        <v>2025000</v>
      </c>
      <c r="F17" s="1200"/>
      <c r="G17" s="1200"/>
      <c r="H17" s="1201">
        <v>1763000</v>
      </c>
      <c r="I17" s="1202">
        <f t="shared" si="1"/>
        <v>3788000</v>
      </c>
      <c r="J17" s="1199">
        <f>E17+H17</f>
        <v>3788000</v>
      </c>
      <c r="K17" s="1199"/>
      <c r="L17" s="1203"/>
      <c r="M17" s="124"/>
      <c r="N17" s="124"/>
    </row>
    <row r="18" spans="1:14" s="241" customFormat="1" ht="21" customHeight="1">
      <c r="A18" s="363"/>
      <c r="B18" s="767"/>
      <c r="C18" s="1204" t="s">
        <v>370</v>
      </c>
      <c r="D18" s="1205">
        <f t="shared" si="0"/>
        <v>225000</v>
      </c>
      <c r="E18" s="1205">
        <v>225000</v>
      </c>
      <c r="F18" s="1205"/>
      <c r="G18" s="1205"/>
      <c r="H18" s="1206">
        <v>25000</v>
      </c>
      <c r="I18" s="1207">
        <f t="shared" si="1"/>
        <v>250000</v>
      </c>
      <c r="J18" s="1204">
        <f>E18+H18</f>
        <v>250000</v>
      </c>
      <c r="K18" s="1204"/>
      <c r="L18" s="1208"/>
      <c r="M18" s="124"/>
      <c r="N18" s="124"/>
    </row>
    <row r="19" spans="1:14" s="241" customFormat="1" ht="21" customHeight="1">
      <c r="A19" s="363"/>
      <c r="B19" s="364">
        <v>60017</v>
      </c>
      <c r="C19" s="159" t="s">
        <v>456</v>
      </c>
      <c r="D19" s="365">
        <f t="shared" si="0"/>
        <v>360000</v>
      </c>
      <c r="E19" s="365">
        <v>360000</v>
      </c>
      <c r="F19" s="365"/>
      <c r="G19" s="365"/>
      <c r="H19" s="366">
        <f>H20</f>
        <v>-28000</v>
      </c>
      <c r="I19" s="367">
        <f t="shared" si="1"/>
        <v>332000</v>
      </c>
      <c r="J19" s="368">
        <f>E19+H20</f>
        <v>332000</v>
      </c>
      <c r="K19" s="368"/>
      <c r="L19" s="369"/>
      <c r="M19" s="124"/>
      <c r="N19" s="124"/>
    </row>
    <row r="20" spans="1:14" s="241" customFormat="1" ht="21" customHeight="1">
      <c r="A20" s="363"/>
      <c r="B20" s="767"/>
      <c r="C20" s="1199" t="s">
        <v>384</v>
      </c>
      <c r="D20" s="1090">
        <f t="shared" si="0"/>
        <v>120000</v>
      </c>
      <c r="E20" s="1090">
        <v>120000</v>
      </c>
      <c r="F20" s="1090"/>
      <c r="G20" s="1090"/>
      <c r="H20" s="1091">
        <v>-28000</v>
      </c>
      <c r="I20" s="1092">
        <f t="shared" si="1"/>
        <v>92000</v>
      </c>
      <c r="J20" s="1093">
        <f>E20+H20</f>
        <v>92000</v>
      </c>
      <c r="K20" s="1093"/>
      <c r="L20" s="1094"/>
      <c r="M20" s="124"/>
      <c r="N20" s="124"/>
    </row>
    <row r="21" spans="1:14" s="241" customFormat="1" ht="21" customHeight="1">
      <c r="A21" s="363"/>
      <c r="B21" s="364">
        <v>60095</v>
      </c>
      <c r="C21" s="159" t="s">
        <v>553</v>
      </c>
      <c r="D21" s="365">
        <f t="shared" si="0"/>
        <v>300000</v>
      </c>
      <c r="E21" s="365">
        <v>300000</v>
      </c>
      <c r="F21" s="365"/>
      <c r="G21" s="365"/>
      <c r="H21" s="366">
        <f>H22</f>
        <v>140000</v>
      </c>
      <c r="I21" s="367">
        <f t="shared" si="1"/>
        <v>440000</v>
      </c>
      <c r="J21" s="368">
        <f>E21+H22</f>
        <v>440000</v>
      </c>
      <c r="K21" s="368"/>
      <c r="L21" s="369"/>
      <c r="M21" s="124"/>
      <c r="N21" s="124"/>
    </row>
    <row r="22" spans="1:14" s="241" customFormat="1" ht="25.5">
      <c r="A22" s="363"/>
      <c r="B22" s="767"/>
      <c r="C22" s="1199" t="s">
        <v>307</v>
      </c>
      <c r="D22" s="1200"/>
      <c r="E22" s="1200"/>
      <c r="F22" s="1200"/>
      <c r="G22" s="1200"/>
      <c r="H22" s="1201">
        <v>140000</v>
      </c>
      <c r="I22" s="1202">
        <f t="shared" si="1"/>
        <v>140000</v>
      </c>
      <c r="J22" s="1199">
        <f>H22</f>
        <v>140000</v>
      </c>
      <c r="K22" s="1199"/>
      <c r="L22" s="1203"/>
      <c r="M22" s="124"/>
      <c r="N22" s="124"/>
    </row>
    <row r="23" spans="1:14" s="241" customFormat="1" ht="19.5" customHeight="1" thickBot="1">
      <c r="A23" s="356">
        <v>630</v>
      </c>
      <c r="B23" s="356"/>
      <c r="C23" s="357" t="s">
        <v>139</v>
      </c>
      <c r="D23" s="358">
        <f t="shared" si="0"/>
        <v>506512</v>
      </c>
      <c r="E23" s="358">
        <v>126628</v>
      </c>
      <c r="F23" s="358">
        <v>379884</v>
      </c>
      <c r="G23" s="358"/>
      <c r="H23" s="359">
        <f>H24</f>
        <v>22144</v>
      </c>
      <c r="I23" s="360">
        <f>D23+H23</f>
        <v>528656</v>
      </c>
      <c r="J23" s="361">
        <f>E23+18700+861</f>
        <v>146189</v>
      </c>
      <c r="K23" s="361">
        <f>F23+2583</f>
        <v>382467</v>
      </c>
      <c r="L23" s="362"/>
      <c r="M23" s="124"/>
      <c r="N23" s="124"/>
    </row>
    <row r="24" spans="1:14" s="241" customFormat="1" ht="21" customHeight="1">
      <c r="A24" s="363"/>
      <c r="B24" s="364">
        <v>63003</v>
      </c>
      <c r="C24" s="159" t="s">
        <v>140</v>
      </c>
      <c r="D24" s="481">
        <f t="shared" si="0"/>
        <v>506512</v>
      </c>
      <c r="E24" s="481">
        <v>126628</v>
      </c>
      <c r="F24" s="481">
        <v>379884</v>
      </c>
      <c r="G24" s="481"/>
      <c r="H24" s="482">
        <f>SUM(H25:H25)</f>
        <v>22144</v>
      </c>
      <c r="I24" s="483">
        <f>D24+H24</f>
        <v>528656</v>
      </c>
      <c r="J24" s="484">
        <f>E24+18700+861</f>
        <v>146189</v>
      </c>
      <c r="K24" s="484">
        <f>F24+2583</f>
        <v>382467</v>
      </c>
      <c r="L24" s="485"/>
      <c r="M24" s="124"/>
      <c r="N24" s="124"/>
    </row>
    <row r="25" spans="1:14" s="274" customFormat="1" ht="25.5">
      <c r="A25" s="412"/>
      <c r="B25" s="413"/>
      <c r="C25" s="1149" t="s">
        <v>304</v>
      </c>
      <c r="D25" s="1146">
        <f>E25+F25+G25</f>
        <v>506512</v>
      </c>
      <c r="E25" s="1146">
        <v>126628</v>
      </c>
      <c r="F25" s="1146">
        <v>379884</v>
      </c>
      <c r="G25" s="1146"/>
      <c r="H25" s="1147">
        <f>18700+3444</f>
        <v>22144</v>
      </c>
      <c r="I25" s="1148">
        <f>D25+H25</f>
        <v>528656</v>
      </c>
      <c r="J25" s="1149">
        <v>146189</v>
      </c>
      <c r="K25" s="1149">
        <v>382467</v>
      </c>
      <c r="L25" s="1150"/>
      <c r="M25" s="414"/>
      <c r="N25" s="414"/>
    </row>
    <row r="26" spans="1:14" s="241" customFormat="1" ht="21.75" customHeight="1" thickBot="1">
      <c r="A26" s="356">
        <v>750</v>
      </c>
      <c r="B26" s="356"/>
      <c r="C26" s="357" t="s">
        <v>558</v>
      </c>
      <c r="D26" s="358">
        <f t="shared" si="0"/>
        <v>6319915</v>
      </c>
      <c r="E26" s="358">
        <v>5344220</v>
      </c>
      <c r="F26" s="358">
        <v>973145</v>
      </c>
      <c r="G26" s="358">
        <v>2550</v>
      </c>
      <c r="H26" s="359">
        <f>H27</f>
        <v>-80000</v>
      </c>
      <c r="I26" s="360">
        <f>J26+K26+L26</f>
        <v>6239915</v>
      </c>
      <c r="J26" s="361">
        <f>E26+H28</f>
        <v>5264220</v>
      </c>
      <c r="K26" s="361">
        <f>F26</f>
        <v>973145</v>
      </c>
      <c r="L26" s="362">
        <f>G26</f>
        <v>2550</v>
      </c>
      <c r="M26" s="124"/>
      <c r="N26" s="124"/>
    </row>
    <row r="27" spans="1:14" s="241" customFormat="1" ht="21" customHeight="1">
      <c r="A27" s="363"/>
      <c r="B27" s="364">
        <v>75023</v>
      </c>
      <c r="C27" s="159" t="s">
        <v>573</v>
      </c>
      <c r="D27" s="365">
        <f t="shared" si="0"/>
        <v>6309715</v>
      </c>
      <c r="E27" s="365">
        <v>5344220</v>
      </c>
      <c r="F27" s="365">
        <v>965495</v>
      </c>
      <c r="G27" s="365"/>
      <c r="H27" s="366">
        <f>H28</f>
        <v>-80000</v>
      </c>
      <c r="I27" s="367">
        <f t="shared" si="1"/>
        <v>6229715</v>
      </c>
      <c r="J27" s="368">
        <f>E27+H28</f>
        <v>5264220</v>
      </c>
      <c r="K27" s="368">
        <f>F27</f>
        <v>965495</v>
      </c>
      <c r="L27" s="369"/>
      <c r="M27" s="124"/>
      <c r="N27" s="124"/>
    </row>
    <row r="28" spans="1:14" s="22" customFormat="1" ht="20.25" customHeight="1">
      <c r="A28" s="363"/>
      <c r="B28" s="370"/>
      <c r="C28" s="408" t="s">
        <v>172</v>
      </c>
      <c r="D28" s="1151">
        <f t="shared" si="0"/>
        <v>1342000</v>
      </c>
      <c r="E28" s="1151">
        <v>1342000</v>
      </c>
      <c r="F28" s="1151"/>
      <c r="G28" s="1151"/>
      <c r="H28" s="1152">
        <v>-80000</v>
      </c>
      <c r="I28" s="1153">
        <f t="shared" si="1"/>
        <v>1262000</v>
      </c>
      <c r="J28" s="1154">
        <f>E28+H28</f>
        <v>1262000</v>
      </c>
      <c r="K28" s="1154"/>
      <c r="L28" s="1155"/>
      <c r="M28" s="47"/>
      <c r="N28" s="47"/>
    </row>
    <row r="29" spans="1:14" s="22" customFormat="1" ht="20.25" customHeight="1">
      <c r="A29" s="1258"/>
      <c r="B29" s="1259"/>
      <c r="C29" s="1260"/>
      <c r="D29" s="1260"/>
      <c r="E29" s="1260"/>
      <c r="F29" s="1260"/>
      <c r="G29" s="1260"/>
      <c r="H29" s="1260"/>
      <c r="I29" s="1260"/>
      <c r="J29" s="1260"/>
      <c r="K29" s="1260"/>
      <c r="L29" s="1260"/>
      <c r="M29" s="47"/>
      <c r="N29" s="47"/>
    </row>
    <row r="30" spans="1:14" s="22" customFormat="1" ht="20.25" customHeight="1">
      <c r="A30" s="1261"/>
      <c r="B30" s="1262"/>
      <c r="C30" s="1263"/>
      <c r="D30" s="1263"/>
      <c r="E30" s="1263"/>
      <c r="F30" s="1263"/>
      <c r="G30" s="1263"/>
      <c r="H30" s="1263"/>
      <c r="I30" s="1263"/>
      <c r="J30" s="1263"/>
      <c r="K30" s="1263"/>
      <c r="L30" s="1263"/>
      <c r="M30" s="47"/>
      <c r="N30" s="47"/>
    </row>
    <row r="31" spans="1:14" s="22" customFormat="1" ht="20.25" customHeight="1">
      <c r="A31" s="1261"/>
      <c r="B31" s="1262"/>
      <c r="C31" s="1263"/>
      <c r="D31" s="1263"/>
      <c r="E31" s="1263"/>
      <c r="F31" s="1263"/>
      <c r="G31" s="1263"/>
      <c r="H31" s="1263"/>
      <c r="I31" s="1263"/>
      <c r="J31" s="1263"/>
      <c r="K31" s="1263"/>
      <c r="L31" s="1263"/>
      <c r="M31" s="47"/>
      <c r="N31" s="47"/>
    </row>
    <row r="32" spans="1:14" s="241" customFormat="1" ht="29.25" customHeight="1" thickBot="1">
      <c r="A32" s="713">
        <v>754</v>
      </c>
      <c r="B32" s="713"/>
      <c r="C32" s="714" t="s">
        <v>548</v>
      </c>
      <c r="D32" s="715">
        <f t="shared" si="0"/>
        <v>1292914</v>
      </c>
      <c r="E32" s="715">
        <v>1292914</v>
      </c>
      <c r="F32" s="715"/>
      <c r="G32" s="715"/>
      <c r="H32" s="716">
        <f>H33+H35</f>
        <v>-12900</v>
      </c>
      <c r="I32" s="717">
        <f t="shared" si="1"/>
        <v>1280014</v>
      </c>
      <c r="J32" s="718">
        <f>E32+H34+H36</f>
        <v>1280014</v>
      </c>
      <c r="K32" s="718"/>
      <c r="L32" s="719"/>
      <c r="M32" s="124"/>
      <c r="N32" s="124"/>
    </row>
    <row r="33" spans="1:14" s="241" customFormat="1" ht="21" customHeight="1">
      <c r="A33" s="363"/>
      <c r="B33" s="364">
        <v>75412</v>
      </c>
      <c r="C33" s="159" t="s">
        <v>655</v>
      </c>
      <c r="D33" s="365"/>
      <c r="E33" s="365"/>
      <c r="F33" s="365"/>
      <c r="G33" s="365"/>
      <c r="H33" s="366">
        <f>H34</f>
        <v>6100</v>
      </c>
      <c r="I33" s="367">
        <f t="shared" si="1"/>
        <v>6100</v>
      </c>
      <c r="J33" s="368">
        <f>H33</f>
        <v>6100</v>
      </c>
      <c r="K33" s="368"/>
      <c r="L33" s="369"/>
      <c r="M33" s="124"/>
      <c r="N33" s="124"/>
    </row>
    <row r="34" spans="1:14" s="22" customFormat="1" ht="20.25" customHeight="1">
      <c r="A34" s="363"/>
      <c r="B34" s="744"/>
      <c r="C34" s="641" t="s">
        <v>107</v>
      </c>
      <c r="D34" s="593"/>
      <c r="E34" s="593"/>
      <c r="F34" s="593"/>
      <c r="G34" s="593"/>
      <c r="H34" s="594">
        <v>6100</v>
      </c>
      <c r="I34" s="595">
        <f t="shared" si="1"/>
        <v>6100</v>
      </c>
      <c r="J34" s="596">
        <f>H34</f>
        <v>6100</v>
      </c>
      <c r="K34" s="596"/>
      <c r="L34" s="597"/>
      <c r="M34" s="47"/>
      <c r="N34" s="47"/>
    </row>
    <row r="35" spans="1:14" s="241" customFormat="1" ht="21" customHeight="1">
      <c r="A35" s="363"/>
      <c r="B35" s="1257">
        <v>75495</v>
      </c>
      <c r="C35" s="90" t="s">
        <v>553</v>
      </c>
      <c r="D35" s="365">
        <f t="shared" si="0"/>
        <v>811000</v>
      </c>
      <c r="E35" s="365">
        <v>811000</v>
      </c>
      <c r="F35" s="365"/>
      <c r="G35" s="365"/>
      <c r="H35" s="366">
        <f>H36</f>
        <v>-19000</v>
      </c>
      <c r="I35" s="367">
        <f t="shared" si="1"/>
        <v>792000</v>
      </c>
      <c r="J35" s="368">
        <f>E35+H36</f>
        <v>792000</v>
      </c>
      <c r="K35" s="368"/>
      <c r="L35" s="369"/>
      <c r="M35" s="124"/>
      <c r="N35" s="124"/>
    </row>
    <row r="36" spans="1:14" s="22" customFormat="1" ht="20.25" customHeight="1">
      <c r="A36" s="363"/>
      <c r="B36" s="370"/>
      <c r="C36" s="408" t="s">
        <v>437</v>
      </c>
      <c r="D36" s="593">
        <f t="shared" si="0"/>
        <v>696000</v>
      </c>
      <c r="E36" s="593">
        <v>696000</v>
      </c>
      <c r="F36" s="593"/>
      <c r="G36" s="593"/>
      <c r="H36" s="594">
        <f>-4000-15000</f>
        <v>-19000</v>
      </c>
      <c r="I36" s="595">
        <f t="shared" si="1"/>
        <v>677000</v>
      </c>
      <c r="J36" s="596">
        <f>E36+H36</f>
        <v>677000</v>
      </c>
      <c r="K36" s="596"/>
      <c r="L36" s="597"/>
      <c r="M36" s="47"/>
      <c r="N36" s="47"/>
    </row>
    <row r="37" spans="1:14" s="241" customFormat="1" ht="19.5" customHeight="1" thickBot="1">
      <c r="A37" s="356">
        <v>758</v>
      </c>
      <c r="B37" s="356"/>
      <c r="C37" s="357" t="s">
        <v>549</v>
      </c>
      <c r="D37" s="358">
        <f t="shared" si="0"/>
        <v>1826898</v>
      </c>
      <c r="E37" s="358">
        <v>1826898</v>
      </c>
      <c r="F37" s="358"/>
      <c r="G37" s="358"/>
      <c r="H37" s="359">
        <f>H38</f>
        <v>-18700</v>
      </c>
      <c r="I37" s="360">
        <f t="shared" si="1"/>
        <v>1808198</v>
      </c>
      <c r="J37" s="361">
        <f>E37+H39</f>
        <v>1808198</v>
      </c>
      <c r="K37" s="361"/>
      <c r="L37" s="362"/>
      <c r="M37" s="124"/>
      <c r="N37" s="124"/>
    </row>
    <row r="38" spans="1:14" s="241" customFormat="1" ht="21" customHeight="1">
      <c r="A38" s="363"/>
      <c r="B38" s="364">
        <v>75818</v>
      </c>
      <c r="C38" s="1050" t="s">
        <v>550</v>
      </c>
      <c r="D38" s="365">
        <f t="shared" si="0"/>
        <v>1826898</v>
      </c>
      <c r="E38" s="365">
        <v>1826898</v>
      </c>
      <c r="F38" s="365"/>
      <c r="G38" s="365"/>
      <c r="H38" s="366">
        <f>H39</f>
        <v>-18700</v>
      </c>
      <c r="I38" s="367">
        <f t="shared" si="1"/>
        <v>1808198</v>
      </c>
      <c r="J38" s="368">
        <f>E38+H39</f>
        <v>1808198</v>
      </c>
      <c r="K38" s="368"/>
      <c r="L38" s="369"/>
      <c r="M38" s="124"/>
      <c r="N38" s="124"/>
    </row>
    <row r="39" spans="1:14" s="22" customFormat="1" ht="42.75">
      <c r="A39" s="363"/>
      <c r="B39" s="370"/>
      <c r="C39" s="1051" t="s">
        <v>131</v>
      </c>
      <c r="D39" s="593">
        <f t="shared" si="0"/>
        <v>1826898</v>
      </c>
      <c r="E39" s="593">
        <v>1826898</v>
      </c>
      <c r="F39" s="593"/>
      <c r="G39" s="593"/>
      <c r="H39" s="594">
        <v>-18700</v>
      </c>
      <c r="I39" s="595">
        <f t="shared" si="1"/>
        <v>1808198</v>
      </c>
      <c r="J39" s="596">
        <f>E39+H39</f>
        <v>1808198</v>
      </c>
      <c r="K39" s="596"/>
      <c r="L39" s="597"/>
      <c r="M39" s="47"/>
      <c r="N39" s="47"/>
    </row>
    <row r="40" spans="1:14" s="241" customFormat="1" ht="19.5" customHeight="1" thickBot="1">
      <c r="A40" s="356">
        <v>801</v>
      </c>
      <c r="B40" s="356"/>
      <c r="C40" s="357" t="s">
        <v>554</v>
      </c>
      <c r="D40" s="358">
        <f t="shared" si="0"/>
        <v>34862149</v>
      </c>
      <c r="E40" s="358">
        <f>27391453+5170705</f>
        <v>32562158</v>
      </c>
      <c r="F40" s="358"/>
      <c r="G40" s="358">
        <v>2299991</v>
      </c>
      <c r="H40" s="359">
        <f>H41+H45+H48+H52+H54</f>
        <v>-687481</v>
      </c>
      <c r="I40" s="360">
        <f>J40+K40+L40</f>
        <v>34174668</v>
      </c>
      <c r="J40" s="361">
        <f>E40+H42+H43+H44+H46+H47+H49+H50+H51+H53+H55</f>
        <v>31874677</v>
      </c>
      <c r="K40" s="361"/>
      <c r="L40" s="362">
        <f>G40</f>
        <v>2299991</v>
      </c>
      <c r="M40" s="124"/>
      <c r="N40" s="124"/>
    </row>
    <row r="41" spans="1:14" s="241" customFormat="1" ht="21" customHeight="1">
      <c r="A41" s="363"/>
      <c r="B41" s="364">
        <v>80101</v>
      </c>
      <c r="C41" s="159" t="s">
        <v>60</v>
      </c>
      <c r="D41" s="365">
        <f t="shared" si="0"/>
        <v>18311121</v>
      </c>
      <c r="E41" s="365">
        <f>14506130+2305000</f>
        <v>16811130</v>
      </c>
      <c r="F41" s="365"/>
      <c r="G41" s="365">
        <v>1499991</v>
      </c>
      <c r="H41" s="366">
        <f>SUM(H42:H44)</f>
        <v>-488978</v>
      </c>
      <c r="I41" s="367">
        <f t="shared" si="1"/>
        <v>17822143</v>
      </c>
      <c r="J41" s="368">
        <f>E41+H42+H43+H44</f>
        <v>16322152</v>
      </c>
      <c r="K41" s="368"/>
      <c r="L41" s="369">
        <f>G41</f>
        <v>1499991</v>
      </c>
      <c r="M41" s="124"/>
      <c r="N41" s="124"/>
    </row>
    <row r="42" spans="1:14" s="22" customFormat="1" ht="21" customHeight="1">
      <c r="A42" s="363"/>
      <c r="B42" s="370"/>
      <c r="C42" s="1154" t="s">
        <v>201</v>
      </c>
      <c r="D42" s="1151">
        <f t="shared" si="0"/>
        <v>4794130</v>
      </c>
      <c r="E42" s="1151">
        <f>1889130+2305000</f>
        <v>4194130</v>
      </c>
      <c r="F42" s="1151"/>
      <c r="G42" s="1151">
        <v>600000</v>
      </c>
      <c r="H42" s="1152">
        <v>-346978</v>
      </c>
      <c r="I42" s="1153">
        <f t="shared" si="1"/>
        <v>4447152</v>
      </c>
      <c r="J42" s="1154">
        <f>E42+H42</f>
        <v>3847152</v>
      </c>
      <c r="K42" s="1154"/>
      <c r="L42" s="1155">
        <f>G42</f>
        <v>600000</v>
      </c>
      <c r="M42" s="47"/>
      <c r="N42" s="47"/>
    </row>
    <row r="43" spans="1:14" s="22" customFormat="1" ht="21" customHeight="1">
      <c r="A43" s="363"/>
      <c r="B43" s="370"/>
      <c r="C43" s="1209" t="s">
        <v>371</v>
      </c>
      <c r="D43" s="1210">
        <f t="shared" si="0"/>
        <v>67000</v>
      </c>
      <c r="E43" s="1210">
        <v>67000</v>
      </c>
      <c r="F43" s="1210"/>
      <c r="G43" s="1210"/>
      <c r="H43" s="1211">
        <v>-62000</v>
      </c>
      <c r="I43" s="1212">
        <f t="shared" si="1"/>
        <v>5000</v>
      </c>
      <c r="J43" s="1209">
        <f>E43+H43</f>
        <v>5000</v>
      </c>
      <c r="K43" s="1209"/>
      <c r="L43" s="1213"/>
      <c r="M43" s="47"/>
      <c r="N43" s="47"/>
    </row>
    <row r="44" spans="1:14" s="22" customFormat="1" ht="21" customHeight="1">
      <c r="A44" s="363"/>
      <c r="B44" s="370"/>
      <c r="C44" s="371" t="s">
        <v>372</v>
      </c>
      <c r="D44" s="409">
        <f t="shared" si="0"/>
        <v>3400000</v>
      </c>
      <c r="E44" s="409">
        <v>3400000</v>
      </c>
      <c r="F44" s="409"/>
      <c r="G44" s="409"/>
      <c r="H44" s="410">
        <v>-80000</v>
      </c>
      <c r="I44" s="745">
        <f t="shared" si="1"/>
        <v>3320000</v>
      </c>
      <c r="J44" s="371">
        <f>E44+H44</f>
        <v>3320000</v>
      </c>
      <c r="K44" s="371"/>
      <c r="L44" s="411"/>
      <c r="M44" s="47"/>
      <c r="N44" s="47"/>
    </row>
    <row r="45" spans="1:14" s="241" customFormat="1" ht="21" customHeight="1">
      <c r="A45" s="363"/>
      <c r="B45" s="364">
        <v>80104</v>
      </c>
      <c r="C45" s="159" t="s">
        <v>58</v>
      </c>
      <c r="D45" s="1142">
        <f t="shared" si="0"/>
        <v>1404475</v>
      </c>
      <c r="E45" s="1142">
        <f>522170+882305</f>
        <v>1404475</v>
      </c>
      <c r="F45" s="1142"/>
      <c r="G45" s="1142"/>
      <c r="H45" s="1143">
        <f>SUM(H46:H47)</f>
        <v>-55320</v>
      </c>
      <c r="I45" s="1144">
        <f t="shared" si="1"/>
        <v>1349155</v>
      </c>
      <c r="J45" s="603">
        <f>E45+H46+H47</f>
        <v>1349155</v>
      </c>
      <c r="K45" s="603"/>
      <c r="L45" s="1145"/>
      <c r="M45" s="124"/>
      <c r="N45" s="124"/>
    </row>
    <row r="46" spans="1:14" s="274" customFormat="1" ht="21" customHeight="1">
      <c r="A46" s="412"/>
      <c r="B46" s="413"/>
      <c r="C46" s="1006" t="s">
        <v>149</v>
      </c>
      <c r="D46" s="1146">
        <f t="shared" si="0"/>
        <v>450000</v>
      </c>
      <c r="E46" s="1146">
        <v>450000</v>
      </c>
      <c r="F46" s="1146"/>
      <c r="G46" s="1146"/>
      <c r="H46" s="1147">
        <v>-51750</v>
      </c>
      <c r="I46" s="1148">
        <f t="shared" si="1"/>
        <v>398250</v>
      </c>
      <c r="J46" s="1149">
        <f>E46+H46</f>
        <v>398250</v>
      </c>
      <c r="K46" s="1149"/>
      <c r="L46" s="1150"/>
      <c r="M46" s="414"/>
      <c r="N46" s="414"/>
    </row>
    <row r="47" spans="1:14" s="22" customFormat="1" ht="21" customHeight="1">
      <c r="A47" s="363"/>
      <c r="B47" s="370"/>
      <c r="C47" s="371" t="s">
        <v>107</v>
      </c>
      <c r="D47" s="409">
        <f t="shared" si="0"/>
        <v>9570</v>
      </c>
      <c r="E47" s="409">
        <v>9570</v>
      </c>
      <c r="F47" s="409"/>
      <c r="G47" s="409"/>
      <c r="H47" s="410">
        <f>-3570</f>
        <v>-3570</v>
      </c>
      <c r="I47" s="745">
        <f t="shared" si="1"/>
        <v>6000</v>
      </c>
      <c r="J47" s="371">
        <f>E47+H47</f>
        <v>6000</v>
      </c>
      <c r="K47" s="371"/>
      <c r="L47" s="411"/>
      <c r="M47" s="47"/>
      <c r="N47" s="47"/>
    </row>
    <row r="48" spans="1:14" s="241" customFormat="1" ht="21" customHeight="1">
      <c r="A48" s="363"/>
      <c r="B48" s="364">
        <v>80110</v>
      </c>
      <c r="C48" s="159" t="s">
        <v>61</v>
      </c>
      <c r="D48" s="365">
        <f t="shared" si="0"/>
        <v>3252743</v>
      </c>
      <c r="E48" s="365">
        <v>3252743</v>
      </c>
      <c r="F48" s="365"/>
      <c r="G48" s="365"/>
      <c r="H48" s="366">
        <f>SUM(H49:H51)</f>
        <v>-320182</v>
      </c>
      <c r="I48" s="367">
        <f t="shared" si="1"/>
        <v>2932561</v>
      </c>
      <c r="J48" s="368">
        <f>E48+H49+H50+H51</f>
        <v>2932561</v>
      </c>
      <c r="K48" s="368"/>
      <c r="L48" s="369"/>
      <c r="M48" s="124"/>
      <c r="N48" s="124"/>
    </row>
    <row r="49" spans="1:14" s="22" customFormat="1" ht="21" customHeight="1">
      <c r="A49" s="363"/>
      <c r="B49" s="370"/>
      <c r="C49" s="1154" t="s">
        <v>201</v>
      </c>
      <c r="D49" s="1151">
        <f t="shared" si="0"/>
        <v>172743</v>
      </c>
      <c r="E49" s="1151">
        <v>172743</v>
      </c>
      <c r="F49" s="1151"/>
      <c r="G49" s="1151"/>
      <c r="H49" s="1152">
        <v>-172743</v>
      </c>
      <c r="I49" s="1153">
        <f t="shared" si="1"/>
        <v>0</v>
      </c>
      <c r="J49" s="1154">
        <f>E49+H49</f>
        <v>0</v>
      </c>
      <c r="K49" s="1154"/>
      <c r="L49" s="1155"/>
      <c r="M49" s="47"/>
      <c r="N49" s="47"/>
    </row>
    <row r="50" spans="1:14" s="22" customFormat="1" ht="21" customHeight="1">
      <c r="A50" s="363"/>
      <c r="B50" s="370"/>
      <c r="C50" s="720" t="s">
        <v>382</v>
      </c>
      <c r="D50" s="721">
        <f t="shared" si="0"/>
        <v>3000000</v>
      </c>
      <c r="E50" s="721">
        <v>3000000</v>
      </c>
      <c r="F50" s="721"/>
      <c r="G50" s="721"/>
      <c r="H50" s="722">
        <v>-158000</v>
      </c>
      <c r="I50" s="723">
        <f t="shared" si="1"/>
        <v>2842000</v>
      </c>
      <c r="J50" s="720">
        <f>E50+H50</f>
        <v>2842000</v>
      </c>
      <c r="K50" s="720"/>
      <c r="L50" s="724"/>
      <c r="M50" s="47"/>
      <c r="N50" s="47"/>
    </row>
    <row r="51" spans="1:14" s="22" customFormat="1" ht="21" customHeight="1">
      <c r="A51" s="363"/>
      <c r="B51" s="370"/>
      <c r="C51" s="371" t="s">
        <v>163</v>
      </c>
      <c r="D51" s="409">
        <f t="shared" si="0"/>
        <v>80000</v>
      </c>
      <c r="E51" s="409">
        <v>80000</v>
      </c>
      <c r="F51" s="409"/>
      <c r="G51" s="409"/>
      <c r="H51" s="410">
        <v>10561</v>
      </c>
      <c r="I51" s="745">
        <f t="shared" si="1"/>
        <v>90561</v>
      </c>
      <c r="J51" s="371">
        <f>E51+H51</f>
        <v>90561</v>
      </c>
      <c r="K51" s="371"/>
      <c r="L51" s="411"/>
      <c r="M51" s="47"/>
      <c r="N51" s="47"/>
    </row>
    <row r="52" spans="1:14" s="241" customFormat="1" ht="21" customHeight="1">
      <c r="A52" s="363"/>
      <c r="B52" s="364">
        <v>80130</v>
      </c>
      <c r="C52" s="159" t="s">
        <v>600</v>
      </c>
      <c r="D52" s="1142">
        <f t="shared" si="0"/>
        <v>9483590</v>
      </c>
      <c r="E52" s="1142">
        <f>6700190+1983400</f>
        <v>8683590</v>
      </c>
      <c r="F52" s="1142"/>
      <c r="G52" s="1142">
        <v>800000</v>
      </c>
      <c r="H52" s="1143">
        <f>H53</f>
        <v>300000</v>
      </c>
      <c r="I52" s="1144">
        <f t="shared" si="1"/>
        <v>9783590</v>
      </c>
      <c r="J52" s="603">
        <f>E52+H53</f>
        <v>8983590</v>
      </c>
      <c r="K52" s="603"/>
      <c r="L52" s="1145">
        <f>G52</f>
        <v>800000</v>
      </c>
      <c r="M52" s="124"/>
      <c r="N52" s="124"/>
    </row>
    <row r="53" spans="1:14" s="22" customFormat="1" ht="21" customHeight="1">
      <c r="A53" s="363"/>
      <c r="B53" s="370"/>
      <c r="C53" s="641" t="s">
        <v>49</v>
      </c>
      <c r="D53" s="638">
        <f t="shared" si="0"/>
        <v>3350000</v>
      </c>
      <c r="E53" s="638">
        <v>3350000</v>
      </c>
      <c r="F53" s="638"/>
      <c r="G53" s="638"/>
      <c r="H53" s="639">
        <v>300000</v>
      </c>
      <c r="I53" s="640">
        <f t="shared" si="1"/>
        <v>3650000</v>
      </c>
      <c r="J53" s="641">
        <f>E53+H53</f>
        <v>3650000</v>
      </c>
      <c r="K53" s="641"/>
      <c r="L53" s="642"/>
      <c r="M53" s="47"/>
      <c r="N53" s="47"/>
    </row>
    <row r="54" spans="1:14" s="241" customFormat="1" ht="21" customHeight="1">
      <c r="A54" s="363"/>
      <c r="B54" s="364">
        <v>80195</v>
      </c>
      <c r="C54" s="90" t="s">
        <v>553</v>
      </c>
      <c r="D54" s="365">
        <f t="shared" si="0"/>
        <v>280000</v>
      </c>
      <c r="E54" s="365">
        <v>280000</v>
      </c>
      <c r="F54" s="365"/>
      <c r="G54" s="365"/>
      <c r="H54" s="366">
        <f>H55</f>
        <v>-123001</v>
      </c>
      <c r="I54" s="367">
        <f t="shared" si="1"/>
        <v>156999</v>
      </c>
      <c r="J54" s="368">
        <f>E54+H55</f>
        <v>156999</v>
      </c>
      <c r="K54" s="368"/>
      <c r="L54" s="369"/>
      <c r="M54" s="124"/>
      <c r="N54" s="124"/>
    </row>
    <row r="55" spans="1:14" s="22" customFormat="1" ht="21" customHeight="1">
      <c r="A55" s="363"/>
      <c r="B55" s="370"/>
      <c r="C55" s="643" t="s">
        <v>173</v>
      </c>
      <c r="D55" s="593">
        <f t="shared" si="0"/>
        <v>280000</v>
      </c>
      <c r="E55" s="593">
        <v>280000</v>
      </c>
      <c r="F55" s="593"/>
      <c r="G55" s="593"/>
      <c r="H55" s="594">
        <v>-123001</v>
      </c>
      <c r="I55" s="595">
        <f t="shared" si="1"/>
        <v>156999</v>
      </c>
      <c r="J55" s="596">
        <f>E55+H55</f>
        <v>156999</v>
      </c>
      <c r="K55" s="596"/>
      <c r="L55" s="597"/>
      <c r="M55" s="47"/>
      <c r="N55" s="47"/>
    </row>
    <row r="56" spans="1:14" s="241" customFormat="1" ht="19.5" customHeight="1" thickBot="1">
      <c r="A56" s="356">
        <v>851</v>
      </c>
      <c r="B56" s="356"/>
      <c r="C56" s="357" t="s">
        <v>557</v>
      </c>
      <c r="D56" s="358">
        <f t="shared" si="0"/>
        <v>921500</v>
      </c>
      <c r="E56" s="358">
        <v>921500</v>
      </c>
      <c r="F56" s="358"/>
      <c r="G56" s="358"/>
      <c r="H56" s="359">
        <f>H57</f>
        <v>54300</v>
      </c>
      <c r="I56" s="360">
        <f t="shared" si="1"/>
        <v>975800</v>
      </c>
      <c r="J56" s="361">
        <f>E56+H58</f>
        <v>975800</v>
      </c>
      <c r="K56" s="361"/>
      <c r="L56" s="362"/>
      <c r="M56" s="124"/>
      <c r="N56" s="124"/>
    </row>
    <row r="57" spans="1:14" s="241" customFormat="1" ht="21" customHeight="1">
      <c r="A57" s="363"/>
      <c r="B57" s="364">
        <v>85154</v>
      </c>
      <c r="C57" s="159" t="s">
        <v>580</v>
      </c>
      <c r="D57" s="365">
        <f t="shared" si="0"/>
        <v>772500</v>
      </c>
      <c r="E57" s="365">
        <v>772500</v>
      </c>
      <c r="F57" s="365"/>
      <c r="G57" s="365"/>
      <c r="H57" s="366">
        <f>H58</f>
        <v>54300</v>
      </c>
      <c r="I57" s="367">
        <f>J57+K57+L57</f>
        <v>826800</v>
      </c>
      <c r="J57" s="368">
        <f>E57+H58</f>
        <v>826800</v>
      </c>
      <c r="K57" s="368"/>
      <c r="L57" s="369"/>
      <c r="M57" s="124"/>
      <c r="N57" s="124"/>
    </row>
    <row r="58" spans="1:14" s="22" customFormat="1" ht="18" customHeight="1">
      <c r="A58" s="743"/>
      <c r="B58" s="744"/>
      <c r="C58" s="641" t="s">
        <v>107</v>
      </c>
      <c r="D58" s="593">
        <v>72500</v>
      </c>
      <c r="E58" s="593">
        <f>D58</f>
        <v>72500</v>
      </c>
      <c r="F58" s="593"/>
      <c r="G58" s="593"/>
      <c r="H58" s="594">
        <v>54300</v>
      </c>
      <c r="I58" s="595">
        <f aca="true" t="shared" si="2" ref="I58:I63">D58+H58</f>
        <v>126800</v>
      </c>
      <c r="J58" s="596">
        <f>E58+H58</f>
        <v>126800</v>
      </c>
      <c r="K58" s="596"/>
      <c r="L58" s="597"/>
      <c r="M58" s="47"/>
      <c r="N58" s="47"/>
    </row>
    <row r="59" spans="1:14" s="241" customFormat="1" ht="19.5" customHeight="1" thickBot="1">
      <c r="A59" s="356">
        <v>852</v>
      </c>
      <c r="B59" s="356"/>
      <c r="C59" s="357" t="s">
        <v>555</v>
      </c>
      <c r="D59" s="358">
        <f t="shared" si="0"/>
        <v>6029253</v>
      </c>
      <c r="E59" s="358">
        <v>4947653</v>
      </c>
      <c r="F59" s="358"/>
      <c r="G59" s="358">
        <v>1081600</v>
      </c>
      <c r="H59" s="359">
        <f>H60+H63</f>
        <v>1633173</v>
      </c>
      <c r="I59" s="360">
        <f t="shared" si="2"/>
        <v>7662426</v>
      </c>
      <c r="J59" s="361">
        <v>5267556</v>
      </c>
      <c r="K59" s="361"/>
      <c r="L59" s="362">
        <v>2394870</v>
      </c>
      <c r="M59" s="124">
        <f>SUM(J59:L59)</f>
        <v>7662426</v>
      </c>
      <c r="N59" s="124"/>
    </row>
    <row r="60" spans="1:14" s="241" customFormat="1" ht="21" customHeight="1">
      <c r="A60" s="363"/>
      <c r="B60" s="364">
        <v>85201</v>
      </c>
      <c r="C60" s="159" t="s">
        <v>190</v>
      </c>
      <c r="D60" s="481">
        <f t="shared" si="0"/>
        <v>1240000</v>
      </c>
      <c r="E60" s="481">
        <v>1240000</v>
      </c>
      <c r="F60" s="481"/>
      <c r="G60" s="481"/>
      <c r="H60" s="482">
        <f>SUM(H61:H62)</f>
        <v>977223</v>
      </c>
      <c r="I60" s="483">
        <f t="shared" si="2"/>
        <v>2217223</v>
      </c>
      <c r="J60" s="484">
        <v>1421663</v>
      </c>
      <c r="K60" s="484"/>
      <c r="L60" s="485">
        <f>L62+L61</f>
        <v>795560</v>
      </c>
      <c r="M60" s="124">
        <f>SUM(J60:L60)</f>
        <v>2217223</v>
      </c>
      <c r="N60" s="124"/>
    </row>
    <row r="61" spans="1:15" s="22" customFormat="1" ht="18.75" customHeight="1">
      <c r="A61" s="363"/>
      <c r="B61" s="370"/>
      <c r="C61" s="1234" t="s">
        <v>305</v>
      </c>
      <c r="D61" s="1245">
        <f t="shared" si="0"/>
        <v>423000</v>
      </c>
      <c r="E61" s="1245">
        <v>423000</v>
      </c>
      <c r="F61" s="1245"/>
      <c r="G61" s="1245"/>
      <c r="H61" s="1246">
        <v>905323</v>
      </c>
      <c r="I61" s="1247">
        <f t="shared" si="2"/>
        <v>1328323</v>
      </c>
      <c r="J61" s="1248">
        <v>591663</v>
      </c>
      <c r="K61" s="1248"/>
      <c r="L61" s="1249">
        <v>736660</v>
      </c>
      <c r="M61" s="47"/>
      <c r="N61" s="47"/>
      <c r="O61" s="22" t="s">
        <v>303</v>
      </c>
    </row>
    <row r="62" spans="1:14" s="22" customFormat="1" ht="18.75" customHeight="1">
      <c r="A62" s="363"/>
      <c r="B62" s="370"/>
      <c r="C62" s="1229" t="s">
        <v>107</v>
      </c>
      <c r="D62" s="1236">
        <v>17000</v>
      </c>
      <c r="E62" s="1236">
        <f>D62</f>
        <v>17000</v>
      </c>
      <c r="F62" s="1236"/>
      <c r="G62" s="1236"/>
      <c r="H62" s="1237">
        <v>71900</v>
      </c>
      <c r="I62" s="1238">
        <f t="shared" si="2"/>
        <v>88900</v>
      </c>
      <c r="J62" s="1235">
        <v>30000</v>
      </c>
      <c r="K62" s="1235"/>
      <c r="L62" s="1239">
        <v>58900</v>
      </c>
      <c r="M62" s="47"/>
      <c r="N62" s="47"/>
    </row>
    <row r="63" spans="1:15" s="241" customFormat="1" ht="21" customHeight="1">
      <c r="A63" s="363"/>
      <c r="B63" s="364">
        <v>85202</v>
      </c>
      <c r="C63" s="159" t="s">
        <v>82</v>
      </c>
      <c r="D63" s="1142">
        <v>4358253</v>
      </c>
      <c r="E63" s="1142">
        <v>3314153</v>
      </c>
      <c r="F63" s="1142"/>
      <c r="G63" s="1142">
        <v>1044100</v>
      </c>
      <c r="H63" s="1143">
        <f>SUM(H64:H66)</f>
        <v>655950</v>
      </c>
      <c r="I63" s="1144">
        <f t="shared" si="2"/>
        <v>5014203</v>
      </c>
      <c r="J63" s="603">
        <f>E63+47600+72540+18100</f>
        <v>3452393</v>
      </c>
      <c r="K63" s="603"/>
      <c r="L63" s="1145">
        <f>G63+235150+134300+148260</f>
        <v>1561810</v>
      </c>
      <c r="M63" s="124"/>
      <c r="N63" s="124"/>
      <c r="O63" s="22"/>
    </row>
    <row r="64" spans="1:15" s="22" customFormat="1" ht="25.5">
      <c r="A64" s="363"/>
      <c r="B64" s="370"/>
      <c r="C64" s="1229" t="s">
        <v>167</v>
      </c>
      <c r="D64" s="1230">
        <f t="shared" si="0"/>
        <v>2015695</v>
      </c>
      <c r="E64" s="1230">
        <v>2015695</v>
      </c>
      <c r="F64" s="1230"/>
      <c r="G64" s="1230"/>
      <c r="H64" s="1231">
        <v>235150</v>
      </c>
      <c r="I64" s="1232">
        <f t="shared" si="1"/>
        <v>2250845</v>
      </c>
      <c r="J64" s="1229">
        <f>E64</f>
        <v>2015695</v>
      </c>
      <c r="K64" s="1229"/>
      <c r="L64" s="1233">
        <v>235150</v>
      </c>
      <c r="M64" s="47">
        <f>SUM(J64:L64)</f>
        <v>2250845</v>
      </c>
      <c r="N64" s="47"/>
      <c r="O64" s="22" t="s">
        <v>303</v>
      </c>
    </row>
    <row r="65" spans="1:15" s="22" customFormat="1" ht="25.5">
      <c r="A65" s="743"/>
      <c r="B65" s="744"/>
      <c r="C65" s="1235" t="s">
        <v>313</v>
      </c>
      <c r="D65" s="1236">
        <f t="shared" si="0"/>
        <v>279058</v>
      </c>
      <c r="E65" s="1236">
        <v>16058</v>
      </c>
      <c r="F65" s="1236"/>
      <c r="G65" s="1236">
        <v>263000</v>
      </c>
      <c r="H65" s="1237">
        <v>145000</v>
      </c>
      <c r="I65" s="1238">
        <f t="shared" si="1"/>
        <v>424058</v>
      </c>
      <c r="J65" s="1235">
        <f>E65+47600</f>
        <v>63658</v>
      </c>
      <c r="K65" s="1235"/>
      <c r="L65" s="1239">
        <f>G65+97400</f>
        <v>360400</v>
      </c>
      <c r="M65" s="47"/>
      <c r="N65" s="47"/>
      <c r="O65" s="22" t="s">
        <v>303</v>
      </c>
    </row>
    <row r="66" spans="1:15" s="22" customFormat="1" ht="19.5" customHeight="1">
      <c r="A66" s="363"/>
      <c r="B66" s="370"/>
      <c r="C66" s="1229" t="s">
        <v>306</v>
      </c>
      <c r="D66" s="1230">
        <f t="shared" si="0"/>
        <v>276500</v>
      </c>
      <c r="E66" s="1230">
        <v>138250</v>
      </c>
      <c r="F66" s="1230"/>
      <c r="G66" s="1230">
        <v>138250</v>
      </c>
      <c r="H66" s="1231">
        <f>55000+220800</f>
        <v>275800</v>
      </c>
      <c r="I66" s="1232">
        <f>D66+H66</f>
        <v>552300</v>
      </c>
      <c r="J66" s="1229">
        <f>E66+72540+18100</f>
        <v>228890</v>
      </c>
      <c r="K66" s="1229"/>
      <c r="L66" s="1233">
        <f>G66+148260+36900</f>
        <v>323410</v>
      </c>
      <c r="M66" s="47">
        <f>SUM(J66:L66)</f>
        <v>552300</v>
      </c>
      <c r="N66" s="47"/>
      <c r="O66" s="22" t="s">
        <v>303</v>
      </c>
    </row>
    <row r="67" spans="1:14" s="241" customFormat="1" ht="26.25" thickBot="1">
      <c r="A67" s="356">
        <v>853</v>
      </c>
      <c r="B67" s="356"/>
      <c r="C67" s="357" t="s">
        <v>598</v>
      </c>
      <c r="D67" s="358">
        <f t="shared" si="0"/>
        <v>732250</v>
      </c>
      <c r="E67" s="358">
        <v>662750</v>
      </c>
      <c r="F67" s="358">
        <v>3500</v>
      </c>
      <c r="G67" s="358">
        <v>66000</v>
      </c>
      <c r="H67" s="359">
        <f>H68</f>
        <v>8000</v>
      </c>
      <c r="I67" s="360">
        <f t="shared" si="1"/>
        <v>740250</v>
      </c>
      <c r="J67" s="361">
        <f>E67+H69</f>
        <v>670750</v>
      </c>
      <c r="K67" s="361">
        <f>F67</f>
        <v>3500</v>
      </c>
      <c r="L67" s="362">
        <f>G67</f>
        <v>66000</v>
      </c>
      <c r="M67" s="124"/>
      <c r="N67" s="124"/>
    </row>
    <row r="68" spans="1:14" s="241" customFormat="1" ht="18.75" customHeight="1">
      <c r="A68" s="363"/>
      <c r="B68" s="364">
        <v>85305</v>
      </c>
      <c r="C68" s="603" t="s">
        <v>436</v>
      </c>
      <c r="D68" s="365">
        <f t="shared" si="0"/>
        <v>300000</v>
      </c>
      <c r="E68" s="365">
        <v>300000</v>
      </c>
      <c r="F68" s="365"/>
      <c r="G68" s="365"/>
      <c r="H68" s="366">
        <f>H69</f>
        <v>8000</v>
      </c>
      <c r="I68" s="367">
        <f t="shared" si="1"/>
        <v>308000</v>
      </c>
      <c r="J68" s="368">
        <f>E68+H69</f>
        <v>308000</v>
      </c>
      <c r="K68" s="368"/>
      <c r="L68" s="369"/>
      <c r="M68" s="124"/>
      <c r="N68" s="124"/>
    </row>
    <row r="69" spans="1:14" s="22" customFormat="1" ht="19.5" customHeight="1">
      <c r="A69" s="743"/>
      <c r="B69" s="744"/>
      <c r="C69" s="596" t="s">
        <v>107</v>
      </c>
      <c r="D69" s="593"/>
      <c r="E69" s="593"/>
      <c r="F69" s="593"/>
      <c r="G69" s="593"/>
      <c r="H69" s="594">
        <v>8000</v>
      </c>
      <c r="I69" s="595">
        <f t="shared" si="1"/>
        <v>8000</v>
      </c>
      <c r="J69" s="596">
        <v>8000</v>
      </c>
      <c r="K69" s="596"/>
      <c r="L69" s="597"/>
      <c r="M69" s="47"/>
      <c r="N69" s="47"/>
    </row>
    <row r="70" spans="1:14" s="241" customFormat="1" ht="28.5" customHeight="1" thickBot="1">
      <c r="A70" s="713">
        <v>900</v>
      </c>
      <c r="B70" s="713"/>
      <c r="C70" s="714" t="s">
        <v>764</v>
      </c>
      <c r="D70" s="715">
        <f aca="true" t="shared" si="3" ref="D70:D90">E70+F70+G70</f>
        <v>37043379</v>
      </c>
      <c r="E70" s="715">
        <v>31300769</v>
      </c>
      <c r="F70" s="715">
        <v>5242610</v>
      </c>
      <c r="G70" s="715">
        <v>500000</v>
      </c>
      <c r="H70" s="716">
        <f>H71+H80+H82+H84+H86</f>
        <v>-300000</v>
      </c>
      <c r="I70" s="717">
        <f t="shared" si="1"/>
        <v>36743379</v>
      </c>
      <c r="J70" s="718">
        <f>E70+H72+H73+H74+H75+H76+H77+H78+H79+H81+H83+H85+H87+H88</f>
        <v>31000769</v>
      </c>
      <c r="K70" s="718">
        <f>F70</f>
        <v>5242610</v>
      </c>
      <c r="L70" s="719">
        <f>G70</f>
        <v>500000</v>
      </c>
      <c r="M70" s="124"/>
      <c r="N70" s="124"/>
    </row>
    <row r="71" spans="1:14" s="241" customFormat="1" ht="21" customHeight="1">
      <c r="A71" s="363"/>
      <c r="B71" s="364">
        <v>90001</v>
      </c>
      <c r="C71" s="480" t="s">
        <v>124</v>
      </c>
      <c r="D71" s="481">
        <f t="shared" si="3"/>
        <v>8495000</v>
      </c>
      <c r="E71" s="481">
        <v>8495000</v>
      </c>
      <c r="F71" s="481"/>
      <c r="G71" s="481"/>
      <c r="H71" s="482">
        <f>SUM(H72:H79)</f>
        <v>-1225000</v>
      </c>
      <c r="I71" s="483">
        <f t="shared" si="1"/>
        <v>7270000</v>
      </c>
      <c r="J71" s="484">
        <f>E71+H72+H73+H74+H75+H76+H77+H78+H79</f>
        <v>7270000</v>
      </c>
      <c r="K71" s="484"/>
      <c r="L71" s="485"/>
      <c r="M71" s="124"/>
      <c r="N71" s="124"/>
    </row>
    <row r="72" spans="1:16" s="241" customFormat="1" ht="19.5" customHeight="1">
      <c r="A72" s="363"/>
      <c r="B72" s="767"/>
      <c r="C72" s="806" t="s">
        <v>252</v>
      </c>
      <c r="D72" s="770">
        <f t="shared" si="3"/>
        <v>1600000</v>
      </c>
      <c r="E72" s="770">
        <v>1600000</v>
      </c>
      <c r="F72" s="770"/>
      <c r="G72" s="770"/>
      <c r="H72" s="771">
        <v>500000</v>
      </c>
      <c r="I72" s="772">
        <f t="shared" si="1"/>
        <v>2100000</v>
      </c>
      <c r="J72" s="769">
        <f>E72+H72</f>
        <v>2100000</v>
      </c>
      <c r="K72" s="769"/>
      <c r="L72" s="773"/>
      <c r="M72" s="124"/>
      <c r="N72" s="124"/>
      <c r="P72" s="124"/>
    </row>
    <row r="73" spans="1:14" s="22" customFormat="1" ht="30" customHeight="1">
      <c r="A73" s="363"/>
      <c r="B73" s="370"/>
      <c r="C73" s="1214" t="s">
        <v>312</v>
      </c>
      <c r="D73" s="721">
        <f t="shared" si="3"/>
        <v>1460000</v>
      </c>
      <c r="E73" s="721">
        <v>1460000</v>
      </c>
      <c r="F73" s="721"/>
      <c r="G73" s="721"/>
      <c r="H73" s="722">
        <v>-300000</v>
      </c>
      <c r="I73" s="723">
        <f t="shared" si="1"/>
        <v>1160000</v>
      </c>
      <c r="J73" s="720">
        <f aca="true" t="shared" si="4" ref="J73:J79">E73+H73</f>
        <v>1160000</v>
      </c>
      <c r="K73" s="720"/>
      <c r="L73" s="724"/>
      <c r="M73" s="47"/>
      <c r="N73" s="47"/>
    </row>
    <row r="74" spans="1:14" s="22" customFormat="1" ht="28.5">
      <c r="A74" s="363"/>
      <c r="B74" s="370"/>
      <c r="C74" s="1214" t="s">
        <v>250</v>
      </c>
      <c r="D74" s="721">
        <f t="shared" si="3"/>
        <v>200000</v>
      </c>
      <c r="E74" s="721">
        <v>200000</v>
      </c>
      <c r="F74" s="721"/>
      <c r="G74" s="721"/>
      <c r="H74" s="722">
        <v>-40000</v>
      </c>
      <c r="I74" s="723">
        <f aca="true" t="shared" si="5" ref="I74:I90">J74+K74+L74</f>
        <v>160000</v>
      </c>
      <c r="J74" s="720">
        <f t="shared" si="4"/>
        <v>160000</v>
      </c>
      <c r="K74" s="720"/>
      <c r="L74" s="724"/>
      <c r="M74" s="47"/>
      <c r="N74" s="47"/>
    </row>
    <row r="75" spans="1:14" s="22" customFormat="1" ht="28.5">
      <c r="A75" s="363"/>
      <c r="B75" s="370"/>
      <c r="C75" s="806" t="s">
        <v>375</v>
      </c>
      <c r="D75" s="721">
        <f t="shared" si="3"/>
        <v>570000</v>
      </c>
      <c r="E75" s="721">
        <v>570000</v>
      </c>
      <c r="F75" s="721"/>
      <c r="G75" s="721"/>
      <c r="H75" s="722">
        <v>-300000</v>
      </c>
      <c r="I75" s="723">
        <f t="shared" si="5"/>
        <v>270000</v>
      </c>
      <c r="J75" s="720">
        <f t="shared" si="4"/>
        <v>270000</v>
      </c>
      <c r="K75" s="720"/>
      <c r="L75" s="720"/>
      <c r="M75" s="47"/>
      <c r="N75" s="47"/>
    </row>
    <row r="76" spans="1:14" s="22" customFormat="1" ht="42.75">
      <c r="A76" s="363"/>
      <c r="B76" s="370"/>
      <c r="C76" s="806" t="s">
        <v>376</v>
      </c>
      <c r="D76" s="669">
        <f t="shared" si="3"/>
        <v>800000</v>
      </c>
      <c r="E76" s="669">
        <v>800000</v>
      </c>
      <c r="F76" s="669"/>
      <c r="G76" s="669"/>
      <c r="H76" s="670">
        <v>-600000</v>
      </c>
      <c r="I76" s="776">
        <f t="shared" si="5"/>
        <v>200000</v>
      </c>
      <c r="J76" s="668">
        <f t="shared" si="4"/>
        <v>200000</v>
      </c>
      <c r="K76" s="668"/>
      <c r="L76" s="475"/>
      <c r="M76" s="47"/>
      <c r="N76" s="47"/>
    </row>
    <row r="77" spans="1:14" s="274" customFormat="1" ht="18" customHeight="1">
      <c r="A77" s="412"/>
      <c r="B77" s="413"/>
      <c r="C77" s="1198" t="s">
        <v>377</v>
      </c>
      <c r="D77" s="476">
        <f t="shared" si="3"/>
        <v>200000</v>
      </c>
      <c r="E77" s="476">
        <v>200000</v>
      </c>
      <c r="F77" s="476"/>
      <c r="G77" s="476"/>
      <c r="H77" s="477">
        <v>-170000</v>
      </c>
      <c r="I77" s="478">
        <f t="shared" si="5"/>
        <v>30000</v>
      </c>
      <c r="J77" s="475">
        <f t="shared" si="4"/>
        <v>30000</v>
      </c>
      <c r="K77" s="475"/>
      <c r="L77" s="479"/>
      <c r="M77" s="414"/>
      <c r="N77" s="414"/>
    </row>
    <row r="78" spans="1:14" s="274" customFormat="1" ht="18.75" customHeight="1">
      <c r="A78" s="412"/>
      <c r="B78" s="413"/>
      <c r="C78" s="1198" t="s">
        <v>251</v>
      </c>
      <c r="D78" s="1146">
        <f t="shared" si="3"/>
        <v>520000</v>
      </c>
      <c r="E78" s="1146">
        <v>520000</v>
      </c>
      <c r="F78" s="1146"/>
      <c r="G78" s="1146"/>
      <c r="H78" s="1147">
        <v>-300000</v>
      </c>
      <c r="I78" s="1148">
        <f t="shared" si="5"/>
        <v>220000</v>
      </c>
      <c r="J78" s="1149">
        <f t="shared" si="4"/>
        <v>220000</v>
      </c>
      <c r="K78" s="1149"/>
      <c r="L78" s="1150"/>
      <c r="M78" s="414"/>
      <c r="N78" s="414"/>
    </row>
    <row r="79" spans="1:14" s="22" customFormat="1" ht="28.5">
      <c r="A79" s="363"/>
      <c r="B79" s="744"/>
      <c r="C79" s="1179" t="s">
        <v>378</v>
      </c>
      <c r="D79" s="409">
        <f t="shared" si="3"/>
        <v>65000</v>
      </c>
      <c r="E79" s="409">
        <v>65000</v>
      </c>
      <c r="F79" s="409"/>
      <c r="G79" s="409"/>
      <c r="H79" s="410">
        <v>-15000</v>
      </c>
      <c r="I79" s="745">
        <f t="shared" si="5"/>
        <v>50000</v>
      </c>
      <c r="J79" s="371">
        <f t="shared" si="4"/>
        <v>50000</v>
      </c>
      <c r="K79" s="371"/>
      <c r="L79" s="411"/>
      <c r="M79" s="47"/>
      <c r="N79" s="47"/>
    </row>
    <row r="80" spans="1:14" s="22" customFormat="1" ht="19.5" customHeight="1">
      <c r="A80" s="363"/>
      <c r="B80" s="702">
        <v>90002</v>
      </c>
      <c r="C80" s="703" t="s">
        <v>125</v>
      </c>
      <c r="D80" s="704">
        <f t="shared" si="3"/>
        <v>11752379</v>
      </c>
      <c r="E80" s="704">
        <f>4109769+2400000</f>
        <v>6509769</v>
      </c>
      <c r="F80" s="704">
        <v>5242610</v>
      </c>
      <c r="G80" s="704"/>
      <c r="H80" s="705">
        <f>H81</f>
        <v>-200000</v>
      </c>
      <c r="I80" s="706">
        <f t="shared" si="5"/>
        <v>11552379</v>
      </c>
      <c r="J80" s="707">
        <f>E80+H81</f>
        <v>6309769</v>
      </c>
      <c r="K80" s="707">
        <f>F80</f>
        <v>5242610</v>
      </c>
      <c r="L80" s="708"/>
      <c r="M80" s="47"/>
      <c r="N80" s="47"/>
    </row>
    <row r="81" spans="1:14" s="22" customFormat="1" ht="30.75" customHeight="1">
      <c r="A81" s="363"/>
      <c r="B81" s="370"/>
      <c r="C81" s="1240" t="s">
        <v>379</v>
      </c>
      <c r="D81" s="593">
        <f t="shared" si="3"/>
        <v>200000</v>
      </c>
      <c r="E81" s="593">
        <v>200000</v>
      </c>
      <c r="F81" s="593"/>
      <c r="G81" s="593"/>
      <c r="H81" s="594">
        <v>-200000</v>
      </c>
      <c r="I81" s="595">
        <f t="shared" si="5"/>
        <v>0</v>
      </c>
      <c r="J81" s="596">
        <f>E81+H81</f>
        <v>0</v>
      </c>
      <c r="K81" s="596"/>
      <c r="L81" s="597"/>
      <c r="M81" s="47"/>
      <c r="N81" s="47"/>
    </row>
    <row r="82" spans="1:14" s="22" customFormat="1" ht="19.5" customHeight="1">
      <c r="A82" s="363"/>
      <c r="B82" s="702">
        <v>90003</v>
      </c>
      <c r="C82" s="703" t="s">
        <v>126</v>
      </c>
      <c r="D82" s="704">
        <f t="shared" si="3"/>
        <v>100000</v>
      </c>
      <c r="E82" s="704">
        <v>100000</v>
      </c>
      <c r="F82" s="704"/>
      <c r="G82" s="704"/>
      <c r="H82" s="705">
        <f>H83</f>
        <v>-100000</v>
      </c>
      <c r="I82" s="706">
        <f t="shared" si="5"/>
        <v>0</v>
      </c>
      <c r="J82" s="707">
        <f>E82+H83</f>
        <v>0</v>
      </c>
      <c r="K82" s="707"/>
      <c r="L82" s="708"/>
      <c r="M82" s="47"/>
      <c r="N82" s="47"/>
    </row>
    <row r="83" spans="1:14" s="22" customFormat="1" ht="18" customHeight="1">
      <c r="A83" s="363"/>
      <c r="B83" s="370"/>
      <c r="C83" s="1215" t="s">
        <v>385</v>
      </c>
      <c r="D83" s="593">
        <f t="shared" si="3"/>
        <v>100000</v>
      </c>
      <c r="E83" s="593">
        <v>100000</v>
      </c>
      <c r="F83" s="593"/>
      <c r="G83" s="593"/>
      <c r="H83" s="594">
        <v>-100000</v>
      </c>
      <c r="I83" s="595">
        <f t="shared" si="5"/>
        <v>0</v>
      </c>
      <c r="J83" s="596">
        <f>E83+H83</f>
        <v>0</v>
      </c>
      <c r="K83" s="596"/>
      <c r="L83" s="597"/>
      <c r="M83" s="47"/>
      <c r="N83" s="47"/>
    </row>
    <row r="84" spans="1:14" s="22" customFormat="1" ht="19.5" customHeight="1">
      <c r="A84" s="363"/>
      <c r="B84" s="702">
        <v>90004</v>
      </c>
      <c r="C84" s="703" t="s">
        <v>226</v>
      </c>
      <c r="D84" s="704">
        <f t="shared" si="3"/>
        <v>800000</v>
      </c>
      <c r="E84" s="704">
        <v>800000</v>
      </c>
      <c r="F84" s="704"/>
      <c r="G84" s="704"/>
      <c r="H84" s="705">
        <f>H85</f>
        <v>-300000</v>
      </c>
      <c r="I84" s="706">
        <f t="shared" si="5"/>
        <v>500000</v>
      </c>
      <c r="J84" s="707">
        <f>E84+H85</f>
        <v>500000</v>
      </c>
      <c r="K84" s="707"/>
      <c r="L84" s="708"/>
      <c r="M84" s="47"/>
      <c r="N84" s="47"/>
    </row>
    <row r="85" spans="1:14" s="22" customFormat="1" ht="18" customHeight="1">
      <c r="A85" s="363"/>
      <c r="B85" s="370"/>
      <c r="C85" s="641" t="s">
        <v>341</v>
      </c>
      <c r="D85" s="593">
        <f t="shared" si="3"/>
        <v>300000</v>
      </c>
      <c r="E85" s="593">
        <v>300000</v>
      </c>
      <c r="F85" s="593"/>
      <c r="G85" s="593"/>
      <c r="H85" s="594">
        <v>-300000</v>
      </c>
      <c r="I85" s="595">
        <f t="shared" si="5"/>
        <v>0</v>
      </c>
      <c r="J85" s="596">
        <f>E85+H85</f>
        <v>0</v>
      </c>
      <c r="K85" s="596"/>
      <c r="L85" s="597"/>
      <c r="M85" s="47"/>
      <c r="N85" s="47"/>
    </row>
    <row r="86" spans="1:14" s="22" customFormat="1" ht="19.5" customHeight="1">
      <c r="A86" s="363"/>
      <c r="B86" s="702">
        <v>90095</v>
      </c>
      <c r="C86" s="703" t="s">
        <v>553</v>
      </c>
      <c r="D86" s="704">
        <f t="shared" si="3"/>
        <v>15546000</v>
      </c>
      <c r="E86" s="704">
        <v>15046000</v>
      </c>
      <c r="F86" s="704"/>
      <c r="G86" s="704">
        <v>500000</v>
      </c>
      <c r="H86" s="705">
        <f>H87+H88</f>
        <v>1525000</v>
      </c>
      <c r="I86" s="706">
        <f t="shared" si="5"/>
        <v>17071000</v>
      </c>
      <c r="J86" s="707">
        <f>E86+H88+H87</f>
        <v>16571000</v>
      </c>
      <c r="K86" s="707"/>
      <c r="L86" s="708">
        <f>G86</f>
        <v>500000</v>
      </c>
      <c r="M86" s="47"/>
      <c r="N86" s="47"/>
    </row>
    <row r="87" spans="1:14" s="22" customFormat="1" ht="28.5">
      <c r="A87" s="363"/>
      <c r="B87" s="370"/>
      <c r="C87" s="806" t="s">
        <v>253</v>
      </c>
      <c r="D87" s="1151">
        <f t="shared" si="3"/>
        <v>5346000</v>
      </c>
      <c r="E87" s="1151">
        <v>4846000</v>
      </c>
      <c r="F87" s="1151"/>
      <c r="G87" s="1151">
        <v>500000</v>
      </c>
      <c r="H87" s="1152">
        <v>1000000</v>
      </c>
      <c r="I87" s="1153">
        <f t="shared" si="5"/>
        <v>6346000</v>
      </c>
      <c r="J87" s="1154">
        <f>E87+H87</f>
        <v>5846000</v>
      </c>
      <c r="K87" s="1154"/>
      <c r="L87" s="1155">
        <f>G87</f>
        <v>500000</v>
      </c>
      <c r="M87" s="47"/>
      <c r="N87" s="47"/>
    </row>
    <row r="88" spans="1:14" s="22" customFormat="1" ht="28.5">
      <c r="A88" s="363"/>
      <c r="B88" s="370"/>
      <c r="C88" s="1179" t="s">
        <v>381</v>
      </c>
      <c r="D88" s="409">
        <f t="shared" si="3"/>
        <v>2050000</v>
      </c>
      <c r="E88" s="409">
        <v>2050000</v>
      </c>
      <c r="F88" s="409"/>
      <c r="G88" s="409"/>
      <c r="H88" s="410">
        <v>525000</v>
      </c>
      <c r="I88" s="1216">
        <f t="shared" si="5"/>
        <v>2575000</v>
      </c>
      <c r="J88" s="371">
        <f>E88+H88</f>
        <v>2575000</v>
      </c>
      <c r="K88" s="371"/>
      <c r="L88" s="411"/>
      <c r="M88" s="47"/>
      <c r="N88" s="47"/>
    </row>
    <row r="89" spans="1:14" s="1072" customFormat="1" ht="32.25" customHeight="1" thickBot="1">
      <c r="A89" s="1250"/>
      <c r="B89" s="1251"/>
      <c r="C89" s="1252" t="s">
        <v>342</v>
      </c>
      <c r="D89" s="1253">
        <f t="shared" si="3"/>
        <v>1087310</v>
      </c>
      <c r="E89" s="1253">
        <v>567310</v>
      </c>
      <c r="F89" s="1253"/>
      <c r="G89" s="1253">
        <v>520000</v>
      </c>
      <c r="H89" s="1254"/>
      <c r="I89" s="1255">
        <f t="shared" si="5"/>
        <v>1087310</v>
      </c>
      <c r="J89" s="1252">
        <f>E89</f>
        <v>567310</v>
      </c>
      <c r="K89" s="1252"/>
      <c r="L89" s="1256">
        <f>G89</f>
        <v>520000</v>
      </c>
      <c r="M89" s="1071"/>
      <c r="N89" s="1071"/>
    </row>
    <row r="90" spans="1:12" s="379" customFormat="1" ht="21.75" customHeight="1" thickTop="1">
      <c r="A90" s="372"/>
      <c r="B90" s="373"/>
      <c r="C90" s="374" t="s">
        <v>108</v>
      </c>
      <c r="D90" s="375">
        <f t="shared" si="3"/>
        <v>484000</v>
      </c>
      <c r="E90" s="375"/>
      <c r="F90" s="375"/>
      <c r="G90" s="376">
        <v>484000</v>
      </c>
      <c r="H90" s="377"/>
      <c r="I90" s="378">
        <f t="shared" si="5"/>
        <v>484000</v>
      </c>
      <c r="J90" s="375"/>
      <c r="K90" s="375"/>
      <c r="L90" s="375">
        <f>G90</f>
        <v>484000</v>
      </c>
    </row>
    <row r="91" s="379" customFormat="1" ht="12" customHeight="1">
      <c r="C91" s="380"/>
    </row>
    <row r="92" spans="2:12" s="667" customFormat="1" ht="19.5" customHeight="1">
      <c r="B92" s="666"/>
      <c r="C92" s="666"/>
      <c r="D92" s="666"/>
      <c r="E92" s="666"/>
      <c r="F92" s="666"/>
      <c r="G92" s="666"/>
      <c r="H92" s="666"/>
      <c r="I92" s="666"/>
      <c r="J92" s="666"/>
      <c r="K92" s="666"/>
      <c r="L92" s="666"/>
    </row>
    <row r="94" ht="12.75">
      <c r="B94" t="s">
        <v>309</v>
      </c>
    </row>
    <row r="95" spans="3:4" ht="14.25">
      <c r="C95" s="1475" t="s">
        <v>117</v>
      </c>
      <c r="D95" s="1478" t="s">
        <v>118</v>
      </c>
    </row>
    <row r="96" spans="3:4" ht="14.25">
      <c r="C96" s="1475" t="s">
        <v>119</v>
      </c>
      <c r="D96" s="1477" t="s">
        <v>120</v>
      </c>
    </row>
    <row r="97" spans="3:4" ht="14.25">
      <c r="C97" s="1476"/>
      <c r="D97" s="1477" t="s">
        <v>121</v>
      </c>
    </row>
  </sheetData>
  <mergeCells count="3">
    <mergeCell ref="D6:D7"/>
    <mergeCell ref="E6:G6"/>
    <mergeCell ref="J6:L6"/>
  </mergeCells>
  <printOptions horizontalCentered="1"/>
  <pageMargins left="0.3937007874015748" right="0.3937007874015748" top="0.4330708661417323" bottom="0.3937007874015748" header="0.31496062992125984" footer="0.1968503937007874"/>
  <pageSetup firstPageNumber="15" useFirstPageNumber="1" horizontalDpi="300" verticalDpi="300" orientation="landscape" paperSize="9" scale="72" r:id="rId1"/>
  <headerFooter alignWithMargins="0">
    <oddFooter>&amp;C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22"/>
  <sheetViews>
    <sheetView zoomScale="50" zoomScaleNormal="50" workbookViewId="0" topLeftCell="A1">
      <selection activeCell="C11" sqref="C11"/>
    </sheetView>
  </sheetViews>
  <sheetFormatPr defaultColWidth="9.00390625" defaultRowHeight="12.75"/>
  <cols>
    <col min="1" max="1" width="7.375" style="0" customWidth="1"/>
    <col min="2" max="2" width="9.00390625" style="0" customWidth="1"/>
    <col min="3" max="3" width="39.625" style="381" customWidth="1"/>
    <col min="4" max="4" width="37.75390625" style="381" customWidth="1"/>
    <col min="5" max="5" width="16.875" style="381" customWidth="1"/>
    <col min="6" max="6" width="13.25390625" style="676" customWidth="1"/>
    <col min="7" max="7" width="16.125" style="676" customWidth="1"/>
    <col min="8" max="8" width="16.75390625" style="676" customWidth="1"/>
    <col min="9" max="9" width="16.625" style="0" customWidth="1"/>
    <col min="10" max="10" width="16.375" style="0" customWidth="1"/>
    <col min="11" max="11" width="15.875" style="0" customWidth="1"/>
    <col min="12" max="12" width="17.125" style="0" customWidth="1"/>
    <col min="13" max="13" width="11.75390625" style="0" hidden="1" customWidth="1"/>
    <col min="14" max="14" width="15.125" style="0" customWidth="1"/>
    <col min="15" max="15" width="15.375" style="0" customWidth="1"/>
    <col min="16" max="16" width="17.625" style="0" customWidth="1"/>
    <col min="17" max="17" width="11.75390625" style="0" hidden="1" customWidth="1"/>
    <col min="18" max="18" width="12.25390625" style="0" hidden="1" customWidth="1"/>
    <col min="19" max="19" width="3.00390625" style="0" hidden="1" customWidth="1"/>
    <col min="20" max="20" width="15.125" style="0" customWidth="1"/>
    <col min="21" max="21" width="15.375" style="0" customWidth="1"/>
    <col min="22" max="22" width="17.125" style="0" customWidth="1"/>
    <col min="23" max="23" width="16.75390625" style="676" customWidth="1"/>
    <col min="24" max="24" width="16.625" style="0" customWidth="1"/>
    <col min="25" max="25" width="16.375" style="0" customWidth="1"/>
    <col min="26" max="26" width="15.875" style="0" customWidth="1"/>
    <col min="27" max="27" width="16.625" style="0" customWidth="1"/>
    <col min="28" max="28" width="11.75390625" style="0" hidden="1" customWidth="1"/>
    <col min="29" max="29" width="15.125" style="0" customWidth="1"/>
    <col min="30" max="30" width="15.375" style="0" customWidth="1"/>
    <col min="31" max="31" width="17.625" style="0" customWidth="1"/>
    <col min="32" max="32" width="11.75390625" style="0" hidden="1" customWidth="1"/>
    <col min="33" max="33" width="12.25390625" style="0" hidden="1" customWidth="1"/>
    <col min="34" max="34" width="3.00390625" style="0" hidden="1" customWidth="1"/>
    <col min="35" max="35" width="15.125" style="0" customWidth="1"/>
    <col min="36" max="36" width="15.375" style="0" customWidth="1"/>
    <col min="37" max="37" width="17.625" style="0" customWidth="1"/>
  </cols>
  <sheetData>
    <row r="1" spans="3:35" s="872" customFormat="1" ht="21" customHeight="1">
      <c r="C1" s="873"/>
      <c r="D1" s="873"/>
      <c r="E1" s="873"/>
      <c r="F1" s="874"/>
      <c r="G1" s="874"/>
      <c r="H1" s="874"/>
      <c r="N1" s="932"/>
      <c r="T1" s="932"/>
      <c r="W1" s="874"/>
      <c r="AC1" s="932"/>
      <c r="AI1" s="932" t="s">
        <v>289</v>
      </c>
    </row>
    <row r="2" spans="7:35" s="872" customFormat="1" ht="21" customHeight="1">
      <c r="G2" s="875"/>
      <c r="H2" s="875"/>
      <c r="N2" s="932"/>
      <c r="T2" s="932"/>
      <c r="W2" s="875"/>
      <c r="AC2" s="932"/>
      <c r="AI2" s="932" t="s">
        <v>308</v>
      </c>
    </row>
    <row r="3" spans="3:35" s="872" customFormat="1" ht="21" customHeight="1">
      <c r="C3" s="1445" t="s">
        <v>290</v>
      </c>
      <c r="D3" s="1445"/>
      <c r="E3" s="1445"/>
      <c r="F3" s="1445"/>
      <c r="G3" s="1445"/>
      <c r="H3" s="1445"/>
      <c r="I3" s="1445"/>
      <c r="J3" s="1445"/>
      <c r="K3" s="1445"/>
      <c r="L3" s="1445"/>
      <c r="M3" s="1445"/>
      <c r="N3" s="1445"/>
      <c r="O3" s="1445"/>
      <c r="P3" s="1445"/>
      <c r="Q3" s="1445"/>
      <c r="R3" s="1445"/>
      <c r="S3" s="1445"/>
      <c r="T3" s="1445"/>
      <c r="U3" s="1445"/>
      <c r="V3" s="1445"/>
      <c r="W3" s="1445"/>
      <c r="X3" s="1446"/>
      <c r="Y3" s="1446"/>
      <c r="Z3" s="1446"/>
      <c r="AA3" s="1446"/>
      <c r="AC3" s="932"/>
      <c r="AI3" s="932" t="s">
        <v>523</v>
      </c>
    </row>
    <row r="4" spans="3:35" s="872" customFormat="1" ht="21" customHeight="1">
      <c r="C4" s="1447"/>
      <c r="D4" s="1447"/>
      <c r="E4" s="1447"/>
      <c r="F4" s="1447"/>
      <c r="G4" s="1447"/>
      <c r="H4" s="874"/>
      <c r="N4" s="932"/>
      <c r="T4" s="932"/>
      <c r="W4" s="874"/>
      <c r="AC4" s="932"/>
      <c r="AI4" s="932" t="s">
        <v>446</v>
      </c>
    </row>
    <row r="5" spans="3:23" s="872" customFormat="1" ht="21" customHeight="1">
      <c r="C5" s="876"/>
      <c r="D5" s="876"/>
      <c r="E5" s="876"/>
      <c r="F5" s="876"/>
      <c r="G5" s="876"/>
      <c r="H5" s="874"/>
      <c r="W5" s="874"/>
    </row>
    <row r="6" spans="2:37" s="872" customFormat="1" ht="21" customHeight="1" thickBot="1">
      <c r="B6" s="877"/>
      <c r="C6" s="873"/>
      <c r="D6" s="873"/>
      <c r="E6" s="873"/>
      <c r="F6" s="874"/>
      <c r="G6" s="874"/>
      <c r="H6" s="874"/>
      <c r="M6" s="878"/>
      <c r="P6" s="879"/>
      <c r="V6" s="879"/>
      <c r="W6" s="874"/>
      <c r="AB6" s="878"/>
      <c r="AE6" s="879"/>
      <c r="AK6" s="879" t="s">
        <v>524</v>
      </c>
    </row>
    <row r="7" spans="1:37" s="1" customFormat="1" ht="35.25" customHeight="1" thickBot="1" thickTop="1">
      <c r="A7" s="880"/>
      <c r="B7" s="880"/>
      <c r="C7" s="881"/>
      <c r="D7" s="881"/>
      <c r="E7" s="882" t="s">
        <v>211</v>
      </c>
      <c r="F7" s="882"/>
      <c r="G7" s="882"/>
      <c r="H7" s="882"/>
      <c r="I7" s="882"/>
      <c r="J7" s="1442" t="s">
        <v>366</v>
      </c>
      <c r="K7" s="1443"/>
      <c r="L7" s="1444"/>
      <c r="M7" s="882"/>
      <c r="N7" s="1442" t="s">
        <v>356</v>
      </c>
      <c r="O7" s="1443"/>
      <c r="P7" s="1444"/>
      <c r="Q7" s="1442" t="s">
        <v>291</v>
      </c>
      <c r="R7" s="1443"/>
      <c r="S7" s="1444"/>
      <c r="T7" s="1442" t="s">
        <v>357</v>
      </c>
      <c r="U7" s="1443"/>
      <c r="V7" s="1444"/>
      <c r="W7" s="882"/>
      <c r="X7" s="882"/>
      <c r="Y7" s="1442" t="s">
        <v>366</v>
      </c>
      <c r="Z7" s="1443"/>
      <c r="AA7" s="1444"/>
      <c r="AB7" s="882"/>
      <c r="AC7" s="1442" t="s">
        <v>358</v>
      </c>
      <c r="AD7" s="1443"/>
      <c r="AE7" s="1444"/>
      <c r="AF7" s="1442" t="s">
        <v>291</v>
      </c>
      <c r="AG7" s="1443"/>
      <c r="AH7" s="1444"/>
      <c r="AI7" s="1442" t="s">
        <v>359</v>
      </c>
      <c r="AJ7" s="1443"/>
      <c r="AK7" s="1444"/>
    </row>
    <row r="8" spans="1:37" s="1" customFormat="1" ht="121.5" customHeight="1" thickBot="1" thickTop="1">
      <c r="A8" s="883" t="s">
        <v>528</v>
      </c>
      <c r="B8" s="884" t="s">
        <v>100</v>
      </c>
      <c r="C8" s="884" t="s">
        <v>212</v>
      </c>
      <c r="D8" s="884" t="s">
        <v>213</v>
      </c>
      <c r="E8" s="884" t="s">
        <v>214</v>
      </c>
      <c r="F8" s="884" t="s">
        <v>215</v>
      </c>
      <c r="G8" s="884" t="s">
        <v>360</v>
      </c>
      <c r="H8" s="884" t="s">
        <v>361</v>
      </c>
      <c r="I8" s="884" t="s">
        <v>365</v>
      </c>
      <c r="J8" s="885" t="s">
        <v>102</v>
      </c>
      <c r="K8" s="885" t="s">
        <v>103</v>
      </c>
      <c r="L8" s="885" t="s">
        <v>216</v>
      </c>
      <c r="M8" s="884" t="s">
        <v>217</v>
      </c>
      <c r="N8" s="885" t="s">
        <v>102</v>
      </c>
      <c r="O8" s="885" t="s">
        <v>103</v>
      </c>
      <c r="P8" s="885" t="s">
        <v>216</v>
      </c>
      <c r="Q8" s="885" t="s">
        <v>102</v>
      </c>
      <c r="R8" s="885" t="s">
        <v>103</v>
      </c>
      <c r="S8" s="885" t="s">
        <v>216</v>
      </c>
      <c r="T8" s="885" t="s">
        <v>102</v>
      </c>
      <c r="U8" s="885" t="s">
        <v>103</v>
      </c>
      <c r="V8" s="885" t="s">
        <v>216</v>
      </c>
      <c r="W8" s="884" t="s">
        <v>591</v>
      </c>
      <c r="X8" s="884" t="s">
        <v>367</v>
      </c>
      <c r="Y8" s="885" t="s">
        <v>102</v>
      </c>
      <c r="Z8" s="885" t="s">
        <v>103</v>
      </c>
      <c r="AA8" s="885" t="s">
        <v>216</v>
      </c>
      <c r="AB8" s="884" t="s">
        <v>217</v>
      </c>
      <c r="AC8" s="885" t="s">
        <v>102</v>
      </c>
      <c r="AD8" s="885" t="s">
        <v>103</v>
      </c>
      <c r="AE8" s="885" t="s">
        <v>216</v>
      </c>
      <c r="AF8" s="885" t="s">
        <v>102</v>
      </c>
      <c r="AG8" s="885" t="s">
        <v>103</v>
      </c>
      <c r="AH8" s="885" t="s">
        <v>216</v>
      </c>
      <c r="AI8" s="885" t="s">
        <v>102</v>
      </c>
      <c r="AJ8" s="885" t="s">
        <v>103</v>
      </c>
      <c r="AK8" s="885" t="s">
        <v>216</v>
      </c>
    </row>
    <row r="9" spans="1:37" s="889" customFormat="1" ht="20.25" customHeight="1" thickBot="1" thickTop="1">
      <c r="A9" s="886">
        <v>1</v>
      </c>
      <c r="B9" s="886">
        <v>2</v>
      </c>
      <c r="C9" s="887">
        <v>3</v>
      </c>
      <c r="D9" s="888">
        <v>4</v>
      </c>
      <c r="E9" s="888">
        <v>5</v>
      </c>
      <c r="F9" s="888">
        <v>6</v>
      </c>
      <c r="G9" s="888">
        <v>7</v>
      </c>
      <c r="H9" s="888">
        <v>8</v>
      </c>
      <c r="I9" s="886">
        <v>9</v>
      </c>
      <c r="J9" s="886">
        <v>10</v>
      </c>
      <c r="K9" s="886">
        <v>11</v>
      </c>
      <c r="L9" s="886">
        <v>12</v>
      </c>
      <c r="M9" s="886">
        <v>14</v>
      </c>
      <c r="N9" s="886">
        <v>13</v>
      </c>
      <c r="O9" s="886">
        <v>14</v>
      </c>
      <c r="P9" s="886">
        <v>15</v>
      </c>
      <c r="Q9" s="886">
        <v>15</v>
      </c>
      <c r="R9" s="886">
        <v>16</v>
      </c>
      <c r="S9" s="886">
        <v>17</v>
      </c>
      <c r="T9" s="886">
        <v>16</v>
      </c>
      <c r="U9" s="886">
        <v>17</v>
      </c>
      <c r="V9" s="886">
        <v>18</v>
      </c>
      <c r="W9" s="888">
        <v>19</v>
      </c>
      <c r="X9" s="886">
        <v>20</v>
      </c>
      <c r="Y9" s="886">
        <v>21</v>
      </c>
      <c r="Z9" s="886">
        <v>22</v>
      </c>
      <c r="AA9" s="886">
        <v>23</v>
      </c>
      <c r="AB9" s="886">
        <v>14</v>
      </c>
      <c r="AC9" s="886">
        <v>24</v>
      </c>
      <c r="AD9" s="886">
        <v>25</v>
      </c>
      <c r="AE9" s="886">
        <v>26</v>
      </c>
      <c r="AF9" s="886">
        <v>15</v>
      </c>
      <c r="AG9" s="886">
        <v>16</v>
      </c>
      <c r="AH9" s="886">
        <v>17</v>
      </c>
      <c r="AI9" s="886">
        <v>27</v>
      </c>
      <c r="AJ9" s="886">
        <v>28</v>
      </c>
      <c r="AK9" s="886">
        <v>29</v>
      </c>
    </row>
    <row r="10" spans="1:37" s="895" customFormat="1" ht="24" customHeight="1" thickBot="1" thickTop="1">
      <c r="A10" s="890"/>
      <c r="B10" s="890"/>
      <c r="C10" s="891" t="s">
        <v>218</v>
      </c>
      <c r="D10" s="892"/>
      <c r="E10" s="892"/>
      <c r="F10" s="893"/>
      <c r="G10" s="894">
        <f>127826986+144025</f>
        <v>127971011</v>
      </c>
      <c r="H10" s="894">
        <v>39995755</v>
      </c>
      <c r="I10" s="894">
        <f>J10+K10+L10</f>
        <v>81981316</v>
      </c>
      <c r="J10" s="894">
        <v>23520263</v>
      </c>
      <c r="K10" s="894">
        <v>53701093</v>
      </c>
      <c r="L10" s="894">
        <v>4759960</v>
      </c>
      <c r="M10" s="894"/>
      <c r="N10" s="894">
        <v>678501</v>
      </c>
      <c r="O10" s="894">
        <v>2519552</v>
      </c>
      <c r="P10" s="894">
        <v>245707</v>
      </c>
      <c r="Q10" s="894"/>
      <c r="R10" s="894"/>
      <c r="S10" s="894"/>
      <c r="T10" s="894">
        <v>5066</v>
      </c>
      <c r="U10" s="894">
        <v>62891</v>
      </c>
      <c r="V10" s="894"/>
      <c r="W10" s="894">
        <f>W11</f>
        <v>144025</v>
      </c>
      <c r="X10" s="894">
        <f>Y10+Z10+AA10</f>
        <v>81987291</v>
      </c>
      <c r="Y10" s="894">
        <f>J10+Y14</f>
        <v>23521159</v>
      </c>
      <c r="Z10" s="894">
        <f>K10+Z14</f>
        <v>53705574</v>
      </c>
      <c r="AA10" s="894">
        <f>L10+AA14</f>
        <v>4760558</v>
      </c>
      <c r="AB10" s="894"/>
      <c r="AC10" s="894">
        <f>N10+AC14</f>
        <v>699209</v>
      </c>
      <c r="AD10" s="894">
        <f>O10+AD14</f>
        <v>2623089</v>
      </c>
      <c r="AE10" s="894">
        <f>P10+AE14</f>
        <v>259512</v>
      </c>
      <c r="AF10" s="894"/>
      <c r="AG10" s="894"/>
      <c r="AH10" s="894"/>
      <c r="AI10" s="894">
        <f>T10</f>
        <v>5066</v>
      </c>
      <c r="AJ10" s="894">
        <f>U10</f>
        <v>62891</v>
      </c>
      <c r="AK10" s="894"/>
    </row>
    <row r="11" spans="1:37" s="901" customFormat="1" ht="22.5" customHeight="1" thickBot="1" thickTop="1">
      <c r="A11" s="896"/>
      <c r="B11" s="896"/>
      <c r="C11" s="897" t="s">
        <v>547</v>
      </c>
      <c r="D11" s="898"/>
      <c r="E11" s="898"/>
      <c r="F11" s="899"/>
      <c r="G11" s="900">
        <f>125820324+144025</f>
        <v>125964349</v>
      </c>
      <c r="H11" s="900">
        <v>39228118</v>
      </c>
      <c r="I11" s="900">
        <f>J11+K11+L11</f>
        <v>80742291</v>
      </c>
      <c r="J11" s="900">
        <v>23520263</v>
      </c>
      <c r="K11" s="900">
        <v>52857937</v>
      </c>
      <c r="L11" s="900">
        <v>4364091</v>
      </c>
      <c r="M11" s="900"/>
      <c r="N11" s="900">
        <v>678501</v>
      </c>
      <c r="O11" s="900">
        <v>2519552</v>
      </c>
      <c r="P11" s="900">
        <v>245707</v>
      </c>
      <c r="Q11" s="900"/>
      <c r="R11" s="900"/>
      <c r="S11" s="900"/>
      <c r="T11" s="900">
        <v>5066</v>
      </c>
      <c r="U11" s="900">
        <v>62891</v>
      </c>
      <c r="V11" s="900"/>
      <c r="W11" s="900">
        <f>W12</f>
        <v>144025</v>
      </c>
      <c r="X11" s="900">
        <f>Y11+Z11+AA11</f>
        <v>80748266</v>
      </c>
      <c r="Y11" s="900">
        <f>J11+Y14</f>
        <v>23521159</v>
      </c>
      <c r="Z11" s="900">
        <f>K11+Z14</f>
        <v>52862418</v>
      </c>
      <c r="AA11" s="900">
        <f>L11+AA14</f>
        <v>4364689</v>
      </c>
      <c r="AB11" s="900"/>
      <c r="AC11" s="900">
        <f>N11+AC14</f>
        <v>699209</v>
      </c>
      <c r="AD11" s="900">
        <f>O11+AD14</f>
        <v>2623089</v>
      </c>
      <c r="AE11" s="900">
        <f>P11+AE14</f>
        <v>259512</v>
      </c>
      <c r="AF11" s="900"/>
      <c r="AG11" s="900"/>
      <c r="AH11" s="900"/>
      <c r="AI11" s="900">
        <f>T11</f>
        <v>5066</v>
      </c>
      <c r="AJ11" s="900">
        <f>U11</f>
        <v>62891</v>
      </c>
      <c r="AK11" s="900"/>
    </row>
    <row r="12" spans="1:37" s="851" customFormat="1" ht="24" customHeight="1">
      <c r="A12" s="902">
        <v>758</v>
      </c>
      <c r="B12" s="903"/>
      <c r="C12" s="904" t="s">
        <v>549</v>
      </c>
      <c r="D12" s="904"/>
      <c r="E12" s="904"/>
      <c r="F12" s="905"/>
      <c r="G12" s="906">
        <v>555584</v>
      </c>
      <c r="H12" s="906">
        <v>91405</v>
      </c>
      <c r="I12" s="906">
        <f>J12+K12+L12</f>
        <v>383239</v>
      </c>
      <c r="J12" s="906">
        <v>90613</v>
      </c>
      <c r="K12" s="906">
        <v>292626</v>
      </c>
      <c r="L12" s="906"/>
      <c r="M12" s="906"/>
      <c r="N12" s="906">
        <v>20235</v>
      </c>
      <c r="O12" s="906">
        <v>60705</v>
      </c>
      <c r="P12" s="906"/>
      <c r="Q12" s="906"/>
      <c r="R12" s="906"/>
      <c r="S12" s="906"/>
      <c r="T12" s="906"/>
      <c r="U12" s="906"/>
      <c r="V12" s="906"/>
      <c r="W12" s="906">
        <f>W13</f>
        <v>144025</v>
      </c>
      <c r="X12" s="906">
        <f>Y12+Z12+AA12</f>
        <v>389214</v>
      </c>
      <c r="Y12" s="906">
        <f>J12+Y14</f>
        <v>91509</v>
      </c>
      <c r="Z12" s="906">
        <f>K12+Z14</f>
        <v>297107</v>
      </c>
      <c r="AA12" s="906">
        <f>AA14</f>
        <v>598</v>
      </c>
      <c r="AB12" s="906"/>
      <c r="AC12" s="906">
        <f>N12+AC14</f>
        <v>40943</v>
      </c>
      <c r="AD12" s="906">
        <f>O12+AD14</f>
        <v>164242</v>
      </c>
      <c r="AE12" s="906">
        <f>AE14</f>
        <v>13805</v>
      </c>
      <c r="AF12" s="906"/>
      <c r="AG12" s="906"/>
      <c r="AH12" s="906"/>
      <c r="AI12" s="906"/>
      <c r="AJ12" s="906"/>
      <c r="AK12" s="906"/>
    </row>
    <row r="13" spans="1:37" s="3" customFormat="1" ht="26.25" customHeight="1">
      <c r="A13" s="907"/>
      <c r="B13" s="908">
        <v>75860</v>
      </c>
      <c r="C13" s="909" t="s">
        <v>205</v>
      </c>
      <c r="D13" s="909"/>
      <c r="E13" s="909"/>
      <c r="F13" s="910"/>
      <c r="G13" s="911">
        <v>555584</v>
      </c>
      <c r="H13" s="911">
        <v>91405</v>
      </c>
      <c r="I13" s="911">
        <f>J13+K13+L13</f>
        <v>383239</v>
      </c>
      <c r="J13" s="911">
        <v>90613</v>
      </c>
      <c r="K13" s="911">
        <v>292626</v>
      </c>
      <c r="L13" s="911"/>
      <c r="M13" s="911"/>
      <c r="N13" s="911">
        <v>20235</v>
      </c>
      <c r="O13" s="911">
        <v>60705</v>
      </c>
      <c r="P13" s="911"/>
      <c r="Q13" s="911"/>
      <c r="R13" s="911"/>
      <c r="S13" s="911"/>
      <c r="T13" s="911"/>
      <c r="U13" s="911"/>
      <c r="V13" s="911"/>
      <c r="W13" s="911">
        <f>W14</f>
        <v>144025</v>
      </c>
      <c r="X13" s="911">
        <f>Y13+Z13+AA13</f>
        <v>389214</v>
      </c>
      <c r="Y13" s="911">
        <f>J13+Y14</f>
        <v>91509</v>
      </c>
      <c r="Z13" s="911">
        <f>K13+Z14</f>
        <v>297107</v>
      </c>
      <c r="AA13" s="911">
        <f>AA14</f>
        <v>598</v>
      </c>
      <c r="AB13" s="911"/>
      <c r="AC13" s="911">
        <f>N13+AC14</f>
        <v>40943</v>
      </c>
      <c r="AD13" s="911">
        <f>O13+AD14</f>
        <v>164242</v>
      </c>
      <c r="AE13" s="911">
        <f>AE14</f>
        <v>13805</v>
      </c>
      <c r="AF13" s="911"/>
      <c r="AG13" s="911"/>
      <c r="AH13" s="911"/>
      <c r="AI13" s="911"/>
      <c r="AJ13" s="911"/>
      <c r="AK13" s="911"/>
    </row>
    <row r="14" spans="1:37" s="3" customFormat="1" ht="78" customHeight="1">
      <c r="A14" s="907"/>
      <c r="B14" s="912"/>
      <c r="C14" s="913" t="s">
        <v>615</v>
      </c>
      <c r="D14" s="1224" t="s">
        <v>690</v>
      </c>
      <c r="E14" s="915" t="s">
        <v>258</v>
      </c>
      <c r="F14" s="914" t="s">
        <v>389</v>
      </c>
      <c r="G14" s="916">
        <v>144025</v>
      </c>
      <c r="H14" s="916"/>
      <c r="I14" s="916"/>
      <c r="J14" s="917"/>
      <c r="K14" s="917"/>
      <c r="L14" s="917"/>
      <c r="M14" s="917"/>
      <c r="N14" s="917"/>
      <c r="O14" s="917"/>
      <c r="P14" s="917"/>
      <c r="Q14" s="917"/>
      <c r="R14" s="917"/>
      <c r="S14" s="917"/>
      <c r="T14" s="917"/>
      <c r="U14" s="917"/>
      <c r="V14" s="917"/>
      <c r="W14" s="916">
        <f>144025</f>
        <v>144025</v>
      </c>
      <c r="X14" s="916">
        <f>Y14+Z14+AA14</f>
        <v>5975</v>
      </c>
      <c r="Y14" s="917">
        <v>896</v>
      </c>
      <c r="Z14" s="917">
        <v>4481</v>
      </c>
      <c r="AA14" s="917">
        <v>598</v>
      </c>
      <c r="AB14" s="917"/>
      <c r="AC14" s="917">
        <v>20708</v>
      </c>
      <c r="AD14" s="917">
        <v>103537</v>
      </c>
      <c r="AE14" s="917">
        <v>13805</v>
      </c>
      <c r="AF14" s="917"/>
      <c r="AG14" s="917"/>
      <c r="AH14" s="917"/>
      <c r="AI14" s="917"/>
      <c r="AJ14" s="917"/>
      <c r="AK14" s="917"/>
    </row>
    <row r="15" spans="1:37" s="901" customFormat="1" ht="64.5" customHeight="1" thickBot="1">
      <c r="A15" s="918"/>
      <c r="B15" s="918"/>
      <c r="C15" s="919" t="s">
        <v>582</v>
      </c>
      <c r="D15" s="920"/>
      <c r="E15" s="920"/>
      <c r="F15" s="921"/>
      <c r="G15" s="1335">
        <v>2006662</v>
      </c>
      <c r="H15" s="1335">
        <v>767637</v>
      </c>
      <c r="I15" s="1335">
        <f>J15+K15+L15</f>
        <v>1239025</v>
      </c>
      <c r="J15" s="1335"/>
      <c r="K15" s="1335">
        <v>843156</v>
      </c>
      <c r="L15" s="1335">
        <v>395869</v>
      </c>
      <c r="M15" s="1222" t="e">
        <f>#REF!</f>
        <v>#REF!</v>
      </c>
      <c r="N15" s="1222"/>
      <c r="O15" s="1222"/>
      <c r="P15" s="1222"/>
      <c r="Q15" s="1223"/>
      <c r="R15" s="1223"/>
      <c r="S15" s="1223"/>
      <c r="T15" s="1222"/>
      <c r="U15" s="1222"/>
      <c r="V15" s="1222"/>
      <c r="W15" s="1222"/>
      <c r="X15" s="922">
        <f>SUM(Y15:AA15)</f>
        <v>1239025</v>
      </c>
      <c r="Y15" s="922"/>
      <c r="Z15" s="922">
        <v>843156</v>
      </c>
      <c r="AA15" s="922">
        <v>395869</v>
      </c>
      <c r="AB15" s="922" t="e">
        <f>#REF!</f>
        <v>#REF!</v>
      </c>
      <c r="AC15" s="922"/>
      <c r="AD15" s="922"/>
      <c r="AE15" s="922"/>
      <c r="AF15" s="923"/>
      <c r="AG15" s="923"/>
      <c r="AH15" s="923"/>
      <c r="AI15" s="922"/>
      <c r="AJ15" s="922"/>
      <c r="AK15" s="922"/>
    </row>
    <row r="20" spans="3:4" ht="14.25">
      <c r="C20" s="1475" t="s">
        <v>117</v>
      </c>
      <c r="D20" s="1478" t="s">
        <v>118</v>
      </c>
    </row>
    <row r="21" spans="3:4" ht="14.25">
      <c r="C21" s="1475" t="s">
        <v>119</v>
      </c>
      <c r="D21" s="1477" t="s">
        <v>120</v>
      </c>
    </row>
    <row r="22" spans="3:4" ht="14.25">
      <c r="C22" s="1476"/>
      <c r="D22" s="1477" t="s">
        <v>121</v>
      </c>
    </row>
  </sheetData>
  <mergeCells count="10">
    <mergeCell ref="AI7:AK7"/>
    <mergeCell ref="AF7:AH7"/>
    <mergeCell ref="Y7:AA7"/>
    <mergeCell ref="C3:AA3"/>
    <mergeCell ref="C4:G4"/>
    <mergeCell ref="AC7:AE7"/>
    <mergeCell ref="J7:L7"/>
    <mergeCell ref="N7:P7"/>
    <mergeCell ref="Q7:S7"/>
    <mergeCell ref="T7:V7"/>
  </mergeCells>
  <printOptions horizontalCentered="1"/>
  <pageMargins left="0.1968503937007874" right="0.1968503937007874" top="0.5905511811023623" bottom="0.5905511811023623" header="0.5118110236220472" footer="0.5118110236220472"/>
  <pageSetup firstPageNumber="18" useFirstPageNumber="1" horizontalDpi="600" verticalDpi="600" orientation="landscape" paperSize="9" scale="28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28"/>
  <sheetViews>
    <sheetView zoomScale="75" zoomScaleNormal="75" workbookViewId="0" topLeftCell="A1">
      <selection activeCell="C3" sqref="C3"/>
    </sheetView>
  </sheetViews>
  <sheetFormatPr defaultColWidth="9.00390625" defaultRowHeight="12.75"/>
  <cols>
    <col min="1" max="1" width="5.625" style="0" customWidth="1"/>
    <col min="2" max="2" width="7.25390625" style="0" customWidth="1"/>
    <col min="3" max="3" width="43.75390625" style="381" customWidth="1"/>
    <col min="4" max="4" width="38.75390625" style="381" customWidth="1"/>
    <col min="5" max="5" width="16.00390625" style="381" customWidth="1"/>
    <col min="6" max="6" width="10.75390625" style="676" customWidth="1"/>
    <col min="7" max="7" width="12.625" style="676" customWidth="1"/>
    <col min="8" max="8" width="13.375" style="676" customWidth="1"/>
    <col min="9" max="9" width="12.00390625" style="0" customWidth="1"/>
    <col min="10" max="10" width="12.125" style="0" customWidth="1"/>
    <col min="11" max="11" width="13.375" style="0" customWidth="1"/>
    <col min="12" max="12" width="11.75390625" style="0" hidden="1" customWidth="1"/>
    <col min="13" max="13" width="9.875" style="0" hidden="1" customWidth="1"/>
    <col min="14" max="14" width="11.375" style="0" customWidth="1"/>
    <col min="15" max="15" width="11.875" style="0" customWidth="1"/>
    <col min="16" max="16" width="13.625" style="0" customWidth="1"/>
    <col min="17" max="17" width="11.375" style="0" customWidth="1"/>
    <col min="18" max="18" width="11.875" style="0" customWidth="1"/>
    <col min="19" max="19" width="13.25390625" style="0" customWidth="1"/>
    <col min="20" max="20" width="12.00390625" style="0" customWidth="1"/>
    <col min="21" max="21" width="12.125" style="0" customWidth="1"/>
    <col min="22" max="22" width="13.375" style="0" customWidth="1"/>
    <col min="23" max="23" width="11.75390625" style="0" hidden="1" customWidth="1"/>
    <col min="24" max="24" width="9.875" style="0" hidden="1" customWidth="1"/>
    <col min="25" max="25" width="11.375" style="0" customWidth="1"/>
    <col min="26" max="26" width="11.875" style="0" customWidth="1"/>
    <col min="27" max="27" width="13.625" style="0" customWidth="1"/>
    <col min="28" max="28" width="11.375" style="0" customWidth="1"/>
    <col min="29" max="29" width="11.875" style="0" customWidth="1"/>
    <col min="30" max="30" width="13.25390625" style="0" customWidth="1"/>
  </cols>
  <sheetData>
    <row r="1" spans="3:27" s="22" customFormat="1" ht="21" customHeight="1">
      <c r="C1" s="325"/>
      <c r="D1" s="325"/>
      <c r="E1" s="325"/>
      <c r="F1" s="779"/>
      <c r="G1" s="779"/>
      <c r="H1" s="779"/>
      <c r="P1" s="675"/>
      <c r="T1" s="675" t="s">
        <v>191</v>
      </c>
      <c r="AA1" s="675"/>
    </row>
    <row r="2" spans="7:27" s="22" customFormat="1" ht="21" customHeight="1">
      <c r="G2" s="780"/>
      <c r="H2" s="780"/>
      <c r="P2" s="675"/>
      <c r="T2" s="675" t="s">
        <v>308</v>
      </c>
      <c r="AA2" s="675"/>
    </row>
    <row r="3" spans="3:27" s="22" customFormat="1" ht="21" customHeight="1">
      <c r="C3" s="781" t="s">
        <v>255</v>
      </c>
      <c r="D3" s="781"/>
      <c r="E3" s="781"/>
      <c r="F3" s="781"/>
      <c r="G3" s="781"/>
      <c r="H3" s="781"/>
      <c r="I3" s="782"/>
      <c r="J3" s="782"/>
      <c r="K3" s="782"/>
      <c r="L3" s="782"/>
      <c r="M3" s="782"/>
      <c r="P3" s="675"/>
      <c r="T3" s="675" t="s">
        <v>523</v>
      </c>
      <c r="U3" s="782"/>
      <c r="V3" s="782"/>
      <c r="W3" s="782"/>
      <c r="X3" s="782"/>
      <c r="AA3" s="675"/>
    </row>
    <row r="4" spans="3:27" s="22" customFormat="1" ht="21" customHeight="1">
      <c r="C4" s="781" t="s">
        <v>256</v>
      </c>
      <c r="D4" s="781"/>
      <c r="E4" s="781"/>
      <c r="F4" s="781"/>
      <c r="G4" s="781"/>
      <c r="H4" s="783"/>
      <c r="P4" s="675"/>
      <c r="T4" s="675" t="s">
        <v>446</v>
      </c>
      <c r="AA4" s="675"/>
    </row>
    <row r="5" spans="3:27" s="22" customFormat="1" ht="21" customHeight="1">
      <c r="C5" s="782"/>
      <c r="D5" s="782"/>
      <c r="E5" s="782"/>
      <c r="F5" s="782"/>
      <c r="G5" s="782"/>
      <c r="H5" s="783"/>
      <c r="N5" s="47"/>
      <c r="P5" s="1"/>
      <c r="Y5" s="47"/>
      <c r="AA5" s="1"/>
    </row>
    <row r="6" spans="2:30" s="22" customFormat="1" ht="21" customHeight="1" thickBot="1">
      <c r="B6" s="241"/>
      <c r="C6" s="325"/>
      <c r="D6" s="325"/>
      <c r="E6" s="325"/>
      <c r="F6" s="779"/>
      <c r="G6" s="779"/>
      <c r="H6" s="779"/>
      <c r="L6" s="130"/>
      <c r="M6" s="130"/>
      <c r="P6" s="45"/>
      <c r="S6" s="45"/>
      <c r="W6" s="130"/>
      <c r="X6" s="130"/>
      <c r="AA6" s="45"/>
      <c r="AD6" s="45" t="s">
        <v>524</v>
      </c>
    </row>
    <row r="7" spans="1:30" s="22" customFormat="1" ht="30" customHeight="1" thickBot="1" thickTop="1">
      <c r="A7" s="328"/>
      <c r="B7" s="328"/>
      <c r="C7" s="329"/>
      <c r="D7" s="329"/>
      <c r="E7" s="784" t="s">
        <v>211</v>
      </c>
      <c r="F7" s="784"/>
      <c r="G7" s="784"/>
      <c r="H7" s="785"/>
      <c r="I7" s="1448" t="s">
        <v>245</v>
      </c>
      <c r="J7" s="1449"/>
      <c r="K7" s="1450"/>
      <c r="L7" s="784"/>
      <c r="M7" s="785"/>
      <c r="N7" s="1448" t="s">
        <v>246</v>
      </c>
      <c r="O7" s="1449"/>
      <c r="P7" s="1450"/>
      <c r="Q7" s="1439" t="s">
        <v>247</v>
      </c>
      <c r="R7" s="1449"/>
      <c r="S7" s="1451"/>
      <c r="T7" s="1449" t="s">
        <v>257</v>
      </c>
      <c r="U7" s="1449"/>
      <c r="V7" s="1450"/>
      <c r="W7" s="784"/>
      <c r="X7" s="785"/>
      <c r="Y7" s="1439" t="s">
        <v>363</v>
      </c>
      <c r="Z7" s="1449"/>
      <c r="AA7" s="1450"/>
      <c r="AB7" s="1439" t="s">
        <v>364</v>
      </c>
      <c r="AC7" s="1449"/>
      <c r="AD7" s="1450"/>
    </row>
    <row r="8" spans="1:30" s="22" customFormat="1" ht="66.75" customHeight="1" thickBot="1" thickTop="1">
      <c r="A8" s="332" t="s">
        <v>528</v>
      </c>
      <c r="B8" s="333" t="s">
        <v>100</v>
      </c>
      <c r="C8" s="333" t="s">
        <v>212</v>
      </c>
      <c r="D8" s="333" t="s">
        <v>213</v>
      </c>
      <c r="E8" s="333" t="s">
        <v>214</v>
      </c>
      <c r="F8" s="333" t="s">
        <v>215</v>
      </c>
      <c r="G8" s="333" t="s">
        <v>360</v>
      </c>
      <c r="H8" s="1314" t="s">
        <v>361</v>
      </c>
      <c r="I8" s="1324" t="s">
        <v>102</v>
      </c>
      <c r="J8" s="118" t="s">
        <v>103</v>
      </c>
      <c r="K8" s="118" t="s">
        <v>216</v>
      </c>
      <c r="L8" s="333" t="s">
        <v>217</v>
      </c>
      <c r="M8" s="333" t="s">
        <v>591</v>
      </c>
      <c r="N8" s="118" t="s">
        <v>102</v>
      </c>
      <c r="O8" s="118" t="s">
        <v>103</v>
      </c>
      <c r="P8" s="118" t="s">
        <v>216</v>
      </c>
      <c r="Q8" s="118" t="s">
        <v>102</v>
      </c>
      <c r="R8" s="118" t="s">
        <v>103</v>
      </c>
      <c r="S8" s="1325" t="s">
        <v>216</v>
      </c>
      <c r="T8" s="1307" t="s">
        <v>102</v>
      </c>
      <c r="U8" s="118" t="s">
        <v>103</v>
      </c>
      <c r="V8" s="118" t="s">
        <v>216</v>
      </c>
      <c r="W8" s="333" t="s">
        <v>217</v>
      </c>
      <c r="X8" s="333" t="s">
        <v>591</v>
      </c>
      <c r="Y8" s="118" t="s">
        <v>102</v>
      </c>
      <c r="Z8" s="118" t="s">
        <v>103</v>
      </c>
      <c r="AA8" s="118" t="s">
        <v>216</v>
      </c>
      <c r="AB8" s="118" t="s">
        <v>102</v>
      </c>
      <c r="AC8" s="118" t="s">
        <v>103</v>
      </c>
      <c r="AD8" s="118" t="s">
        <v>216</v>
      </c>
    </row>
    <row r="9" spans="1:30" s="788" customFormat="1" ht="16.5" customHeight="1" thickBot="1" thickTop="1">
      <c r="A9" s="16">
        <v>1</v>
      </c>
      <c r="B9" s="16">
        <v>2</v>
      </c>
      <c r="C9" s="786">
        <v>3</v>
      </c>
      <c r="D9" s="787">
        <v>4</v>
      </c>
      <c r="E9" s="787">
        <v>5</v>
      </c>
      <c r="F9" s="787">
        <v>6</v>
      </c>
      <c r="G9" s="787">
        <v>7</v>
      </c>
      <c r="H9" s="1315">
        <v>8</v>
      </c>
      <c r="I9" s="1326">
        <v>9</v>
      </c>
      <c r="J9" s="16">
        <v>10</v>
      </c>
      <c r="K9" s="16">
        <v>11</v>
      </c>
      <c r="L9" s="16">
        <v>14</v>
      </c>
      <c r="M9" s="16">
        <v>12</v>
      </c>
      <c r="N9" s="16">
        <v>12</v>
      </c>
      <c r="O9" s="16">
        <v>13</v>
      </c>
      <c r="P9" s="16">
        <v>14</v>
      </c>
      <c r="Q9" s="16">
        <v>15</v>
      </c>
      <c r="R9" s="16">
        <v>16</v>
      </c>
      <c r="S9" s="1327">
        <v>17</v>
      </c>
      <c r="T9" s="16">
        <v>18</v>
      </c>
      <c r="U9" s="16">
        <v>19</v>
      </c>
      <c r="V9" s="1327">
        <v>20</v>
      </c>
      <c r="W9" s="16">
        <v>21</v>
      </c>
      <c r="X9" s="16">
        <v>22</v>
      </c>
      <c r="Y9" s="1327">
        <v>21</v>
      </c>
      <c r="Z9" s="16">
        <v>22</v>
      </c>
      <c r="AA9" s="16">
        <v>23</v>
      </c>
      <c r="AB9" s="1327">
        <v>24</v>
      </c>
      <c r="AC9" s="16">
        <v>25</v>
      </c>
      <c r="AD9" s="16">
        <v>26</v>
      </c>
    </row>
    <row r="10" spans="1:30" s="244" customFormat="1" ht="26.25" customHeight="1" thickBot="1" thickTop="1">
      <c r="A10" s="789"/>
      <c r="B10" s="789"/>
      <c r="C10" s="790" t="s">
        <v>218</v>
      </c>
      <c r="D10" s="791"/>
      <c r="E10" s="791"/>
      <c r="F10" s="792"/>
      <c r="G10" s="793">
        <v>144781690</v>
      </c>
      <c r="H10" s="1316">
        <v>11893132</v>
      </c>
      <c r="I10" s="793">
        <v>8550133</v>
      </c>
      <c r="J10" s="793">
        <v>15656550</v>
      </c>
      <c r="K10" s="793">
        <v>1500000</v>
      </c>
      <c r="L10" s="793"/>
      <c r="M10" s="793"/>
      <c r="N10" s="793">
        <v>24814166</v>
      </c>
      <c r="O10" s="793">
        <v>42479238</v>
      </c>
      <c r="P10" s="793">
        <v>23951562</v>
      </c>
      <c r="Q10" s="793">
        <v>5327500</v>
      </c>
      <c r="R10" s="793">
        <v>7827500</v>
      </c>
      <c r="S10" s="1328">
        <v>2500000</v>
      </c>
      <c r="T10" s="1308">
        <v>7933412</v>
      </c>
      <c r="U10" s="793">
        <f>J10-6000000</f>
        <v>9656550</v>
      </c>
      <c r="V10" s="793">
        <f>K10</f>
        <v>1500000</v>
      </c>
      <c r="W10" s="793"/>
      <c r="X10" s="793"/>
      <c r="Y10" s="793">
        <v>18478550</v>
      </c>
      <c r="Z10" s="793">
        <v>30422488</v>
      </c>
      <c r="AA10" s="793">
        <v>24393325</v>
      </c>
      <c r="AB10" s="793">
        <f>Q10+AB13</f>
        <v>7382500</v>
      </c>
      <c r="AC10" s="793">
        <f>R10+AC13</f>
        <v>19472500</v>
      </c>
      <c r="AD10" s="793">
        <f>S10</f>
        <v>2500000</v>
      </c>
    </row>
    <row r="11" spans="1:30" ht="23.25" customHeight="1">
      <c r="A11" s="794">
        <v>600</v>
      </c>
      <c r="B11" s="794"/>
      <c r="C11" s="795" t="s">
        <v>551</v>
      </c>
      <c r="D11" s="795"/>
      <c r="E11" s="795"/>
      <c r="F11" s="796"/>
      <c r="G11" s="797">
        <v>75076242</v>
      </c>
      <c r="H11" s="1317">
        <v>9948360</v>
      </c>
      <c r="I11" s="797">
        <v>6568000</v>
      </c>
      <c r="J11" s="797">
        <v>13656550</v>
      </c>
      <c r="K11" s="797"/>
      <c r="L11" s="797"/>
      <c r="M11" s="797"/>
      <c r="N11" s="797">
        <v>12451427</v>
      </c>
      <c r="O11" s="797">
        <v>32170437</v>
      </c>
      <c r="P11" s="798"/>
      <c r="Q11" s="798"/>
      <c r="R11" s="798"/>
      <c r="S11" s="1329"/>
      <c r="T11" s="1309">
        <v>6471000</v>
      </c>
      <c r="U11" s="797">
        <f>J11-6000000</f>
        <v>7656550</v>
      </c>
      <c r="V11" s="797"/>
      <c r="W11" s="797"/>
      <c r="X11" s="797"/>
      <c r="Y11" s="797">
        <v>6037853</v>
      </c>
      <c r="Z11" s="797">
        <v>20113687</v>
      </c>
      <c r="AA11" s="798"/>
      <c r="AB11" s="798">
        <f>AB13</f>
        <v>2055000</v>
      </c>
      <c r="AC11" s="798">
        <f>AC13</f>
        <v>11645000</v>
      </c>
      <c r="AD11" s="798"/>
    </row>
    <row r="12" spans="1:30" s="241" customFormat="1" ht="30">
      <c r="A12" s="457"/>
      <c r="B12" s="811">
        <v>60015</v>
      </c>
      <c r="C12" s="800" t="s">
        <v>70</v>
      </c>
      <c r="D12" s="812"/>
      <c r="E12" s="802"/>
      <c r="F12" s="803"/>
      <c r="G12" s="804">
        <v>61359106</v>
      </c>
      <c r="H12" s="1318">
        <v>8671834</v>
      </c>
      <c r="I12" s="813">
        <v>4253000</v>
      </c>
      <c r="J12" s="813">
        <v>12756550</v>
      </c>
      <c r="K12" s="813"/>
      <c r="L12" s="813"/>
      <c r="M12" s="813"/>
      <c r="N12" s="813">
        <v>10207524</v>
      </c>
      <c r="O12" s="813">
        <v>25466730</v>
      </c>
      <c r="P12" s="813"/>
      <c r="Q12" s="813"/>
      <c r="R12" s="813"/>
      <c r="S12" s="1330"/>
      <c r="T12" s="1312">
        <f>4253000-1860000</f>
        <v>2393000</v>
      </c>
      <c r="U12" s="813">
        <f>12756550-6000000</f>
        <v>6756550</v>
      </c>
      <c r="V12" s="813"/>
      <c r="W12" s="813"/>
      <c r="X12" s="813"/>
      <c r="Y12" s="813">
        <f>10207524-6035324</f>
        <v>4172200</v>
      </c>
      <c r="Z12" s="813">
        <f>25466730-10950000</f>
        <v>14516730</v>
      </c>
      <c r="AA12" s="813"/>
      <c r="AB12" s="813">
        <f>AB13</f>
        <v>2055000</v>
      </c>
      <c r="AC12" s="813">
        <f>AC13</f>
        <v>11645000</v>
      </c>
      <c r="AD12" s="813"/>
    </row>
    <row r="13" spans="1:30" s="241" customFormat="1" ht="42.75" customHeight="1">
      <c r="A13" s="457"/>
      <c r="B13" s="814"/>
      <c r="C13" s="1179" t="s">
        <v>386</v>
      </c>
      <c r="D13" s="1217" t="s">
        <v>387</v>
      </c>
      <c r="E13" s="1218" t="s">
        <v>258</v>
      </c>
      <c r="F13" s="1219" t="s">
        <v>688</v>
      </c>
      <c r="G13" s="809">
        <v>38254000</v>
      </c>
      <c r="H13" s="1319">
        <v>8265208</v>
      </c>
      <c r="I13" s="816">
        <v>2000000</v>
      </c>
      <c r="J13" s="816">
        <v>6000000</v>
      </c>
      <c r="K13" s="816"/>
      <c r="L13" s="816"/>
      <c r="M13" s="816"/>
      <c r="N13" s="1302">
        <v>6785324</v>
      </c>
      <c r="O13" s="1302">
        <v>15200000</v>
      </c>
      <c r="P13" s="1302"/>
      <c r="Q13" s="1302"/>
      <c r="R13" s="1302"/>
      <c r="S13" s="1331"/>
      <c r="T13" s="1313">
        <v>140000</v>
      </c>
      <c r="U13" s="816">
        <v>0</v>
      </c>
      <c r="V13" s="816"/>
      <c r="W13" s="816"/>
      <c r="X13" s="816"/>
      <c r="Y13" s="1302">
        <v>750000</v>
      </c>
      <c r="Z13" s="1302">
        <v>4250000</v>
      </c>
      <c r="AA13" s="1302"/>
      <c r="AB13" s="1302">
        <v>2055000</v>
      </c>
      <c r="AC13" s="1302">
        <v>11645000</v>
      </c>
      <c r="AD13" s="816"/>
    </row>
    <row r="14" spans="1:30" s="241" customFormat="1" ht="23.25" customHeight="1">
      <c r="A14" s="457"/>
      <c r="B14" s="811">
        <v>60016</v>
      </c>
      <c r="C14" s="1242" t="s">
        <v>115</v>
      </c>
      <c r="D14" s="812"/>
      <c r="E14" s="802"/>
      <c r="F14" s="803"/>
      <c r="G14" s="804">
        <v>7791526</v>
      </c>
      <c r="H14" s="1318">
        <v>1276526</v>
      </c>
      <c r="I14" s="813">
        <v>2015000</v>
      </c>
      <c r="J14" s="813"/>
      <c r="K14" s="813"/>
      <c r="L14" s="813"/>
      <c r="M14" s="813"/>
      <c r="N14" s="813">
        <v>1062500</v>
      </c>
      <c r="O14" s="813">
        <v>3159500</v>
      </c>
      <c r="P14" s="813"/>
      <c r="Q14" s="813"/>
      <c r="R14" s="813"/>
      <c r="S14" s="1330"/>
      <c r="T14" s="1312">
        <v>3778000</v>
      </c>
      <c r="U14" s="813"/>
      <c r="V14" s="813"/>
      <c r="W14" s="813"/>
      <c r="X14" s="813"/>
      <c r="Y14" s="813">
        <v>684250</v>
      </c>
      <c r="Z14" s="813">
        <v>2052750</v>
      </c>
      <c r="AA14" s="813"/>
      <c r="AB14" s="813"/>
      <c r="AC14" s="813"/>
      <c r="AD14" s="813"/>
    </row>
    <row r="15" spans="1:30" s="241" customFormat="1" ht="42.75" customHeight="1">
      <c r="A15" s="78"/>
      <c r="B15" s="814"/>
      <c r="C15" s="1240" t="s">
        <v>310</v>
      </c>
      <c r="D15" s="812" t="s">
        <v>311</v>
      </c>
      <c r="E15" s="1243" t="s">
        <v>258</v>
      </c>
      <c r="F15" s="1244" t="s">
        <v>259</v>
      </c>
      <c r="G15" s="1220">
        <v>7791526</v>
      </c>
      <c r="H15" s="1320">
        <v>1276526</v>
      </c>
      <c r="I15" s="816">
        <v>2015000</v>
      </c>
      <c r="J15" s="816"/>
      <c r="K15" s="816"/>
      <c r="L15" s="816"/>
      <c r="M15" s="816"/>
      <c r="N15" s="1302">
        <v>1062500</v>
      </c>
      <c r="O15" s="1302">
        <v>3159500</v>
      </c>
      <c r="P15" s="1302"/>
      <c r="Q15" s="1302"/>
      <c r="R15" s="1302"/>
      <c r="S15" s="1331"/>
      <c r="T15" s="1313">
        <v>3778000</v>
      </c>
      <c r="U15" s="816"/>
      <c r="V15" s="816"/>
      <c r="W15" s="816"/>
      <c r="X15" s="816"/>
      <c r="Y15" s="1302">
        <v>684250</v>
      </c>
      <c r="Z15" s="1302">
        <v>2052750</v>
      </c>
      <c r="AA15" s="1302"/>
      <c r="AB15" s="1302"/>
      <c r="AC15" s="1302"/>
      <c r="AD15" s="816"/>
    </row>
    <row r="16" spans="1:30" ht="21.75" customHeight="1">
      <c r="A16" s="741">
        <v>801</v>
      </c>
      <c r="B16" s="741"/>
      <c r="C16" s="795" t="s">
        <v>554</v>
      </c>
      <c r="D16" s="795"/>
      <c r="E16" s="795"/>
      <c r="F16" s="796"/>
      <c r="G16" s="797">
        <v>21095538</v>
      </c>
      <c r="H16" s="1317">
        <v>223138</v>
      </c>
      <c r="I16" s="797">
        <v>1074433</v>
      </c>
      <c r="J16" s="797"/>
      <c r="K16" s="797"/>
      <c r="L16" s="797"/>
      <c r="M16" s="797"/>
      <c r="N16" s="797">
        <v>3014545</v>
      </c>
      <c r="O16" s="797"/>
      <c r="P16" s="798">
        <v>16783422</v>
      </c>
      <c r="Q16" s="798"/>
      <c r="R16" s="798"/>
      <c r="S16" s="1329"/>
      <c r="T16" s="1309">
        <f>1074433-346978-172743</f>
        <v>554712</v>
      </c>
      <c r="U16" s="797"/>
      <c r="V16" s="797"/>
      <c r="W16" s="797"/>
      <c r="X16" s="797"/>
      <c r="Y16" s="797">
        <f>3014545+52047+25911</f>
        <v>3092503</v>
      </c>
      <c r="Z16" s="797"/>
      <c r="AA16" s="798">
        <f>16783422+294931+146832</f>
        <v>17225185</v>
      </c>
      <c r="AB16" s="798"/>
      <c r="AC16" s="798"/>
      <c r="AD16" s="798"/>
    </row>
    <row r="17" spans="1:30" s="241" customFormat="1" ht="21.75" customHeight="1">
      <c r="A17" s="457"/>
      <c r="B17" s="799">
        <v>80101</v>
      </c>
      <c r="C17" s="800" t="s">
        <v>60</v>
      </c>
      <c r="D17" s="801"/>
      <c r="E17" s="802"/>
      <c r="F17" s="803"/>
      <c r="G17" s="804">
        <v>5176595</v>
      </c>
      <c r="H17" s="1318">
        <v>55095</v>
      </c>
      <c r="I17" s="804">
        <v>731300</v>
      </c>
      <c r="J17" s="804"/>
      <c r="K17" s="804"/>
      <c r="L17" s="804"/>
      <c r="M17" s="804"/>
      <c r="N17" s="804">
        <v>658530</v>
      </c>
      <c r="O17" s="804"/>
      <c r="P17" s="804">
        <v>3731670</v>
      </c>
      <c r="Q17" s="804"/>
      <c r="R17" s="804"/>
      <c r="S17" s="1332"/>
      <c r="T17" s="1310">
        <f>731300-346978</f>
        <v>384322</v>
      </c>
      <c r="U17" s="804"/>
      <c r="V17" s="804"/>
      <c r="W17" s="804"/>
      <c r="X17" s="804"/>
      <c r="Y17" s="804">
        <f>658530+52047</f>
        <v>710577</v>
      </c>
      <c r="Z17" s="804"/>
      <c r="AA17" s="804">
        <f>3731670+294931</f>
        <v>4026601</v>
      </c>
      <c r="AB17" s="804"/>
      <c r="AC17" s="804"/>
      <c r="AD17" s="804"/>
    </row>
    <row r="18" spans="1:30" s="241" customFormat="1" ht="45.75" customHeight="1">
      <c r="A18" s="457"/>
      <c r="B18" s="805"/>
      <c r="C18" s="806" t="s">
        <v>689</v>
      </c>
      <c r="D18" s="815" t="s">
        <v>473</v>
      </c>
      <c r="E18" s="807" t="s">
        <v>258</v>
      </c>
      <c r="F18" s="808" t="s">
        <v>292</v>
      </c>
      <c r="G18" s="1305">
        <v>2769235</v>
      </c>
      <c r="H18" s="1321">
        <v>20935</v>
      </c>
      <c r="I18" s="810">
        <v>448400</v>
      </c>
      <c r="J18" s="810"/>
      <c r="K18" s="810"/>
      <c r="L18" s="810"/>
      <c r="M18" s="810"/>
      <c r="N18" s="810">
        <v>344985</v>
      </c>
      <c r="O18" s="810"/>
      <c r="P18" s="810">
        <v>1954915</v>
      </c>
      <c r="Q18" s="810"/>
      <c r="R18" s="810"/>
      <c r="S18" s="1333"/>
      <c r="T18" s="1311">
        <v>101422</v>
      </c>
      <c r="U18" s="810"/>
      <c r="V18" s="810"/>
      <c r="W18" s="810"/>
      <c r="X18" s="810"/>
      <c r="Y18" s="810">
        <v>397032</v>
      </c>
      <c r="Z18" s="810"/>
      <c r="AA18" s="810">
        <v>2249846</v>
      </c>
      <c r="AB18" s="810"/>
      <c r="AC18" s="810"/>
      <c r="AD18" s="810"/>
    </row>
    <row r="19" spans="1:30" s="241" customFormat="1" ht="21.75" customHeight="1">
      <c r="A19" s="457"/>
      <c r="B19" s="799">
        <v>80110</v>
      </c>
      <c r="C19" s="800" t="s">
        <v>61</v>
      </c>
      <c r="D19" s="801"/>
      <c r="E19" s="802"/>
      <c r="F19" s="803"/>
      <c r="G19" s="804">
        <v>6473043</v>
      </c>
      <c r="H19" s="1318">
        <v>52143</v>
      </c>
      <c r="I19" s="804">
        <v>172743</v>
      </c>
      <c r="J19" s="804"/>
      <c r="K19" s="804"/>
      <c r="L19" s="804"/>
      <c r="M19" s="804"/>
      <c r="N19" s="804">
        <v>937223</v>
      </c>
      <c r="O19" s="804"/>
      <c r="P19" s="804">
        <v>5310934</v>
      </c>
      <c r="Q19" s="804"/>
      <c r="R19" s="804"/>
      <c r="S19" s="1332"/>
      <c r="T19" s="1310">
        <v>0</v>
      </c>
      <c r="U19" s="804"/>
      <c r="V19" s="804"/>
      <c r="W19" s="804"/>
      <c r="X19" s="804"/>
      <c r="Y19" s="804">
        <f>937223+25911</f>
        <v>963134</v>
      </c>
      <c r="Z19" s="804"/>
      <c r="AA19" s="804">
        <f>5310934+146832</f>
        <v>5457766</v>
      </c>
      <c r="AB19" s="804"/>
      <c r="AC19" s="804"/>
      <c r="AD19" s="804"/>
    </row>
    <row r="20" spans="1:30" s="241" customFormat="1" ht="45.75" customHeight="1">
      <c r="A20" s="78"/>
      <c r="B20" s="814"/>
      <c r="C20" s="1179" t="s">
        <v>362</v>
      </c>
      <c r="D20" s="1180" t="s">
        <v>293</v>
      </c>
      <c r="E20" s="1181" t="s">
        <v>258</v>
      </c>
      <c r="F20" s="1182" t="s">
        <v>292</v>
      </c>
      <c r="G20" s="1306">
        <v>6473043</v>
      </c>
      <c r="H20" s="1322">
        <v>52143</v>
      </c>
      <c r="I20" s="1183">
        <v>172743</v>
      </c>
      <c r="J20" s="1183"/>
      <c r="K20" s="1183"/>
      <c r="L20" s="1183"/>
      <c r="M20" s="1183"/>
      <c r="N20" s="1183">
        <v>937223</v>
      </c>
      <c r="O20" s="1183"/>
      <c r="P20" s="1183">
        <v>5310934</v>
      </c>
      <c r="Q20" s="1183"/>
      <c r="R20" s="1183"/>
      <c r="S20" s="1334"/>
      <c r="T20" s="1323">
        <v>0</v>
      </c>
      <c r="U20" s="1183"/>
      <c r="V20" s="1183"/>
      <c r="W20" s="1183"/>
      <c r="X20" s="1183"/>
      <c r="Y20" s="1183">
        <v>963134</v>
      </c>
      <c r="Z20" s="1183"/>
      <c r="AA20" s="1183">
        <v>5457766</v>
      </c>
      <c r="AB20" s="1183"/>
      <c r="AC20" s="1183"/>
      <c r="AD20" s="1183"/>
    </row>
    <row r="24" ht="12.75">
      <c r="O24" s="52"/>
    </row>
    <row r="25" ht="12.75">
      <c r="U25" s="52"/>
    </row>
    <row r="26" spans="3:4" ht="14.25">
      <c r="C26" s="1475" t="s">
        <v>117</v>
      </c>
      <c r="D26" s="1478" t="s">
        <v>118</v>
      </c>
    </row>
    <row r="27" spans="3:4" ht="14.25">
      <c r="C27" s="1475" t="s">
        <v>119</v>
      </c>
      <c r="D27" s="1477" t="s">
        <v>120</v>
      </c>
    </row>
    <row r="28" spans="3:4" ht="14.25">
      <c r="C28" s="1476"/>
      <c r="D28" s="1477" t="s">
        <v>121</v>
      </c>
    </row>
  </sheetData>
  <mergeCells count="6">
    <mergeCell ref="I7:K7"/>
    <mergeCell ref="N7:P7"/>
    <mergeCell ref="Q7:S7"/>
    <mergeCell ref="AB7:AD7"/>
    <mergeCell ref="T7:V7"/>
    <mergeCell ref="Y7:AA7"/>
  </mergeCells>
  <printOptions/>
  <pageMargins left="0.47" right="0.38" top="0.63" bottom="1" header="0.5" footer="0.5"/>
  <pageSetup firstPageNumber="19" useFirstPageNumber="1" horizontalDpi="600" verticalDpi="600" orientation="landscape" paperSize="9" scale="38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4"/>
  <dimension ref="A1:I62"/>
  <sheetViews>
    <sheetView zoomScale="90" zoomScaleNormal="90" zoomScaleSheetLayoutView="75" workbookViewId="0" topLeftCell="A1">
      <selection activeCell="D4" sqref="D4"/>
    </sheetView>
  </sheetViews>
  <sheetFormatPr defaultColWidth="9.00390625" defaultRowHeight="12.75"/>
  <cols>
    <col min="1" max="1" width="8.625" style="22" customWidth="1"/>
    <col min="2" max="2" width="9.625" style="22" customWidth="1"/>
    <col min="3" max="3" width="70.00390625" style="22" customWidth="1"/>
    <col min="4" max="4" width="21.25390625" style="22" bestFit="1" customWidth="1"/>
    <col min="5" max="5" width="15.75390625" style="22" hidden="1" customWidth="1"/>
    <col min="6" max="7" width="18.75390625" style="22" customWidth="1"/>
    <col min="8" max="8" width="11.375" style="22" customWidth="1"/>
    <col min="9" max="9" width="9.125" style="22" customWidth="1"/>
    <col min="10" max="16384" width="7.875" style="22" customWidth="1"/>
  </cols>
  <sheetData>
    <row r="1" spans="1:7" ht="12.75" customHeight="1">
      <c r="A1" s="382"/>
      <c r="B1" s="382"/>
      <c r="C1" s="382"/>
      <c r="D1" s="382"/>
      <c r="E1" s="383"/>
      <c r="F1" s="50" t="s">
        <v>254</v>
      </c>
      <c r="G1" s="383"/>
    </row>
    <row r="2" spans="1:7" ht="12.75" customHeight="1">
      <c r="A2" s="382"/>
      <c r="B2" s="382"/>
      <c r="C2" s="382"/>
      <c r="D2" s="382"/>
      <c r="E2" s="382"/>
      <c r="F2" s="22" t="s">
        <v>308</v>
      </c>
      <c r="G2" s="382"/>
    </row>
    <row r="3" spans="1:7" ht="15" customHeight="1">
      <c r="A3" s="382"/>
      <c r="B3" s="382"/>
      <c r="C3" s="384" t="s">
        <v>109</v>
      </c>
      <c r="D3" s="382"/>
      <c r="E3" s="383"/>
      <c r="F3" s="22" t="s">
        <v>523</v>
      </c>
      <c r="G3" s="382"/>
    </row>
    <row r="4" spans="1:7" ht="12.75" customHeight="1">
      <c r="A4" s="382"/>
      <c r="B4" s="382"/>
      <c r="C4" s="382"/>
      <c r="D4" s="382"/>
      <c r="E4" s="383"/>
      <c r="F4" s="22" t="s">
        <v>446</v>
      </c>
      <c r="G4" s="382"/>
    </row>
    <row r="5" spans="1:7" ht="10.5" customHeight="1">
      <c r="A5" s="382"/>
      <c r="B5" s="382"/>
      <c r="C5" s="382"/>
      <c r="D5" s="382"/>
      <c r="E5" s="382"/>
      <c r="F5" s="382"/>
      <c r="G5" s="382"/>
    </row>
    <row r="6" spans="1:7" ht="8.25" customHeight="1" thickBot="1">
      <c r="A6" s="382"/>
      <c r="B6" s="382"/>
      <c r="C6" s="382"/>
      <c r="D6" s="385"/>
      <c r="E6" s="385"/>
      <c r="F6" s="385"/>
      <c r="G6" s="386" t="s">
        <v>524</v>
      </c>
    </row>
    <row r="7" spans="1:7" ht="10.5" customHeight="1" thickTop="1">
      <c r="A7" s="328"/>
      <c r="B7" s="328"/>
      <c r="C7" s="328"/>
      <c r="D7" s="1437" t="s">
        <v>114</v>
      </c>
      <c r="E7" s="387"/>
      <c r="F7" s="387"/>
      <c r="G7" s="387"/>
    </row>
    <row r="8" spans="1:7" ht="57.75" customHeight="1" thickBot="1">
      <c r="A8" s="388" t="s">
        <v>528</v>
      </c>
      <c r="B8" s="388" t="s">
        <v>529</v>
      </c>
      <c r="C8" s="389" t="s">
        <v>110</v>
      </c>
      <c r="D8" s="1452"/>
      <c r="E8" s="390" t="s">
        <v>111</v>
      </c>
      <c r="F8" s="390" t="s">
        <v>591</v>
      </c>
      <c r="G8" s="390" t="s">
        <v>579</v>
      </c>
    </row>
    <row r="9" spans="1:7" ht="11.25" customHeight="1" thickBot="1" thickTop="1">
      <c r="A9" s="243">
        <v>1</v>
      </c>
      <c r="B9" s="243">
        <v>2</v>
      </c>
      <c r="C9" s="243">
        <v>3</v>
      </c>
      <c r="D9" s="243">
        <v>4</v>
      </c>
      <c r="E9" s="243">
        <v>5</v>
      </c>
      <c r="F9" s="243">
        <v>5</v>
      </c>
      <c r="G9" s="243">
        <v>6</v>
      </c>
    </row>
    <row r="10" spans="1:9" ht="18" customHeight="1" thickBot="1" thickTop="1">
      <c r="A10" s="245"/>
      <c r="B10" s="245"/>
      <c r="C10" s="391" t="s">
        <v>112</v>
      </c>
      <c r="D10" s="247">
        <v>17400874</v>
      </c>
      <c r="E10" s="247"/>
      <c r="F10" s="247">
        <f>F12+F48+F52</f>
        <v>657781</v>
      </c>
      <c r="G10" s="247">
        <f>D10+F10</f>
        <v>18058655</v>
      </c>
      <c r="H10" s="47"/>
      <c r="I10" s="47"/>
    </row>
    <row r="11" spans="1:7" ht="14.25" customHeight="1" thickTop="1">
      <c r="A11" s="67"/>
      <c r="B11" s="67"/>
      <c r="C11" s="392" t="s">
        <v>545</v>
      </c>
      <c r="D11" s="393"/>
      <c r="E11" s="393"/>
      <c r="F11" s="393"/>
      <c r="G11" s="393"/>
    </row>
    <row r="12" spans="1:7" s="45" customFormat="1" ht="15" customHeight="1" thickBot="1">
      <c r="A12" s="105"/>
      <c r="B12" s="105"/>
      <c r="C12" s="394" t="s">
        <v>113</v>
      </c>
      <c r="D12" s="106">
        <v>16970874</v>
      </c>
      <c r="E12" s="106"/>
      <c r="F12" s="106">
        <f>F13+F18+F21+F34+F41</f>
        <v>630888</v>
      </c>
      <c r="G12" s="106">
        <f aca="true" t="shared" si="0" ref="G12:G56">D12+F12</f>
        <v>17601762</v>
      </c>
    </row>
    <row r="13" spans="1:7" s="45" customFormat="1" ht="17.25" customHeight="1" thickTop="1">
      <c r="A13" s="72">
        <v>600</v>
      </c>
      <c r="B13" s="72"/>
      <c r="C13" s="1007" t="s">
        <v>551</v>
      </c>
      <c r="D13" s="396">
        <v>4580089</v>
      </c>
      <c r="E13" s="396"/>
      <c r="F13" s="396">
        <f>F14+F16</f>
        <v>0</v>
      </c>
      <c r="G13" s="396">
        <f t="shared" si="0"/>
        <v>4580089</v>
      </c>
    </row>
    <row r="14" spans="1:7" s="399" customFormat="1" ht="18.75" customHeight="1">
      <c r="A14" s="76"/>
      <c r="B14" s="186">
        <v>60015</v>
      </c>
      <c r="C14" s="86" t="s">
        <v>70</v>
      </c>
      <c r="D14" s="398">
        <v>3291089</v>
      </c>
      <c r="E14" s="398"/>
      <c r="F14" s="398">
        <f>F15</f>
        <v>-1137000</v>
      </c>
      <c r="G14" s="398">
        <f t="shared" si="0"/>
        <v>2154089</v>
      </c>
    </row>
    <row r="15" spans="1:7" s="45" customFormat="1" ht="19.5" customHeight="1">
      <c r="A15" s="68"/>
      <c r="B15" s="68"/>
      <c r="C15" s="1008" t="s">
        <v>458</v>
      </c>
      <c r="D15" s="756">
        <v>2000000</v>
      </c>
      <c r="E15" s="756"/>
      <c r="F15" s="756">
        <v>-1137000</v>
      </c>
      <c r="G15" s="756">
        <f t="shared" si="0"/>
        <v>863000</v>
      </c>
    </row>
    <row r="16" spans="1:7" s="399" customFormat="1" ht="18.75" customHeight="1">
      <c r="A16" s="76"/>
      <c r="B16" s="186">
        <v>60017</v>
      </c>
      <c r="C16" s="86" t="s">
        <v>456</v>
      </c>
      <c r="D16" s="398">
        <v>160000</v>
      </c>
      <c r="E16" s="398"/>
      <c r="F16" s="398">
        <f>F17</f>
        <v>1137000</v>
      </c>
      <c r="G16" s="398">
        <f t="shared" si="0"/>
        <v>1297000</v>
      </c>
    </row>
    <row r="17" spans="1:7" s="45" customFormat="1" ht="18" customHeight="1">
      <c r="A17" s="68"/>
      <c r="B17" s="68"/>
      <c r="C17" s="757" t="s">
        <v>449</v>
      </c>
      <c r="D17" s="755">
        <v>160000</v>
      </c>
      <c r="E17" s="755"/>
      <c r="F17" s="755">
        <v>1137000</v>
      </c>
      <c r="G17" s="755">
        <f t="shared" si="0"/>
        <v>1297000</v>
      </c>
    </row>
    <row r="18" spans="1:7" s="45" customFormat="1" ht="18" customHeight="1">
      <c r="A18" s="72">
        <v>750</v>
      </c>
      <c r="B18" s="72"/>
      <c r="C18" s="395" t="s">
        <v>558</v>
      </c>
      <c r="D18" s="396">
        <v>705970</v>
      </c>
      <c r="E18" s="396"/>
      <c r="F18" s="396">
        <f>F19</f>
        <v>80000</v>
      </c>
      <c r="G18" s="396">
        <f t="shared" si="0"/>
        <v>785970</v>
      </c>
    </row>
    <row r="19" spans="1:7" s="399" customFormat="1" ht="18.75" customHeight="1">
      <c r="A19" s="76"/>
      <c r="B19" s="186">
        <v>75023</v>
      </c>
      <c r="C19" s="1139" t="s">
        <v>573</v>
      </c>
      <c r="D19" s="398">
        <v>685970</v>
      </c>
      <c r="E19" s="398"/>
      <c r="F19" s="398">
        <f>F20</f>
        <v>80000</v>
      </c>
      <c r="G19" s="398">
        <f t="shared" si="0"/>
        <v>765970</v>
      </c>
    </row>
    <row r="20" spans="1:7" s="45" customFormat="1" ht="18.75" customHeight="1">
      <c r="A20" s="80"/>
      <c r="B20" s="80"/>
      <c r="C20" s="1140" t="s">
        <v>169</v>
      </c>
      <c r="D20" s="401">
        <v>685970</v>
      </c>
      <c r="E20" s="401"/>
      <c r="F20" s="401">
        <v>80000</v>
      </c>
      <c r="G20" s="401">
        <f t="shared" si="0"/>
        <v>765970</v>
      </c>
    </row>
    <row r="21" spans="1:7" s="45" customFormat="1" ht="18" customHeight="1">
      <c r="A21" s="72">
        <v>801</v>
      </c>
      <c r="B21" s="72"/>
      <c r="C21" s="395" t="s">
        <v>554</v>
      </c>
      <c r="D21" s="396">
        <v>4042672</v>
      </c>
      <c r="E21" s="396"/>
      <c r="F21" s="396">
        <f>F22+F24+F26+F28+F32+F30</f>
        <v>688358</v>
      </c>
      <c r="G21" s="396">
        <f t="shared" si="0"/>
        <v>4731030</v>
      </c>
    </row>
    <row r="22" spans="1:7" s="399" customFormat="1" ht="18.75" customHeight="1">
      <c r="A22" s="76"/>
      <c r="B22" s="186">
        <v>80101</v>
      </c>
      <c r="C22" s="397" t="s">
        <v>60</v>
      </c>
      <c r="D22" s="398">
        <v>1083379</v>
      </c>
      <c r="E22" s="398"/>
      <c r="F22" s="398">
        <f>F23</f>
        <v>325101</v>
      </c>
      <c r="G22" s="398">
        <f t="shared" si="0"/>
        <v>1408480</v>
      </c>
    </row>
    <row r="23" spans="1:7" s="45" customFormat="1" ht="18.75" customHeight="1">
      <c r="A23" s="80"/>
      <c r="B23" s="80"/>
      <c r="C23" s="400" t="s">
        <v>202</v>
      </c>
      <c r="D23" s="401">
        <v>1083379</v>
      </c>
      <c r="E23" s="401"/>
      <c r="F23" s="401">
        <f>202100+123001</f>
        <v>325101</v>
      </c>
      <c r="G23" s="401">
        <f t="shared" si="0"/>
        <v>1408480</v>
      </c>
    </row>
    <row r="24" spans="1:7" s="399" customFormat="1" ht="18.75" customHeight="1">
      <c r="A24" s="76"/>
      <c r="B24" s="186">
        <v>80104</v>
      </c>
      <c r="C24" s="397" t="s">
        <v>601</v>
      </c>
      <c r="D24" s="398">
        <v>378227</v>
      </c>
      <c r="E24" s="398"/>
      <c r="F24" s="398">
        <f>F25</f>
        <v>174781</v>
      </c>
      <c r="G24" s="398">
        <f t="shared" si="0"/>
        <v>553008</v>
      </c>
    </row>
    <row r="25" spans="1:7" s="45" customFormat="1" ht="18.75" customHeight="1">
      <c r="A25" s="80"/>
      <c r="B25" s="80"/>
      <c r="C25" s="400" t="s">
        <v>610</v>
      </c>
      <c r="D25" s="401">
        <v>378227</v>
      </c>
      <c r="E25" s="401"/>
      <c r="F25" s="401">
        <f>-29+3500+171310</f>
        <v>174781</v>
      </c>
      <c r="G25" s="401">
        <f t="shared" si="0"/>
        <v>553008</v>
      </c>
    </row>
    <row r="26" spans="1:7" s="399" customFormat="1" ht="18.75" customHeight="1">
      <c r="A26" s="76"/>
      <c r="B26" s="186">
        <v>80110</v>
      </c>
      <c r="C26" s="397" t="s">
        <v>61</v>
      </c>
      <c r="D26" s="398">
        <v>960182</v>
      </c>
      <c r="E26" s="398"/>
      <c r="F26" s="398">
        <f>F27</f>
        <v>64500</v>
      </c>
      <c r="G26" s="398">
        <f t="shared" si="0"/>
        <v>1024682</v>
      </c>
    </row>
    <row r="27" spans="1:7" s="45" customFormat="1" ht="18.75" customHeight="1">
      <c r="A27" s="80"/>
      <c r="B27" s="80"/>
      <c r="C27" s="633" t="s">
        <v>202</v>
      </c>
      <c r="D27" s="634">
        <v>960182</v>
      </c>
      <c r="E27" s="634"/>
      <c r="F27" s="634">
        <v>64500</v>
      </c>
      <c r="G27" s="634">
        <f t="shared" si="0"/>
        <v>1024682</v>
      </c>
    </row>
    <row r="28" spans="1:7" s="399" customFormat="1" ht="18.75" customHeight="1">
      <c r="A28" s="76"/>
      <c r="B28" s="186">
        <v>80120</v>
      </c>
      <c r="C28" s="397" t="s">
        <v>62</v>
      </c>
      <c r="D28" s="398">
        <v>919143</v>
      </c>
      <c r="E28" s="398"/>
      <c r="F28" s="398">
        <f>F29</f>
        <v>51976</v>
      </c>
      <c r="G28" s="398">
        <f t="shared" si="0"/>
        <v>971119</v>
      </c>
    </row>
    <row r="29" spans="1:7" s="45" customFormat="1" ht="18.75" customHeight="1">
      <c r="A29" s="80"/>
      <c r="B29" s="80"/>
      <c r="C29" s="633" t="s">
        <v>202</v>
      </c>
      <c r="D29" s="634">
        <v>919143</v>
      </c>
      <c r="E29" s="634"/>
      <c r="F29" s="634">
        <f>976+51000</f>
        <v>51976</v>
      </c>
      <c r="G29" s="634">
        <f t="shared" si="0"/>
        <v>971119</v>
      </c>
    </row>
    <row r="30" spans="1:7" s="399" customFormat="1" ht="18.75" customHeight="1">
      <c r="A30" s="76"/>
      <c r="B30" s="186">
        <v>80123</v>
      </c>
      <c r="C30" s="397" t="s">
        <v>177</v>
      </c>
      <c r="D30" s="398"/>
      <c r="E30" s="398"/>
      <c r="F30" s="398">
        <f>F31</f>
        <v>30000</v>
      </c>
      <c r="G30" s="398">
        <f>D30+F30</f>
        <v>30000</v>
      </c>
    </row>
    <row r="31" spans="1:7" s="45" customFormat="1" ht="16.5" customHeight="1">
      <c r="A31" s="80"/>
      <c r="B31" s="80"/>
      <c r="C31" s="633" t="s">
        <v>202</v>
      </c>
      <c r="D31" s="634"/>
      <c r="E31" s="634"/>
      <c r="F31" s="634">
        <v>30000</v>
      </c>
      <c r="G31" s="634">
        <f>D31+F31</f>
        <v>30000</v>
      </c>
    </row>
    <row r="32" spans="1:7" s="399" customFormat="1" ht="18.75" customHeight="1">
      <c r="A32" s="76"/>
      <c r="B32" s="186">
        <v>80130</v>
      </c>
      <c r="C32" s="397" t="s">
        <v>600</v>
      </c>
      <c r="D32" s="398">
        <v>642741</v>
      </c>
      <c r="E32" s="398"/>
      <c r="F32" s="398">
        <f>F33</f>
        <v>42000</v>
      </c>
      <c r="G32" s="398">
        <f t="shared" si="0"/>
        <v>684741</v>
      </c>
    </row>
    <row r="33" spans="1:7" s="45" customFormat="1" ht="18.75" customHeight="1">
      <c r="A33" s="1027"/>
      <c r="B33" s="1027"/>
      <c r="C33" s="633" t="s">
        <v>202</v>
      </c>
      <c r="D33" s="634">
        <v>642741</v>
      </c>
      <c r="E33" s="634"/>
      <c r="F33" s="634">
        <v>42000</v>
      </c>
      <c r="G33" s="634">
        <f t="shared" si="0"/>
        <v>684741</v>
      </c>
    </row>
    <row r="34" spans="1:7" s="45" customFormat="1" ht="18.75" customHeight="1">
      <c r="A34" s="72">
        <v>852</v>
      </c>
      <c r="B34" s="72"/>
      <c r="C34" s="395" t="s">
        <v>555</v>
      </c>
      <c r="D34" s="396">
        <v>320500</v>
      </c>
      <c r="E34" s="396"/>
      <c r="F34" s="396">
        <f>F35+F37+F39</f>
        <v>-141001</v>
      </c>
      <c r="G34" s="396">
        <f t="shared" si="0"/>
        <v>179499</v>
      </c>
    </row>
    <row r="35" spans="1:7" s="399" customFormat="1" ht="18.75" customHeight="1">
      <c r="A35" s="76"/>
      <c r="B35" s="186">
        <v>85201</v>
      </c>
      <c r="C35" s="397" t="s">
        <v>190</v>
      </c>
      <c r="D35" s="398">
        <v>75000</v>
      </c>
      <c r="E35" s="398"/>
      <c r="F35" s="398">
        <f>F36</f>
        <v>-56001</v>
      </c>
      <c r="G35" s="398">
        <f t="shared" si="0"/>
        <v>18999</v>
      </c>
    </row>
    <row r="36" spans="1:7" s="45" customFormat="1" ht="18.75" customHeight="1">
      <c r="A36" s="80"/>
      <c r="B36" s="80"/>
      <c r="C36" s="633" t="s">
        <v>449</v>
      </c>
      <c r="D36" s="401">
        <v>75000</v>
      </c>
      <c r="E36" s="401"/>
      <c r="F36" s="401">
        <f>-52501-8500+5000</f>
        <v>-56001</v>
      </c>
      <c r="G36" s="401">
        <f t="shared" si="0"/>
        <v>18999</v>
      </c>
    </row>
    <row r="37" spans="1:7" s="399" customFormat="1" ht="20.25" customHeight="1">
      <c r="A37" s="76"/>
      <c r="B37" s="186">
        <v>85219</v>
      </c>
      <c r="C37" s="1175" t="s">
        <v>133</v>
      </c>
      <c r="D37" s="398">
        <v>40000</v>
      </c>
      <c r="E37" s="398"/>
      <c r="F37" s="398">
        <f>F38</f>
        <v>-35000</v>
      </c>
      <c r="G37" s="398">
        <f t="shared" si="0"/>
        <v>5000</v>
      </c>
    </row>
    <row r="38" spans="1:7" s="45" customFormat="1" ht="18.75" customHeight="1">
      <c r="A38" s="80"/>
      <c r="B38" s="80"/>
      <c r="C38" s="1176" t="s">
        <v>472</v>
      </c>
      <c r="D38" s="401">
        <v>40000</v>
      </c>
      <c r="E38" s="401"/>
      <c r="F38" s="401">
        <v>-35000</v>
      </c>
      <c r="G38" s="401">
        <f t="shared" si="0"/>
        <v>5000</v>
      </c>
    </row>
    <row r="39" spans="1:7" s="399" customFormat="1" ht="25.5">
      <c r="A39" s="76"/>
      <c r="B39" s="186">
        <v>85220</v>
      </c>
      <c r="C39" s="397" t="s">
        <v>443</v>
      </c>
      <c r="D39" s="398">
        <v>95000</v>
      </c>
      <c r="E39" s="398"/>
      <c r="F39" s="398">
        <f>F40</f>
        <v>-50000</v>
      </c>
      <c r="G39" s="398">
        <f t="shared" si="0"/>
        <v>45000</v>
      </c>
    </row>
    <row r="40" spans="1:7" s="45" customFormat="1" ht="18.75" customHeight="1">
      <c r="A40" s="80"/>
      <c r="B40" s="80"/>
      <c r="C40" s="400" t="s">
        <v>448</v>
      </c>
      <c r="D40" s="401">
        <v>95000</v>
      </c>
      <c r="E40" s="401"/>
      <c r="F40" s="401">
        <v>-50000</v>
      </c>
      <c r="G40" s="401">
        <f t="shared" si="0"/>
        <v>45000</v>
      </c>
    </row>
    <row r="41" spans="1:7" s="45" customFormat="1" ht="18.75" customHeight="1">
      <c r="A41" s="72">
        <v>854</v>
      </c>
      <c r="B41" s="72"/>
      <c r="C41" s="395" t="s">
        <v>556</v>
      </c>
      <c r="D41" s="396">
        <v>376643</v>
      </c>
      <c r="E41" s="396"/>
      <c r="F41" s="396">
        <f>F42+F44+F46</f>
        <v>3531</v>
      </c>
      <c r="G41" s="396">
        <f t="shared" si="0"/>
        <v>380174</v>
      </c>
    </row>
    <row r="42" spans="1:7" s="399" customFormat="1" ht="18.75" customHeight="1">
      <c r="A42" s="76"/>
      <c r="B42" s="186">
        <v>85403</v>
      </c>
      <c r="C42" s="397" t="s">
        <v>183</v>
      </c>
      <c r="D42" s="398">
        <v>194943</v>
      </c>
      <c r="E42" s="398"/>
      <c r="F42" s="398">
        <f>F43</f>
        <v>31130</v>
      </c>
      <c r="G42" s="398">
        <f t="shared" si="0"/>
        <v>226073</v>
      </c>
    </row>
    <row r="43" spans="1:7" s="45" customFormat="1" ht="18.75" customHeight="1">
      <c r="A43" s="80"/>
      <c r="B43" s="80"/>
      <c r="C43" s="400" t="s">
        <v>168</v>
      </c>
      <c r="D43" s="401">
        <v>194943</v>
      </c>
      <c r="E43" s="401"/>
      <c r="F43" s="401">
        <v>31130</v>
      </c>
      <c r="G43" s="401">
        <f t="shared" si="0"/>
        <v>226073</v>
      </c>
    </row>
    <row r="44" spans="1:7" s="399" customFormat="1" ht="18.75" customHeight="1">
      <c r="A44" s="76"/>
      <c r="B44" s="186">
        <v>85410</v>
      </c>
      <c r="C44" s="397" t="s">
        <v>91</v>
      </c>
      <c r="D44" s="398">
        <v>117200</v>
      </c>
      <c r="E44" s="398"/>
      <c r="F44" s="398">
        <f>F45</f>
        <v>-31130</v>
      </c>
      <c r="G44" s="398">
        <f t="shared" si="0"/>
        <v>86070</v>
      </c>
    </row>
    <row r="45" spans="1:7" s="45" customFormat="1" ht="18.75" customHeight="1">
      <c r="A45" s="80"/>
      <c r="B45" s="80"/>
      <c r="C45" s="400" t="s">
        <v>168</v>
      </c>
      <c r="D45" s="401">
        <v>117200</v>
      </c>
      <c r="E45" s="401"/>
      <c r="F45" s="401">
        <v>-31130</v>
      </c>
      <c r="G45" s="401">
        <f t="shared" si="0"/>
        <v>86070</v>
      </c>
    </row>
    <row r="46" spans="1:7" s="399" customFormat="1" ht="18.75" customHeight="1">
      <c r="A46" s="76"/>
      <c r="B46" s="186">
        <v>85417</v>
      </c>
      <c r="C46" s="397" t="s">
        <v>185</v>
      </c>
      <c r="D46" s="398">
        <v>10000</v>
      </c>
      <c r="E46" s="398"/>
      <c r="F46" s="398">
        <f>F47</f>
        <v>3531</v>
      </c>
      <c r="G46" s="398">
        <f t="shared" si="0"/>
        <v>13531</v>
      </c>
    </row>
    <row r="47" spans="1:7" s="45" customFormat="1" ht="18.75" customHeight="1">
      <c r="A47" s="80"/>
      <c r="B47" s="80"/>
      <c r="C47" s="633" t="s">
        <v>435</v>
      </c>
      <c r="D47" s="634">
        <v>10000</v>
      </c>
      <c r="E47" s="634"/>
      <c r="F47" s="634">
        <f>3531</f>
        <v>3531</v>
      </c>
      <c r="G47" s="634">
        <f t="shared" si="0"/>
        <v>13531</v>
      </c>
    </row>
    <row r="48" spans="1:7" s="45" customFormat="1" ht="19.5" customHeight="1" thickBot="1">
      <c r="A48" s="105"/>
      <c r="B48" s="105"/>
      <c r="C48" s="394" t="s">
        <v>232</v>
      </c>
      <c r="D48" s="106"/>
      <c r="E48" s="106"/>
      <c r="F48" s="106">
        <f>F49</f>
        <v>7000</v>
      </c>
      <c r="G48" s="106">
        <f t="shared" si="0"/>
        <v>7000</v>
      </c>
    </row>
    <row r="49" spans="1:7" s="45" customFormat="1" ht="18.75" customHeight="1" thickTop="1">
      <c r="A49" s="72">
        <v>754</v>
      </c>
      <c r="B49" s="72"/>
      <c r="C49" s="92" t="s">
        <v>548</v>
      </c>
      <c r="D49" s="396"/>
      <c r="E49" s="396"/>
      <c r="F49" s="396">
        <f>F50</f>
        <v>7000</v>
      </c>
      <c r="G49" s="396">
        <f t="shared" si="0"/>
        <v>7000</v>
      </c>
    </row>
    <row r="50" spans="1:7" s="399" customFormat="1" ht="18.75" customHeight="1">
      <c r="A50" s="76"/>
      <c r="B50" s="186">
        <v>75411</v>
      </c>
      <c r="C50" s="77" t="s">
        <v>284</v>
      </c>
      <c r="D50" s="398"/>
      <c r="E50" s="398"/>
      <c r="F50" s="398">
        <f>F51</f>
        <v>7000</v>
      </c>
      <c r="G50" s="398">
        <f t="shared" si="0"/>
        <v>7000</v>
      </c>
    </row>
    <row r="51" spans="1:7" s="45" customFormat="1" ht="19.5" customHeight="1">
      <c r="A51" s="68"/>
      <c r="B51" s="68"/>
      <c r="C51" s="1008" t="s">
        <v>66</v>
      </c>
      <c r="D51" s="756"/>
      <c r="E51" s="756"/>
      <c r="F51" s="756">
        <v>7000</v>
      </c>
      <c r="G51" s="756">
        <f t="shared" si="0"/>
        <v>7000</v>
      </c>
    </row>
    <row r="52" spans="1:7" s="402" customFormat="1" ht="19.5" customHeight="1">
      <c r="A52" s="405"/>
      <c r="B52" s="405"/>
      <c r="C52" s="403" t="s">
        <v>483</v>
      </c>
      <c r="D52" s="404">
        <v>430000</v>
      </c>
      <c r="E52" s="404"/>
      <c r="F52" s="404">
        <f>F53</f>
        <v>19893</v>
      </c>
      <c r="G52" s="404">
        <f t="shared" si="0"/>
        <v>449893</v>
      </c>
    </row>
    <row r="53" spans="1:7" s="45" customFormat="1" ht="18.75" customHeight="1" thickBot="1">
      <c r="A53" s="105"/>
      <c r="B53" s="105"/>
      <c r="C53" s="394" t="s">
        <v>597</v>
      </c>
      <c r="D53" s="106">
        <v>430000</v>
      </c>
      <c r="E53" s="106"/>
      <c r="F53" s="106">
        <f>F54</f>
        <v>19893</v>
      </c>
      <c r="G53" s="106">
        <f t="shared" si="0"/>
        <v>449893</v>
      </c>
    </row>
    <row r="54" spans="1:7" s="45" customFormat="1" ht="18.75" customHeight="1" thickTop="1">
      <c r="A54" s="72">
        <v>851</v>
      </c>
      <c r="B54" s="72"/>
      <c r="C54" s="395" t="s">
        <v>557</v>
      </c>
      <c r="D54" s="396"/>
      <c r="E54" s="396"/>
      <c r="F54" s="396">
        <f>F55</f>
        <v>19893</v>
      </c>
      <c r="G54" s="396">
        <f t="shared" si="0"/>
        <v>19893</v>
      </c>
    </row>
    <row r="55" spans="1:7" s="399" customFormat="1" ht="18.75" customHeight="1">
      <c r="A55" s="76"/>
      <c r="B55" s="186">
        <v>85141</v>
      </c>
      <c r="C55" s="397" t="s">
        <v>451</v>
      </c>
      <c r="D55" s="398"/>
      <c r="E55" s="398"/>
      <c r="F55" s="398">
        <f>F56</f>
        <v>19893</v>
      </c>
      <c r="G55" s="398">
        <f t="shared" si="0"/>
        <v>19893</v>
      </c>
    </row>
    <row r="56" spans="1:7" s="45" customFormat="1" ht="18.75" customHeight="1">
      <c r="A56" s="1027"/>
      <c r="B56" s="1027"/>
      <c r="C56" s="1028" t="s">
        <v>449</v>
      </c>
      <c r="D56" s="1029"/>
      <c r="E56" s="1029"/>
      <c r="F56" s="1029">
        <v>19893</v>
      </c>
      <c r="G56" s="1029">
        <f t="shared" si="0"/>
        <v>19893</v>
      </c>
    </row>
    <row r="60" spans="3:4" ht="14.25">
      <c r="C60" s="1475" t="s">
        <v>117</v>
      </c>
      <c r="D60" s="1478" t="s">
        <v>118</v>
      </c>
    </row>
    <row r="61" spans="3:4" ht="14.25">
      <c r="C61" s="1475" t="s">
        <v>119</v>
      </c>
      <c r="D61" s="1477" t="s">
        <v>120</v>
      </c>
    </row>
    <row r="62" spans="3:4" ht="14.25">
      <c r="C62" s="1476"/>
      <c r="D62" s="1477" t="s">
        <v>121</v>
      </c>
    </row>
  </sheetData>
  <mergeCells count="1">
    <mergeCell ref="D7:D8"/>
  </mergeCells>
  <printOptions horizontalCentered="1"/>
  <pageMargins left="0.3937007874015748" right="0.3937007874015748" top="0.5511811023622047" bottom="0.5511811023622047" header="0.5118110236220472" footer="0.3937007874015748"/>
  <pageSetup firstPageNumber="20" useFirstPageNumber="1" horizontalDpi="300" verticalDpi="300" orientation="landscape" paperSize="9" scale="9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8"/>
  <dimension ref="A1:J67"/>
  <sheetViews>
    <sheetView zoomScale="90" zoomScaleNormal="90" zoomScaleSheetLayoutView="75" workbookViewId="0" topLeftCell="A1">
      <selection activeCell="E2" sqref="E2"/>
    </sheetView>
  </sheetViews>
  <sheetFormatPr defaultColWidth="9.00390625" defaultRowHeight="12.75"/>
  <cols>
    <col min="1" max="1" width="5.375" style="22" customWidth="1"/>
    <col min="2" max="2" width="8.625" style="22" customWidth="1"/>
    <col min="3" max="3" width="8.25390625" style="22" customWidth="1"/>
    <col min="4" max="4" width="66.625" style="22" customWidth="1"/>
    <col min="5" max="5" width="22.75390625" style="22" customWidth="1"/>
    <col min="6" max="6" width="19.00390625" style="22" customWidth="1"/>
    <col min="7" max="7" width="20.375" style="22" customWidth="1"/>
    <col min="8" max="8" width="12.00390625" style="22" customWidth="1"/>
    <col min="9" max="9" width="11.125" style="22" customWidth="1"/>
    <col min="10" max="10" width="15.25390625" style="22" customWidth="1"/>
    <col min="11" max="16384" width="9.125" style="22" customWidth="1"/>
  </cols>
  <sheetData>
    <row r="1" spans="2:6" ht="15" customHeight="1">
      <c r="B1" s="241"/>
      <c r="C1" s="241"/>
      <c r="F1" s="50" t="s">
        <v>192</v>
      </c>
    </row>
    <row r="2" ht="15" customHeight="1">
      <c r="F2" s="22" t="s">
        <v>308</v>
      </c>
    </row>
    <row r="3" spans="4:6" ht="15" customHeight="1">
      <c r="D3" s="3" t="s">
        <v>72</v>
      </c>
      <c r="F3" s="22" t="s">
        <v>523</v>
      </c>
    </row>
    <row r="4" ht="15" customHeight="1">
      <c r="F4" s="22" t="s">
        <v>446</v>
      </c>
    </row>
    <row r="5" ht="14.25" customHeight="1" thickBot="1">
      <c r="G5" s="54" t="s">
        <v>524</v>
      </c>
    </row>
    <row r="6" spans="1:7" ht="67.5" customHeight="1" thickBot="1" thickTop="1">
      <c r="A6" s="242" t="s">
        <v>576</v>
      </c>
      <c r="B6" s="242" t="s">
        <v>529</v>
      </c>
      <c r="C6" s="118" t="s">
        <v>562</v>
      </c>
      <c r="D6" s="118" t="s">
        <v>73</v>
      </c>
      <c r="E6" s="118" t="s">
        <v>74</v>
      </c>
      <c r="F6" s="118" t="s">
        <v>591</v>
      </c>
      <c r="G6" s="117" t="s">
        <v>579</v>
      </c>
    </row>
    <row r="7" spans="1:7" s="244" customFormat="1" ht="15.75" customHeight="1" thickBot="1" thickTop="1">
      <c r="A7" s="243">
        <v>1</v>
      </c>
      <c r="B7" s="243">
        <v>2</v>
      </c>
      <c r="C7" s="243">
        <v>3</v>
      </c>
      <c r="D7" s="243">
        <v>4</v>
      </c>
      <c r="E7" s="243">
        <v>5</v>
      </c>
      <c r="F7" s="243">
        <v>6</v>
      </c>
      <c r="G7" s="212">
        <v>7</v>
      </c>
    </row>
    <row r="8" spans="1:10" ht="21" customHeight="1" thickBot="1" thickTop="1">
      <c r="A8" s="245"/>
      <c r="B8" s="245"/>
      <c r="C8" s="245"/>
      <c r="D8" s="246" t="s">
        <v>75</v>
      </c>
      <c r="E8" s="267">
        <v>900893061</v>
      </c>
      <c r="F8" s="247">
        <f>F10+F31</f>
        <v>829070</v>
      </c>
      <c r="G8" s="247">
        <f>E8+F8</f>
        <v>901722131</v>
      </c>
      <c r="H8" s="47"/>
      <c r="I8" s="47"/>
      <c r="J8" s="47"/>
    </row>
    <row r="9" spans="1:7" ht="13.5" customHeight="1" thickTop="1">
      <c r="A9" s="67"/>
      <c r="B9" s="67"/>
      <c r="C9" s="67"/>
      <c r="D9" s="67" t="s">
        <v>545</v>
      </c>
      <c r="E9" s="268"/>
      <c r="F9" s="248"/>
      <c r="G9" s="248"/>
    </row>
    <row r="10" spans="1:10" ht="18.75" customHeight="1" thickBot="1">
      <c r="A10" s="67"/>
      <c r="B10" s="67"/>
      <c r="C10" s="67"/>
      <c r="D10" s="249" t="s">
        <v>83</v>
      </c>
      <c r="E10" s="269">
        <v>620071647</v>
      </c>
      <c r="F10" s="250">
        <f>F11+F12+F13+F18+F19</f>
        <v>-636294</v>
      </c>
      <c r="G10" s="250">
        <f aca="true" t="shared" si="0" ref="G10:G55">E10+F10</f>
        <v>619435353</v>
      </c>
      <c r="H10" s="47"/>
      <c r="J10" s="47"/>
    </row>
    <row r="11" spans="1:7" s="241" customFormat="1" ht="16.5" customHeight="1" thickBot="1">
      <c r="A11" s="85"/>
      <c r="B11" s="85"/>
      <c r="C11" s="85"/>
      <c r="D11" s="251" t="s">
        <v>76</v>
      </c>
      <c r="E11" s="115">
        <v>403289173</v>
      </c>
      <c r="F11" s="71"/>
      <c r="G11" s="252">
        <f t="shared" si="0"/>
        <v>403289173</v>
      </c>
    </row>
    <row r="12" spans="1:7" s="241" customFormat="1" ht="17.25" customHeight="1" thickBot="1" thickTop="1">
      <c r="A12" s="85"/>
      <c r="B12" s="85"/>
      <c r="C12" s="85"/>
      <c r="D12" s="253" t="s">
        <v>77</v>
      </c>
      <c r="E12" s="151">
        <v>107666934</v>
      </c>
      <c r="F12" s="254"/>
      <c r="G12" s="71">
        <f t="shared" si="0"/>
        <v>107666934</v>
      </c>
    </row>
    <row r="13" spans="1:7" s="241" customFormat="1" ht="18.75" customHeight="1" thickBot="1" thickTop="1">
      <c r="A13" s="85"/>
      <c r="B13" s="85"/>
      <c r="C13" s="85"/>
      <c r="D13" s="253" t="s">
        <v>78</v>
      </c>
      <c r="E13" s="115">
        <v>31037811</v>
      </c>
      <c r="F13" s="71">
        <f>F14</f>
        <v>857</v>
      </c>
      <c r="G13" s="255">
        <f t="shared" si="0"/>
        <v>31038668</v>
      </c>
    </row>
    <row r="14" spans="1:7" ht="19.5" customHeight="1" thickTop="1">
      <c r="A14" s="184">
        <v>801</v>
      </c>
      <c r="B14" s="72"/>
      <c r="C14" s="256"/>
      <c r="D14" s="233" t="s">
        <v>554</v>
      </c>
      <c r="E14" s="239">
        <v>1175290</v>
      </c>
      <c r="F14" s="257">
        <f>F15</f>
        <v>857</v>
      </c>
      <c r="G14" s="87">
        <f t="shared" si="0"/>
        <v>1176147</v>
      </c>
    </row>
    <row r="15" spans="1:7" ht="20.25" customHeight="1">
      <c r="A15" s="258"/>
      <c r="B15" s="227">
        <v>80101</v>
      </c>
      <c r="C15" s="259"/>
      <c r="D15" s="492" t="s">
        <v>60</v>
      </c>
      <c r="E15" s="435">
        <v>1150543</v>
      </c>
      <c r="F15" s="260">
        <f>F16</f>
        <v>857</v>
      </c>
      <c r="G15" s="226">
        <f t="shared" si="0"/>
        <v>1151400</v>
      </c>
    </row>
    <row r="16" spans="1:7" ht="15.75" customHeight="1">
      <c r="A16" s="185"/>
      <c r="B16" s="76"/>
      <c r="C16" s="216"/>
      <c r="D16" s="493" t="s">
        <v>510</v>
      </c>
      <c r="E16" s="421">
        <v>40743</v>
      </c>
      <c r="F16" s="261">
        <f>F17</f>
        <v>857</v>
      </c>
      <c r="G16" s="262">
        <f t="shared" si="0"/>
        <v>41600</v>
      </c>
    </row>
    <row r="17" spans="1:7" ht="24" customHeight="1">
      <c r="A17" s="85"/>
      <c r="B17" s="85"/>
      <c r="C17" s="263">
        <v>2030</v>
      </c>
      <c r="D17" s="494" t="s">
        <v>189</v>
      </c>
      <c r="E17" s="436">
        <v>40743</v>
      </c>
      <c r="F17" s="264">
        <v>857</v>
      </c>
      <c r="G17" s="264">
        <f t="shared" si="0"/>
        <v>41600</v>
      </c>
    </row>
    <row r="18" spans="1:7" s="241" customFormat="1" ht="29.25" customHeight="1" thickBot="1">
      <c r="A18" s="265"/>
      <c r="B18" s="265"/>
      <c r="C18" s="265"/>
      <c r="D18" s="266" t="s">
        <v>79</v>
      </c>
      <c r="E18" s="115">
        <v>821200</v>
      </c>
      <c r="F18" s="71"/>
      <c r="G18" s="71">
        <f t="shared" si="0"/>
        <v>821200</v>
      </c>
    </row>
    <row r="19" spans="1:7" s="241" customFormat="1" ht="29.25" customHeight="1" thickBot="1" thickTop="1">
      <c r="A19" s="265"/>
      <c r="B19" s="265"/>
      <c r="C19" s="265"/>
      <c r="D19" s="266" t="s">
        <v>80</v>
      </c>
      <c r="E19" s="115">
        <v>77256529</v>
      </c>
      <c r="F19" s="71">
        <f>F20+F24</f>
        <v>-637151</v>
      </c>
      <c r="G19" s="71">
        <f t="shared" si="0"/>
        <v>76619378</v>
      </c>
    </row>
    <row r="20" spans="1:7" ht="18.75" customHeight="1" thickTop="1">
      <c r="A20" s="184">
        <v>851</v>
      </c>
      <c r="B20" s="72"/>
      <c r="C20" s="256"/>
      <c r="D20" s="233" t="s">
        <v>557</v>
      </c>
      <c r="E20" s="257">
        <v>1533</v>
      </c>
      <c r="F20" s="257">
        <f>F21</f>
        <v>2149</v>
      </c>
      <c r="G20" s="87">
        <f t="shared" si="0"/>
        <v>3682</v>
      </c>
    </row>
    <row r="21" spans="1:7" ht="19.5" customHeight="1">
      <c r="A21" s="258"/>
      <c r="B21" s="227">
        <v>85195</v>
      </c>
      <c r="C21" s="259"/>
      <c r="D21" s="232" t="s">
        <v>553</v>
      </c>
      <c r="E21" s="260">
        <v>1533</v>
      </c>
      <c r="F21" s="260">
        <f>F22</f>
        <v>2149</v>
      </c>
      <c r="G21" s="226">
        <f t="shared" si="0"/>
        <v>3682</v>
      </c>
    </row>
    <row r="22" spans="1:7" ht="25.5" customHeight="1">
      <c r="A22" s="185"/>
      <c r="B22" s="76"/>
      <c r="C22" s="216"/>
      <c r="D22" s="746" t="s">
        <v>64</v>
      </c>
      <c r="E22" s="261">
        <v>1533</v>
      </c>
      <c r="F22" s="261">
        <f>F23</f>
        <v>2149</v>
      </c>
      <c r="G22" s="262">
        <f t="shared" si="0"/>
        <v>3682</v>
      </c>
    </row>
    <row r="23" spans="1:7" ht="26.25" customHeight="1">
      <c r="A23" s="85"/>
      <c r="B23" s="85"/>
      <c r="C23" s="263">
        <v>2010</v>
      </c>
      <c r="D23" s="235" t="s">
        <v>327</v>
      </c>
      <c r="E23" s="84">
        <v>1533</v>
      </c>
      <c r="F23" s="264">
        <v>2149</v>
      </c>
      <c r="G23" s="264">
        <f t="shared" si="0"/>
        <v>3682</v>
      </c>
    </row>
    <row r="24" spans="1:7" ht="19.5" customHeight="1">
      <c r="A24" s="184">
        <v>852</v>
      </c>
      <c r="B24" s="72"/>
      <c r="C24" s="256"/>
      <c r="D24" s="233" t="s">
        <v>555</v>
      </c>
      <c r="E24" s="257">
        <v>75651900</v>
      </c>
      <c r="F24" s="257">
        <f>F25+F28</f>
        <v>-639300</v>
      </c>
      <c r="G24" s="87">
        <f t="shared" si="0"/>
        <v>75012600</v>
      </c>
    </row>
    <row r="25" spans="1:7" ht="25.5">
      <c r="A25" s="258"/>
      <c r="B25" s="227">
        <v>85212</v>
      </c>
      <c r="C25" s="259"/>
      <c r="D25" s="1115" t="s">
        <v>144</v>
      </c>
      <c r="E25" s="260">
        <v>64522000</v>
      </c>
      <c r="F25" s="260">
        <f>F26</f>
        <v>-600000</v>
      </c>
      <c r="G25" s="226">
        <f>E25+F25</f>
        <v>63922000</v>
      </c>
    </row>
    <row r="26" spans="1:7" ht="27.75" customHeight="1">
      <c r="A26" s="185"/>
      <c r="B26" s="76"/>
      <c r="C26" s="216"/>
      <c r="D26" s="746" t="s">
        <v>234</v>
      </c>
      <c r="E26" s="261">
        <v>64522000</v>
      </c>
      <c r="F26" s="261">
        <f>F27</f>
        <v>-600000</v>
      </c>
      <c r="G26" s="262">
        <f>E26+F26</f>
        <v>63922000</v>
      </c>
    </row>
    <row r="27" spans="1:7" ht="26.25" customHeight="1">
      <c r="A27" s="86"/>
      <c r="B27" s="86"/>
      <c r="C27" s="263">
        <v>2010</v>
      </c>
      <c r="D27" s="1001" t="s">
        <v>327</v>
      </c>
      <c r="E27" s="84">
        <v>64522000</v>
      </c>
      <c r="F27" s="264">
        <v>-600000</v>
      </c>
      <c r="G27" s="264">
        <f>E27+F27</f>
        <v>63922000</v>
      </c>
    </row>
    <row r="28" spans="1:7" ht="19.5" customHeight="1">
      <c r="A28" s="185"/>
      <c r="B28" s="227">
        <v>85228</v>
      </c>
      <c r="C28" s="259"/>
      <c r="D28" s="1112" t="s">
        <v>142</v>
      </c>
      <c r="E28" s="260">
        <v>1317800</v>
      </c>
      <c r="F28" s="260">
        <f>F29</f>
        <v>-39300</v>
      </c>
      <c r="G28" s="226">
        <f t="shared" si="0"/>
        <v>1278500</v>
      </c>
    </row>
    <row r="29" spans="1:7" ht="18.75" customHeight="1">
      <c r="A29" s="185"/>
      <c r="B29" s="76"/>
      <c r="C29" s="216"/>
      <c r="D29" s="557" t="s">
        <v>143</v>
      </c>
      <c r="E29" s="261">
        <v>1317800</v>
      </c>
      <c r="F29" s="261">
        <f>F30</f>
        <v>-39300</v>
      </c>
      <c r="G29" s="262">
        <f t="shared" si="0"/>
        <v>1278500</v>
      </c>
    </row>
    <row r="30" spans="1:7" ht="29.25" customHeight="1">
      <c r="A30" s="85"/>
      <c r="B30" s="85"/>
      <c r="C30" s="263">
        <v>2010</v>
      </c>
      <c r="D30" s="1001" t="s">
        <v>327</v>
      </c>
      <c r="E30" s="84">
        <v>1317800</v>
      </c>
      <c r="F30" s="264">
        <v>-39300</v>
      </c>
      <c r="G30" s="264">
        <f t="shared" si="0"/>
        <v>1278500</v>
      </c>
    </row>
    <row r="31" spans="1:7" s="241" customFormat="1" ht="20.25" customHeight="1" thickBot="1">
      <c r="A31" s="67"/>
      <c r="B31" s="67"/>
      <c r="C31" s="67"/>
      <c r="D31" s="86" t="s">
        <v>208</v>
      </c>
      <c r="E31" s="660">
        <v>280821414</v>
      </c>
      <c r="F31" s="661">
        <f>F32+F33+F34+F42+F47</f>
        <v>1465364</v>
      </c>
      <c r="G31" s="661">
        <f t="shared" si="0"/>
        <v>282286778</v>
      </c>
    </row>
    <row r="32" spans="1:7" s="241" customFormat="1" ht="19.5" customHeight="1" thickBot="1">
      <c r="A32" s="85"/>
      <c r="B32" s="85"/>
      <c r="C32" s="85"/>
      <c r="D32" s="653" t="s">
        <v>76</v>
      </c>
      <c r="E32" s="151">
        <v>72360210</v>
      </c>
      <c r="F32" s="654"/>
      <c r="G32" s="106">
        <f t="shared" si="0"/>
        <v>72360210</v>
      </c>
    </row>
    <row r="33" spans="1:7" s="241" customFormat="1" ht="20.25" customHeight="1" thickBot="1" thickTop="1">
      <c r="A33" s="85"/>
      <c r="B33" s="85"/>
      <c r="C33" s="85"/>
      <c r="D33" s="655" t="s">
        <v>81</v>
      </c>
      <c r="E33" s="656">
        <v>134444797</v>
      </c>
      <c r="F33" s="657"/>
      <c r="G33" s="657">
        <f t="shared" si="0"/>
        <v>134444797</v>
      </c>
    </row>
    <row r="34" spans="1:7" s="241" customFormat="1" ht="18.75" customHeight="1" thickBot="1" thickTop="1">
      <c r="A34" s="85"/>
      <c r="B34" s="85"/>
      <c r="C34" s="85"/>
      <c r="D34" s="253" t="s">
        <v>78</v>
      </c>
      <c r="E34" s="151">
        <v>47621705</v>
      </c>
      <c r="F34" s="106">
        <f>F35</f>
        <v>1313270</v>
      </c>
      <c r="G34" s="106">
        <f t="shared" si="0"/>
        <v>48934975</v>
      </c>
    </row>
    <row r="35" spans="1:7" ht="19.5" customHeight="1" thickTop="1">
      <c r="A35" s="184">
        <v>852</v>
      </c>
      <c r="B35" s="72"/>
      <c r="C35" s="256"/>
      <c r="D35" s="1099" t="s">
        <v>555</v>
      </c>
      <c r="E35" s="1098">
        <v>8727100</v>
      </c>
      <c r="F35" s="1098">
        <f>F36+F39</f>
        <v>1313270</v>
      </c>
      <c r="G35" s="841">
        <f aca="true" t="shared" si="1" ref="G35:G41">E35+F35</f>
        <v>10040370</v>
      </c>
    </row>
    <row r="36" spans="1:7" ht="18" customHeight="1">
      <c r="A36" s="258"/>
      <c r="B36" s="227">
        <v>85201</v>
      </c>
      <c r="C36" s="259"/>
      <c r="D36" s="77" t="s">
        <v>190</v>
      </c>
      <c r="E36" s="260">
        <v>15000</v>
      </c>
      <c r="F36" s="260">
        <f>F37</f>
        <v>795560</v>
      </c>
      <c r="G36" s="226">
        <f t="shared" si="1"/>
        <v>810560</v>
      </c>
    </row>
    <row r="37" spans="1:7" ht="29.25" customHeight="1">
      <c r="A37" s="185"/>
      <c r="B37" s="76"/>
      <c r="C37" s="216"/>
      <c r="D37" s="1345" t="s">
        <v>67</v>
      </c>
      <c r="E37" s="261"/>
      <c r="F37" s="261">
        <f>F38</f>
        <v>795560</v>
      </c>
      <c r="G37" s="262">
        <f t="shared" si="1"/>
        <v>795560</v>
      </c>
    </row>
    <row r="38" spans="1:7" ht="30.75" customHeight="1">
      <c r="A38" s="85"/>
      <c r="B38" s="86"/>
      <c r="C38" s="263">
        <v>6430</v>
      </c>
      <c r="D38" s="1267" t="s">
        <v>616</v>
      </c>
      <c r="E38" s="84"/>
      <c r="F38" s="264">
        <f>264000+258060+233200+40300</f>
        <v>795560</v>
      </c>
      <c r="G38" s="264">
        <f t="shared" si="1"/>
        <v>795560</v>
      </c>
    </row>
    <row r="39" spans="1:7" ht="18" customHeight="1">
      <c r="A39" s="185"/>
      <c r="B39" s="227">
        <v>85202</v>
      </c>
      <c r="C39" s="259"/>
      <c r="D39" s="77" t="s">
        <v>82</v>
      </c>
      <c r="E39" s="260">
        <v>8580100</v>
      </c>
      <c r="F39" s="260">
        <f>F40</f>
        <v>517710</v>
      </c>
      <c r="G39" s="226">
        <f t="shared" si="1"/>
        <v>9097810</v>
      </c>
    </row>
    <row r="40" spans="1:7" ht="29.25" customHeight="1">
      <c r="A40" s="185"/>
      <c r="B40" s="76"/>
      <c r="C40" s="216"/>
      <c r="D40" s="1345" t="s">
        <v>67</v>
      </c>
      <c r="E40" s="261"/>
      <c r="F40" s="261">
        <f>F41</f>
        <v>517710</v>
      </c>
      <c r="G40" s="262">
        <f t="shared" si="1"/>
        <v>517710</v>
      </c>
    </row>
    <row r="41" spans="1:7" ht="30.75" customHeight="1">
      <c r="A41" s="85"/>
      <c r="B41" s="85"/>
      <c r="C41" s="263">
        <v>6430</v>
      </c>
      <c r="D41" s="1267" t="s">
        <v>616</v>
      </c>
      <c r="E41" s="84"/>
      <c r="F41" s="264">
        <f>235150+148260+134300</f>
        <v>517710</v>
      </c>
      <c r="G41" s="264">
        <f t="shared" si="1"/>
        <v>517710</v>
      </c>
    </row>
    <row r="42" spans="1:7" ht="28.5" customHeight="1" thickBot="1">
      <c r="A42" s="86"/>
      <c r="B42" s="86"/>
      <c r="C42" s="86"/>
      <c r="D42" s="662" t="s">
        <v>79</v>
      </c>
      <c r="E42" s="1097">
        <v>4219025</v>
      </c>
      <c r="F42" s="663">
        <f>F43</f>
        <v>7000</v>
      </c>
      <c r="G42" s="663">
        <f t="shared" si="0"/>
        <v>4226025</v>
      </c>
    </row>
    <row r="43" spans="1:7" ht="19.5" customHeight="1" thickTop="1">
      <c r="A43" s="184">
        <v>754</v>
      </c>
      <c r="B43" s="72"/>
      <c r="C43" s="256"/>
      <c r="D43" s="1099" t="s">
        <v>548</v>
      </c>
      <c r="E43" s="1098"/>
      <c r="F43" s="1098">
        <f>F44</f>
        <v>7000</v>
      </c>
      <c r="G43" s="841">
        <f>E43+F43</f>
        <v>7000</v>
      </c>
    </row>
    <row r="44" spans="1:7" ht="18" customHeight="1">
      <c r="A44" s="258"/>
      <c r="B44" s="227">
        <v>75411</v>
      </c>
      <c r="C44" s="259"/>
      <c r="D44" s="77" t="s">
        <v>284</v>
      </c>
      <c r="E44" s="260"/>
      <c r="F44" s="260">
        <f>F45</f>
        <v>7000</v>
      </c>
      <c r="G44" s="226">
        <f>E44+F44</f>
        <v>7000</v>
      </c>
    </row>
    <row r="45" spans="1:7" ht="29.25" customHeight="1">
      <c r="A45" s="185"/>
      <c r="B45" s="76"/>
      <c r="C45" s="216"/>
      <c r="D45" s="664" t="s">
        <v>242</v>
      </c>
      <c r="E45" s="261"/>
      <c r="F45" s="261">
        <f>F46</f>
        <v>7000</v>
      </c>
      <c r="G45" s="262">
        <f>E45+F45</f>
        <v>7000</v>
      </c>
    </row>
    <row r="46" spans="1:7" ht="30.75" customHeight="1">
      <c r="A46" s="85"/>
      <c r="B46" s="85"/>
      <c r="C46" s="263">
        <v>2710</v>
      </c>
      <c r="D46" s="1163" t="s">
        <v>617</v>
      </c>
      <c r="E46" s="1125"/>
      <c r="F46" s="1164">
        <v>7000</v>
      </c>
      <c r="G46" s="1164">
        <f>E46+F46</f>
        <v>7000</v>
      </c>
    </row>
    <row r="47" spans="1:7" ht="30" customHeight="1" thickBot="1">
      <c r="A47" s="86"/>
      <c r="B47" s="86"/>
      <c r="C47" s="86"/>
      <c r="D47" s="1165" t="s">
        <v>317</v>
      </c>
      <c r="E47" s="1166">
        <v>22175677</v>
      </c>
      <c r="F47" s="1167">
        <f>F48+F52</f>
        <v>145094</v>
      </c>
      <c r="G47" s="1167">
        <f t="shared" si="0"/>
        <v>22320771</v>
      </c>
    </row>
    <row r="48" spans="1:7" ht="19.5" customHeight="1" thickTop="1">
      <c r="A48" s="933">
        <v>851</v>
      </c>
      <c r="B48" s="439"/>
      <c r="C48" s="934"/>
      <c r="D48" s="658" t="s">
        <v>557</v>
      </c>
      <c r="E48" s="257">
        <v>3187000</v>
      </c>
      <c r="F48" s="257">
        <f>F49</f>
        <v>120000</v>
      </c>
      <c r="G48" s="87">
        <f t="shared" si="0"/>
        <v>3307000</v>
      </c>
    </row>
    <row r="49" spans="1:7" ht="18" customHeight="1">
      <c r="A49" s="258"/>
      <c r="B49" s="227">
        <v>85141</v>
      </c>
      <c r="C49" s="259"/>
      <c r="D49" s="232" t="s">
        <v>451</v>
      </c>
      <c r="E49" s="260"/>
      <c r="F49" s="260">
        <f>F50</f>
        <v>120000</v>
      </c>
      <c r="G49" s="226">
        <f t="shared" si="0"/>
        <v>120000</v>
      </c>
    </row>
    <row r="50" spans="1:7" ht="26.25" customHeight="1">
      <c r="A50" s="185"/>
      <c r="B50" s="76"/>
      <c r="C50" s="216"/>
      <c r="D50" s="1000" t="s">
        <v>454</v>
      </c>
      <c r="E50" s="261"/>
      <c r="F50" s="261">
        <f>F51</f>
        <v>120000</v>
      </c>
      <c r="G50" s="262">
        <f t="shared" si="0"/>
        <v>120000</v>
      </c>
    </row>
    <row r="51" spans="1:7" ht="37.5" customHeight="1">
      <c r="A51" s="86"/>
      <c r="B51" s="86"/>
      <c r="C51" s="263">
        <v>2110</v>
      </c>
      <c r="D51" s="1001" t="s">
        <v>209</v>
      </c>
      <c r="E51" s="84"/>
      <c r="F51" s="264">
        <v>120000</v>
      </c>
      <c r="G51" s="264">
        <f t="shared" si="0"/>
        <v>120000</v>
      </c>
    </row>
    <row r="52" spans="1:7" ht="19.5" customHeight="1">
      <c r="A52" s="184">
        <v>853</v>
      </c>
      <c r="B52" s="72"/>
      <c r="C52" s="256"/>
      <c r="D52" s="233" t="s">
        <v>598</v>
      </c>
      <c r="E52" s="257">
        <v>591560</v>
      </c>
      <c r="F52" s="257">
        <f>F53</f>
        <v>25094</v>
      </c>
      <c r="G52" s="87">
        <f t="shared" si="0"/>
        <v>616654</v>
      </c>
    </row>
    <row r="53" spans="1:7" ht="19.5" customHeight="1">
      <c r="A53" s="258"/>
      <c r="B53" s="227">
        <v>85334</v>
      </c>
      <c r="C53" s="259"/>
      <c r="D53" s="232" t="s">
        <v>222</v>
      </c>
      <c r="E53" s="260">
        <v>39560</v>
      </c>
      <c r="F53" s="260">
        <f>F54</f>
        <v>25094</v>
      </c>
      <c r="G53" s="226">
        <f t="shared" si="0"/>
        <v>64654</v>
      </c>
    </row>
    <row r="54" spans="1:7" ht="19.5" customHeight="1">
      <c r="A54" s="185"/>
      <c r="B54" s="76"/>
      <c r="C54" s="216"/>
      <c r="D54" s="234" t="s">
        <v>224</v>
      </c>
      <c r="E54" s="261">
        <v>39560</v>
      </c>
      <c r="F54" s="261">
        <f>F55</f>
        <v>25094</v>
      </c>
      <c r="G54" s="262">
        <f t="shared" si="0"/>
        <v>64654</v>
      </c>
    </row>
    <row r="55" spans="1:7" ht="39" customHeight="1">
      <c r="A55" s="86"/>
      <c r="B55" s="86"/>
      <c r="C55" s="263">
        <v>2110</v>
      </c>
      <c r="D55" s="235" t="s">
        <v>209</v>
      </c>
      <c r="E55" s="84">
        <v>39560</v>
      </c>
      <c r="F55" s="264">
        <v>25094</v>
      </c>
      <c r="G55" s="264">
        <f t="shared" si="0"/>
        <v>64654</v>
      </c>
    </row>
    <row r="65" spans="4:5" ht="14.25">
      <c r="D65" s="1475" t="s">
        <v>117</v>
      </c>
      <c r="E65" s="1478" t="s">
        <v>118</v>
      </c>
    </row>
    <row r="66" spans="4:5" ht="14.25">
      <c r="D66" s="1475" t="s">
        <v>119</v>
      </c>
      <c r="E66" s="1477" t="s">
        <v>120</v>
      </c>
    </row>
    <row r="67" spans="4:5" ht="14.25">
      <c r="D67" s="1476"/>
      <c r="E67" s="1477" t="s">
        <v>121</v>
      </c>
    </row>
  </sheetData>
  <printOptions horizontalCentered="1"/>
  <pageMargins left="0.4724409448818898" right="0.4724409448818898" top="0.6692913385826772" bottom="0.5905511811023623" header="0.5118110236220472" footer="0.3937007874015748"/>
  <pageSetup firstPageNumber="22" useFirstPageNumber="1" horizontalDpi="300" verticalDpi="300" orientation="landscape" paperSize="9" scale="8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L476"/>
  <sheetViews>
    <sheetView zoomScale="90" zoomScaleNormal="90" zoomScaleSheetLayoutView="75" workbookViewId="0" topLeftCell="A1">
      <selection activeCell="G4" sqref="G4"/>
    </sheetView>
  </sheetViews>
  <sheetFormatPr defaultColWidth="9.00390625" defaultRowHeight="12.75"/>
  <cols>
    <col min="1" max="1" width="5.25390625" style="22" customWidth="1"/>
    <col min="2" max="2" width="7.75390625" style="22" customWidth="1"/>
    <col min="3" max="3" width="7.625" style="22" customWidth="1"/>
    <col min="4" max="4" width="57.00390625" style="22" customWidth="1"/>
    <col min="5" max="8" width="20.75390625" style="22" customWidth="1"/>
    <col min="9" max="9" width="11.875" style="22" customWidth="1"/>
    <col min="10" max="10" width="12.375" style="22" customWidth="1"/>
    <col min="11" max="11" width="13.375" style="22" customWidth="1"/>
    <col min="12" max="12" width="11.00390625" style="22" customWidth="1"/>
    <col min="13" max="16384" width="9.125" style="22" customWidth="1"/>
  </cols>
  <sheetData>
    <row r="1" ht="18" customHeight="1">
      <c r="G1" s="50" t="s">
        <v>193</v>
      </c>
    </row>
    <row r="2" ht="18" customHeight="1">
      <c r="G2" s="22" t="s">
        <v>308</v>
      </c>
    </row>
    <row r="3" ht="18" customHeight="1">
      <c r="G3" s="22" t="s">
        <v>523</v>
      </c>
    </row>
    <row r="4" spans="4:7" ht="18" customHeight="1">
      <c r="D4" s="4" t="s">
        <v>575</v>
      </c>
      <c r="G4" s="22" t="s">
        <v>446</v>
      </c>
    </row>
    <row r="5" ht="17.25" customHeight="1" thickBot="1">
      <c r="H5" s="54" t="s">
        <v>524</v>
      </c>
    </row>
    <row r="6" spans="1:8" ht="66.75" customHeight="1" thickBot="1" thickTop="1">
      <c r="A6" s="116" t="s">
        <v>576</v>
      </c>
      <c r="B6" s="116" t="s">
        <v>529</v>
      </c>
      <c r="C6" s="117" t="s">
        <v>562</v>
      </c>
      <c r="D6" s="117" t="s">
        <v>577</v>
      </c>
      <c r="E6" s="118" t="s">
        <v>578</v>
      </c>
      <c r="F6" s="117" t="s">
        <v>566</v>
      </c>
      <c r="G6" s="117" t="s">
        <v>567</v>
      </c>
      <c r="H6" s="117" t="s">
        <v>579</v>
      </c>
    </row>
    <row r="7" spans="1:10" ht="18.75" customHeight="1" thickBot="1" thickTop="1">
      <c r="A7" s="16">
        <v>1</v>
      </c>
      <c r="B7" s="16">
        <v>2</v>
      </c>
      <c r="C7" s="16">
        <v>3</v>
      </c>
      <c r="D7" s="119">
        <v>4</v>
      </c>
      <c r="E7" s="119">
        <v>5</v>
      </c>
      <c r="F7" s="119">
        <v>6</v>
      </c>
      <c r="G7" s="119">
        <v>7</v>
      </c>
      <c r="H7" s="119">
        <v>8</v>
      </c>
      <c r="J7" s="47"/>
    </row>
    <row r="8" spans="1:12" ht="21.75" customHeight="1" thickBot="1" thickTop="1">
      <c r="A8" s="85"/>
      <c r="B8" s="120"/>
      <c r="C8" s="120"/>
      <c r="D8" s="121" t="s">
        <v>544</v>
      </c>
      <c r="E8" s="122">
        <v>947834108</v>
      </c>
      <c r="F8" s="122">
        <f>F10+F362+F388</f>
        <v>9772551</v>
      </c>
      <c r="G8" s="122">
        <f>G10+G362+G388</f>
        <v>10601621</v>
      </c>
      <c r="H8" s="122">
        <f>E8+G8-F8</f>
        <v>948663178</v>
      </c>
      <c r="I8" s="47">
        <f>G8-F8</f>
        <v>829070</v>
      </c>
      <c r="J8" s="47"/>
      <c r="K8" s="47"/>
      <c r="L8" s="47"/>
    </row>
    <row r="9" spans="1:10" ht="21" customHeight="1">
      <c r="A9" s="67"/>
      <c r="B9" s="67"/>
      <c r="C9" s="67"/>
      <c r="D9" s="67" t="s">
        <v>545</v>
      </c>
      <c r="E9" s="123"/>
      <c r="F9" s="123"/>
      <c r="G9" s="123"/>
      <c r="H9" s="123"/>
      <c r="J9" s="124"/>
    </row>
    <row r="10" spans="1:12" ht="21" customHeight="1" thickBot="1">
      <c r="A10" s="86"/>
      <c r="B10" s="86"/>
      <c r="C10" s="86"/>
      <c r="D10" s="91" t="s">
        <v>547</v>
      </c>
      <c r="E10" s="88">
        <v>843238354</v>
      </c>
      <c r="F10" s="125">
        <f>F11+F36+F44+F61+F74+F92+F187+F208+F263+F275+F315+F345+F355</f>
        <v>9062761</v>
      </c>
      <c r="G10" s="125">
        <f>G11+G36+G44+G61+G74+G92+G187+G208+G263+G275+G315+G345+G355</f>
        <v>10376888</v>
      </c>
      <c r="H10" s="125">
        <f>E10+G10-F10</f>
        <v>844552481</v>
      </c>
      <c r="I10" s="47"/>
      <c r="J10" s="47"/>
      <c r="L10" s="47"/>
    </row>
    <row r="11" spans="1:12" ht="21" customHeight="1" thickTop="1">
      <c r="A11" s="89">
        <v>600</v>
      </c>
      <c r="B11" s="89"/>
      <c r="C11" s="89"/>
      <c r="D11" s="89" t="s">
        <v>551</v>
      </c>
      <c r="E11" s="74">
        <v>124332191</v>
      </c>
      <c r="F11" s="75">
        <f>F12+F20+F25+F32</f>
        <v>2925000</v>
      </c>
      <c r="G11" s="75">
        <f>G12+G20+G25+G32</f>
        <v>3065000</v>
      </c>
      <c r="H11" s="75">
        <f aca="true" t="shared" si="0" ref="H11:H79">E11+G11-F11</f>
        <v>124472191</v>
      </c>
      <c r="I11" s="47">
        <f>G11-F11</f>
        <v>140000</v>
      </c>
      <c r="J11" s="47"/>
      <c r="L11" s="47"/>
    </row>
    <row r="12" spans="1:12" s="130" customFormat="1" ht="21" customHeight="1">
      <c r="A12" s="81"/>
      <c r="B12" s="78">
        <v>60015</v>
      </c>
      <c r="C12" s="78"/>
      <c r="D12" s="768" t="s">
        <v>70</v>
      </c>
      <c r="E12" s="137">
        <v>88810356</v>
      </c>
      <c r="F12" s="137">
        <f>F13+F16</f>
        <v>2897000</v>
      </c>
      <c r="G12" s="137"/>
      <c r="H12" s="137">
        <f t="shared" si="0"/>
        <v>85913356</v>
      </c>
      <c r="I12" s="138"/>
      <c r="J12" s="138"/>
      <c r="L12" s="138"/>
    </row>
    <row r="13" spans="1:12" s="130" customFormat="1" ht="21" customHeight="1">
      <c r="A13" s="206"/>
      <c r="B13" s="207"/>
      <c r="C13" s="108"/>
      <c r="D13" s="775" t="s">
        <v>459</v>
      </c>
      <c r="E13" s="144">
        <v>3291089</v>
      </c>
      <c r="F13" s="144">
        <f>F15</f>
        <v>1137000</v>
      </c>
      <c r="G13" s="144"/>
      <c r="H13" s="144">
        <f t="shared" si="0"/>
        <v>2154089</v>
      </c>
      <c r="I13" s="138"/>
      <c r="J13" s="138"/>
      <c r="L13" s="138"/>
    </row>
    <row r="14" spans="1:12" s="156" customFormat="1" ht="21" customHeight="1">
      <c r="A14" s="205"/>
      <c r="B14" s="169"/>
      <c r="C14" s="153"/>
      <c r="D14" s="1069" t="s">
        <v>458</v>
      </c>
      <c r="E14" s="467">
        <v>2000000</v>
      </c>
      <c r="F14" s="467">
        <v>1137000</v>
      </c>
      <c r="G14" s="467"/>
      <c r="H14" s="467">
        <f>E14+G14-F14</f>
        <v>863000</v>
      </c>
      <c r="I14" s="155"/>
      <c r="J14" s="155"/>
      <c r="L14" s="155"/>
    </row>
    <row r="15" spans="1:12" s="194" customFormat="1" ht="21" customHeight="1">
      <c r="A15" s="759"/>
      <c r="B15" s="759"/>
      <c r="C15" s="766">
        <v>4270</v>
      </c>
      <c r="D15" s="1385" t="s">
        <v>453</v>
      </c>
      <c r="E15" s="1011">
        <v>3291089</v>
      </c>
      <c r="F15" s="1012">
        <f>F14</f>
        <v>1137000</v>
      </c>
      <c r="G15" s="1012"/>
      <c r="H15" s="1012">
        <f t="shared" si="0"/>
        <v>2154089</v>
      </c>
      <c r="I15" s="195"/>
      <c r="J15" s="195"/>
      <c r="L15" s="195"/>
    </row>
    <row r="16" spans="1:12" s="130" customFormat="1" ht="21" customHeight="1">
      <c r="A16" s="206"/>
      <c r="B16" s="215"/>
      <c r="C16" s="108"/>
      <c r="D16" s="775" t="s">
        <v>768</v>
      </c>
      <c r="E16" s="143">
        <v>77685356</v>
      </c>
      <c r="F16" s="143">
        <f>F19</f>
        <v>1760000</v>
      </c>
      <c r="G16" s="143"/>
      <c r="H16" s="143">
        <f t="shared" si="0"/>
        <v>75925356</v>
      </c>
      <c r="I16" s="138"/>
      <c r="J16" s="138"/>
      <c r="L16" s="138"/>
    </row>
    <row r="17" spans="1:12" ht="25.5" customHeight="1">
      <c r="A17" s="85"/>
      <c r="B17" s="85"/>
      <c r="C17" s="85"/>
      <c r="D17" s="1188" t="s">
        <v>706</v>
      </c>
      <c r="E17" s="763">
        <v>1700000</v>
      </c>
      <c r="F17" s="1192">
        <v>1560000</v>
      </c>
      <c r="G17" s="1192"/>
      <c r="H17" s="764">
        <f t="shared" si="0"/>
        <v>140000</v>
      </c>
      <c r="I17" s="47"/>
      <c r="J17" s="47"/>
      <c r="L17" s="47"/>
    </row>
    <row r="18" spans="1:12" ht="25.5">
      <c r="A18" s="85"/>
      <c r="B18" s="85"/>
      <c r="C18" s="85"/>
      <c r="D18" s="1190" t="s">
        <v>248</v>
      </c>
      <c r="E18" s="763">
        <v>280000</v>
      </c>
      <c r="F18" s="1192">
        <v>200000</v>
      </c>
      <c r="G18" s="1192"/>
      <c r="H18" s="764">
        <f t="shared" si="0"/>
        <v>80000</v>
      </c>
      <c r="I18" s="47"/>
      <c r="J18" s="47"/>
      <c r="L18" s="47"/>
    </row>
    <row r="19" spans="1:12" ht="21" customHeight="1">
      <c r="A19" s="85"/>
      <c r="B19" s="86"/>
      <c r="C19" s="766">
        <v>6050</v>
      </c>
      <c r="D19" s="766" t="s">
        <v>762</v>
      </c>
      <c r="E19" s="760">
        <v>23835580</v>
      </c>
      <c r="F19" s="761">
        <f>SUM(F17:F18)</f>
        <v>1760000</v>
      </c>
      <c r="G19" s="761"/>
      <c r="H19" s="761">
        <f t="shared" si="0"/>
        <v>22075580</v>
      </c>
      <c r="I19" s="47"/>
      <c r="J19" s="47"/>
      <c r="L19" s="47"/>
    </row>
    <row r="20" spans="1:12" s="130" customFormat="1" ht="21" customHeight="1">
      <c r="A20" s="81"/>
      <c r="B20" s="78">
        <v>60016</v>
      </c>
      <c r="C20" s="78"/>
      <c r="D20" s="768" t="s">
        <v>115</v>
      </c>
      <c r="E20" s="137">
        <v>9029000</v>
      </c>
      <c r="F20" s="137"/>
      <c r="G20" s="137">
        <f>G21</f>
        <v>1788000</v>
      </c>
      <c r="H20" s="137">
        <f t="shared" si="0"/>
        <v>10817000</v>
      </c>
      <c r="I20" s="138"/>
      <c r="J20" s="138"/>
      <c r="L20" s="138"/>
    </row>
    <row r="21" spans="1:12" s="130" customFormat="1" ht="21" customHeight="1">
      <c r="A21" s="206"/>
      <c r="B21" s="215"/>
      <c r="C21" s="108"/>
      <c r="D21" s="775" t="s">
        <v>768</v>
      </c>
      <c r="E21" s="143">
        <v>4800000</v>
      </c>
      <c r="F21" s="143"/>
      <c r="G21" s="143">
        <f>G24</f>
        <v>1788000</v>
      </c>
      <c r="H21" s="143">
        <f t="shared" si="0"/>
        <v>6588000</v>
      </c>
      <c r="I21" s="138"/>
      <c r="J21" s="138"/>
      <c r="L21" s="138"/>
    </row>
    <row r="22" spans="1:12" ht="19.5" customHeight="1">
      <c r="A22" s="85"/>
      <c r="B22" s="85"/>
      <c r="C22" s="85"/>
      <c r="D22" s="1188" t="s">
        <v>249</v>
      </c>
      <c r="E22" s="763">
        <v>2025000</v>
      </c>
      <c r="F22" s="1192"/>
      <c r="G22" s="1192">
        <v>1763000</v>
      </c>
      <c r="H22" s="764">
        <f t="shared" si="0"/>
        <v>3788000</v>
      </c>
      <c r="I22" s="47"/>
      <c r="J22" s="47"/>
      <c r="L22" s="47"/>
    </row>
    <row r="23" spans="1:12" ht="19.5" customHeight="1">
      <c r="A23" s="85"/>
      <c r="B23" s="85"/>
      <c r="C23" s="85"/>
      <c r="D23" s="1190" t="s">
        <v>370</v>
      </c>
      <c r="E23" s="763">
        <v>225000</v>
      </c>
      <c r="F23" s="1192"/>
      <c r="G23" s="1192">
        <v>25000</v>
      </c>
      <c r="H23" s="764">
        <f t="shared" si="0"/>
        <v>250000</v>
      </c>
      <c r="I23" s="47"/>
      <c r="J23" s="47"/>
      <c r="L23" s="47"/>
    </row>
    <row r="24" spans="1:12" ht="21" customHeight="1">
      <c r="A24" s="85"/>
      <c r="B24" s="86"/>
      <c r="C24" s="766">
        <v>6050</v>
      </c>
      <c r="D24" s="766" t="s">
        <v>762</v>
      </c>
      <c r="E24" s="760">
        <v>4800000</v>
      </c>
      <c r="F24" s="761"/>
      <c r="G24" s="761">
        <f>SUM(G22:G23)</f>
        <v>1788000</v>
      </c>
      <c r="H24" s="761">
        <f t="shared" si="0"/>
        <v>6588000</v>
      </c>
      <c r="I24" s="47"/>
      <c r="J24" s="47"/>
      <c r="L24" s="47"/>
    </row>
    <row r="25" spans="1:12" s="130" customFormat="1" ht="21" customHeight="1">
      <c r="A25" s="81"/>
      <c r="B25" s="78">
        <v>60017</v>
      </c>
      <c r="C25" s="78"/>
      <c r="D25" s="159" t="s">
        <v>456</v>
      </c>
      <c r="E25" s="137">
        <v>1220000</v>
      </c>
      <c r="F25" s="137">
        <f>F26+F29</f>
        <v>28000</v>
      </c>
      <c r="G25" s="137">
        <f>G26+G29</f>
        <v>1137000</v>
      </c>
      <c r="H25" s="137">
        <f t="shared" si="0"/>
        <v>2329000</v>
      </c>
      <c r="I25" s="138"/>
      <c r="J25" s="138"/>
      <c r="L25" s="138"/>
    </row>
    <row r="26" spans="1:12" s="130" customFormat="1" ht="21" customHeight="1">
      <c r="A26" s="206"/>
      <c r="B26" s="207"/>
      <c r="C26" s="108"/>
      <c r="D26" s="775" t="s">
        <v>449</v>
      </c>
      <c r="E26" s="144">
        <v>160000</v>
      </c>
      <c r="F26" s="144"/>
      <c r="G26" s="144">
        <f>G27</f>
        <v>1137000</v>
      </c>
      <c r="H26" s="144">
        <f t="shared" si="0"/>
        <v>1297000</v>
      </c>
      <c r="I26" s="138"/>
      <c r="J26" s="138"/>
      <c r="L26" s="138"/>
    </row>
    <row r="27" spans="1:12" ht="21" customHeight="1">
      <c r="A27" s="86"/>
      <c r="B27" s="86"/>
      <c r="C27" s="766">
        <v>4270</v>
      </c>
      <c r="D27" s="1009" t="s">
        <v>728</v>
      </c>
      <c r="E27" s="671">
        <v>160000</v>
      </c>
      <c r="F27" s="1010"/>
      <c r="G27" s="1010">
        <v>1137000</v>
      </c>
      <c r="H27" s="1010">
        <f t="shared" si="0"/>
        <v>1297000</v>
      </c>
      <c r="I27" s="47"/>
      <c r="J27" s="47"/>
      <c r="L27" s="47"/>
    </row>
    <row r="28" spans="1:12" ht="21" customHeight="1">
      <c r="A28" s="1368"/>
      <c r="B28" s="1368"/>
      <c r="C28" s="1393"/>
      <c r="D28" s="1393"/>
      <c r="E28" s="1380"/>
      <c r="F28" s="1370"/>
      <c r="G28" s="1370"/>
      <c r="H28" s="1370"/>
      <c r="I28" s="47"/>
      <c r="J28" s="47"/>
      <c r="L28" s="47"/>
    </row>
    <row r="29" spans="1:12" s="130" customFormat="1" ht="21" customHeight="1">
      <c r="A29" s="206"/>
      <c r="B29" s="215"/>
      <c r="C29" s="108"/>
      <c r="D29" s="954" t="s">
        <v>768</v>
      </c>
      <c r="E29" s="268">
        <v>360000</v>
      </c>
      <c r="F29" s="268">
        <f>F31</f>
        <v>28000</v>
      </c>
      <c r="G29" s="268"/>
      <c r="H29" s="268">
        <f t="shared" si="0"/>
        <v>332000</v>
      </c>
      <c r="I29" s="138"/>
      <c r="J29" s="138"/>
      <c r="L29" s="138"/>
    </row>
    <row r="30" spans="1:12" s="156" customFormat="1" ht="21" customHeight="1">
      <c r="A30" s="205"/>
      <c r="B30" s="169"/>
      <c r="C30" s="153"/>
      <c r="D30" s="1069" t="s">
        <v>384</v>
      </c>
      <c r="E30" s="467">
        <v>120000</v>
      </c>
      <c r="F30" s="467">
        <v>28000</v>
      </c>
      <c r="G30" s="467"/>
      <c r="H30" s="467">
        <f>E30+G30-F30</f>
        <v>92000</v>
      </c>
      <c r="I30" s="155"/>
      <c r="J30" s="155"/>
      <c r="L30" s="155"/>
    </row>
    <row r="31" spans="1:12" ht="21" customHeight="1">
      <c r="A31" s="85"/>
      <c r="B31" s="86"/>
      <c r="C31" s="766">
        <v>6050</v>
      </c>
      <c r="D31" s="766" t="s">
        <v>762</v>
      </c>
      <c r="E31" s="323">
        <v>360000</v>
      </c>
      <c r="F31" s="1062">
        <f>F30</f>
        <v>28000</v>
      </c>
      <c r="G31" s="1062"/>
      <c r="H31" s="1062">
        <f t="shared" si="0"/>
        <v>332000</v>
      </c>
      <c r="I31" s="47"/>
      <c r="J31" s="47"/>
      <c r="L31" s="47"/>
    </row>
    <row r="32" spans="1:12" s="130" customFormat="1" ht="21" customHeight="1">
      <c r="A32" s="81"/>
      <c r="B32" s="78">
        <v>60095</v>
      </c>
      <c r="C32" s="78"/>
      <c r="D32" s="159" t="s">
        <v>553</v>
      </c>
      <c r="E32" s="137">
        <v>300000</v>
      </c>
      <c r="F32" s="137"/>
      <c r="G32" s="137">
        <f>G33</f>
        <v>140000</v>
      </c>
      <c r="H32" s="137">
        <f t="shared" si="0"/>
        <v>440000</v>
      </c>
      <c r="I32" s="138"/>
      <c r="J32" s="138"/>
      <c r="L32" s="138"/>
    </row>
    <row r="33" spans="1:12" s="130" customFormat="1" ht="21" customHeight="1">
      <c r="A33" s="206"/>
      <c r="B33" s="207"/>
      <c r="C33" s="457"/>
      <c r="D33" s="993" t="s">
        <v>727</v>
      </c>
      <c r="E33" s="144">
        <v>300000</v>
      </c>
      <c r="F33" s="144"/>
      <c r="G33" s="144">
        <f>G35</f>
        <v>140000</v>
      </c>
      <c r="H33" s="144">
        <f t="shared" si="0"/>
        <v>440000</v>
      </c>
      <c r="I33" s="138"/>
      <c r="J33" s="138"/>
      <c r="L33" s="138"/>
    </row>
    <row r="34" spans="1:12" s="156" customFormat="1" ht="28.5" customHeight="1">
      <c r="A34" s="205"/>
      <c r="B34" s="169"/>
      <c r="C34" s="470"/>
      <c r="D34" s="864" t="s">
        <v>729</v>
      </c>
      <c r="E34" s="467"/>
      <c r="F34" s="467"/>
      <c r="G34" s="467">
        <v>140000</v>
      </c>
      <c r="H34" s="467">
        <f>E34+G34-F34</f>
        <v>140000</v>
      </c>
      <c r="I34" s="155"/>
      <c r="J34" s="155"/>
      <c r="L34" s="155"/>
    </row>
    <row r="35" spans="1:12" ht="20.25" customHeight="1">
      <c r="A35" s="85"/>
      <c r="B35" s="85"/>
      <c r="C35" s="321">
        <v>6050</v>
      </c>
      <c r="D35" s="1226" t="s">
        <v>762</v>
      </c>
      <c r="E35" s="323"/>
      <c r="F35" s="1062"/>
      <c r="G35" s="1062">
        <f>G34</f>
        <v>140000</v>
      </c>
      <c r="H35" s="1062">
        <f t="shared" si="0"/>
        <v>140000</v>
      </c>
      <c r="I35" s="47"/>
      <c r="J35" s="47"/>
      <c r="L35" s="47"/>
    </row>
    <row r="36" spans="1:12" ht="21" customHeight="1">
      <c r="A36" s="89">
        <v>630</v>
      </c>
      <c r="B36" s="89"/>
      <c r="C36" s="89"/>
      <c r="D36" s="89" t="s">
        <v>139</v>
      </c>
      <c r="E36" s="74">
        <v>913463</v>
      </c>
      <c r="F36" s="75">
        <f>F37</f>
        <v>3444</v>
      </c>
      <c r="G36" s="75">
        <f>G37</f>
        <v>22144</v>
      </c>
      <c r="H36" s="75">
        <f t="shared" si="0"/>
        <v>932163</v>
      </c>
      <c r="I36" s="47">
        <f>G36-F36</f>
        <v>18700</v>
      </c>
      <c r="J36" s="47"/>
      <c r="L36" s="47"/>
    </row>
    <row r="37" spans="1:12" s="130" customFormat="1" ht="21" customHeight="1">
      <c r="A37" s="81"/>
      <c r="B37" s="77">
        <v>63003</v>
      </c>
      <c r="C37" s="77"/>
      <c r="D37" s="77" t="s">
        <v>140</v>
      </c>
      <c r="E37" s="137">
        <v>728463</v>
      </c>
      <c r="F37" s="137">
        <f>F38</f>
        <v>3444</v>
      </c>
      <c r="G37" s="137">
        <f>G38</f>
        <v>22144</v>
      </c>
      <c r="H37" s="137">
        <f t="shared" si="0"/>
        <v>747163</v>
      </c>
      <c r="I37" s="138"/>
      <c r="J37" s="138"/>
      <c r="L37" s="138"/>
    </row>
    <row r="38" spans="1:12" s="130" customFormat="1" ht="25.5">
      <c r="A38" s="206"/>
      <c r="B38" s="93"/>
      <c r="C38" s="66"/>
      <c r="D38" s="557" t="s">
        <v>141</v>
      </c>
      <c r="E38" s="544">
        <v>678463</v>
      </c>
      <c r="F38" s="544">
        <f>SUM(F39:F43)</f>
        <v>3444</v>
      </c>
      <c r="G38" s="544">
        <f>SUM(G39:G43)</f>
        <v>22144</v>
      </c>
      <c r="H38" s="144">
        <f t="shared" si="0"/>
        <v>697163</v>
      </c>
      <c r="I38" s="138"/>
      <c r="J38" s="138"/>
      <c r="L38" s="138"/>
    </row>
    <row r="39" spans="1:12" s="156" customFormat="1" ht="21" customHeight="1">
      <c r="A39" s="205"/>
      <c r="B39" s="169"/>
      <c r="C39" s="318">
        <v>4218</v>
      </c>
      <c r="D39" s="1109" t="s">
        <v>570</v>
      </c>
      <c r="E39" s="160">
        <v>3799</v>
      </c>
      <c r="F39" s="160">
        <v>2583</v>
      </c>
      <c r="G39" s="160"/>
      <c r="H39" s="154">
        <f t="shared" si="0"/>
        <v>1216</v>
      </c>
      <c r="I39" s="155"/>
      <c r="J39" s="155"/>
      <c r="L39" s="155"/>
    </row>
    <row r="40" spans="1:12" s="156" customFormat="1" ht="21" customHeight="1">
      <c r="A40" s="205"/>
      <c r="B40" s="169"/>
      <c r="C40" s="318">
        <v>4219</v>
      </c>
      <c r="D40" s="1111" t="s">
        <v>570</v>
      </c>
      <c r="E40" s="160">
        <v>1266</v>
      </c>
      <c r="F40" s="160">
        <v>861</v>
      </c>
      <c r="G40" s="160"/>
      <c r="H40" s="426">
        <f t="shared" si="0"/>
        <v>405</v>
      </c>
      <c r="I40" s="155"/>
      <c r="J40" s="155"/>
      <c r="L40" s="155"/>
    </row>
    <row r="41" spans="1:12" s="156" customFormat="1" ht="21" customHeight="1">
      <c r="A41" s="205"/>
      <c r="B41" s="169"/>
      <c r="C41" s="318">
        <v>6050</v>
      </c>
      <c r="D41" s="1111" t="s">
        <v>762</v>
      </c>
      <c r="E41" s="160"/>
      <c r="F41" s="160"/>
      <c r="G41" s="160">
        <v>18700</v>
      </c>
      <c r="H41" s="426">
        <f t="shared" si="0"/>
        <v>18700</v>
      </c>
      <c r="I41" s="155"/>
      <c r="J41" s="155"/>
      <c r="L41" s="155"/>
    </row>
    <row r="42" spans="1:12" s="156" customFormat="1" ht="21" customHeight="1">
      <c r="A42" s="205"/>
      <c r="B42" s="169"/>
      <c r="C42" s="318">
        <v>6068</v>
      </c>
      <c r="D42" s="1111" t="s">
        <v>607</v>
      </c>
      <c r="E42" s="160"/>
      <c r="F42" s="160"/>
      <c r="G42" s="160">
        <v>2583</v>
      </c>
      <c r="H42" s="426">
        <f t="shared" si="0"/>
        <v>2583</v>
      </c>
      <c r="I42" s="155"/>
      <c r="J42" s="155"/>
      <c r="L42" s="155"/>
    </row>
    <row r="43" spans="1:12" s="156" customFormat="1" ht="21" customHeight="1">
      <c r="A43" s="228"/>
      <c r="B43" s="321"/>
      <c r="C43" s="318">
        <v>6069</v>
      </c>
      <c r="D43" s="320" t="s">
        <v>607</v>
      </c>
      <c r="E43" s="160"/>
      <c r="F43" s="160"/>
      <c r="G43" s="160">
        <v>861</v>
      </c>
      <c r="H43" s="426">
        <f t="shared" si="0"/>
        <v>861</v>
      </c>
      <c r="I43" s="155"/>
      <c r="J43" s="155"/>
      <c r="L43" s="155"/>
    </row>
    <row r="44" spans="1:12" ht="21" customHeight="1">
      <c r="A44" s="89">
        <v>750</v>
      </c>
      <c r="B44" s="89"/>
      <c r="C44" s="89"/>
      <c r="D44" s="89" t="s">
        <v>558</v>
      </c>
      <c r="E44" s="74">
        <v>65617863</v>
      </c>
      <c r="F44" s="75">
        <f>F45+F57</f>
        <v>262647</v>
      </c>
      <c r="G44" s="75">
        <f>G45+G57</f>
        <v>662647</v>
      </c>
      <c r="H44" s="75">
        <f t="shared" si="0"/>
        <v>66017863</v>
      </c>
      <c r="I44" s="47">
        <f>G44-F44</f>
        <v>400000</v>
      </c>
      <c r="J44" s="47"/>
      <c r="L44" s="47"/>
    </row>
    <row r="45" spans="1:12" s="130" customFormat="1" ht="21" customHeight="1">
      <c r="A45" s="81"/>
      <c r="B45" s="78">
        <v>75023</v>
      </c>
      <c r="C45" s="78"/>
      <c r="D45" s="78" t="s">
        <v>573</v>
      </c>
      <c r="E45" s="137">
        <v>61463685</v>
      </c>
      <c r="F45" s="137">
        <f>F46+F48+F51+F53</f>
        <v>262647</v>
      </c>
      <c r="G45" s="137">
        <f>G46+G48+G51+G53</f>
        <v>262647</v>
      </c>
      <c r="H45" s="137">
        <f t="shared" si="0"/>
        <v>61463685</v>
      </c>
      <c r="I45" s="138"/>
      <c r="J45" s="138"/>
      <c r="L45" s="138"/>
    </row>
    <row r="46" spans="1:12" s="130" customFormat="1" ht="21" customHeight="1">
      <c r="A46" s="206"/>
      <c r="B46" s="93"/>
      <c r="C46" s="66"/>
      <c r="D46" s="211" t="s">
        <v>278</v>
      </c>
      <c r="E46" s="544">
        <v>36845000</v>
      </c>
      <c r="F46" s="544">
        <f>F47</f>
        <v>82647</v>
      </c>
      <c r="G46" s="544"/>
      <c r="H46" s="144">
        <f t="shared" si="0"/>
        <v>36762353</v>
      </c>
      <c r="I46" s="138"/>
      <c r="J46" s="138"/>
      <c r="L46" s="138"/>
    </row>
    <row r="47" spans="1:12" s="156" customFormat="1" ht="21" customHeight="1">
      <c r="A47" s="205"/>
      <c r="B47" s="169"/>
      <c r="C47" s="318">
        <v>4040</v>
      </c>
      <c r="D47" s="320" t="s">
        <v>603</v>
      </c>
      <c r="E47" s="160">
        <v>2400000</v>
      </c>
      <c r="F47" s="160">
        <v>82647</v>
      </c>
      <c r="G47" s="160"/>
      <c r="H47" s="154">
        <f t="shared" si="0"/>
        <v>2317353</v>
      </c>
      <c r="I47" s="155"/>
      <c r="J47" s="155"/>
      <c r="L47" s="155"/>
    </row>
    <row r="48" spans="1:12" s="130" customFormat="1" ht="21" customHeight="1">
      <c r="A48" s="206"/>
      <c r="B48" s="215"/>
      <c r="C48" s="108"/>
      <c r="D48" s="101" t="s">
        <v>574</v>
      </c>
      <c r="E48" s="144">
        <v>12296970</v>
      </c>
      <c r="F48" s="144">
        <f>SUM(F49:F50)</f>
        <v>100000</v>
      </c>
      <c r="G48" s="144">
        <f>SUM(G49:G50)</f>
        <v>80000</v>
      </c>
      <c r="H48" s="144">
        <f t="shared" si="0"/>
        <v>12276970</v>
      </c>
      <c r="I48" s="138"/>
      <c r="J48" s="138"/>
      <c r="L48" s="138"/>
    </row>
    <row r="49" spans="1:12" s="156" customFormat="1" ht="21" customHeight="1">
      <c r="A49" s="205"/>
      <c r="B49" s="169"/>
      <c r="C49" s="318">
        <v>4210</v>
      </c>
      <c r="D49" s="320" t="s">
        <v>570</v>
      </c>
      <c r="E49" s="154">
        <v>1700000</v>
      </c>
      <c r="F49" s="154">
        <v>100000</v>
      </c>
      <c r="G49" s="154"/>
      <c r="H49" s="154">
        <f t="shared" si="0"/>
        <v>1600000</v>
      </c>
      <c r="I49" s="155"/>
      <c r="J49" s="155"/>
      <c r="L49" s="155"/>
    </row>
    <row r="50" spans="1:12" s="156" customFormat="1" ht="25.5">
      <c r="A50" s="205"/>
      <c r="B50" s="169"/>
      <c r="C50" s="1053">
        <v>4270</v>
      </c>
      <c r="D50" s="998" t="s">
        <v>164</v>
      </c>
      <c r="E50" s="822">
        <v>685970</v>
      </c>
      <c r="F50" s="822"/>
      <c r="G50" s="822">
        <v>80000</v>
      </c>
      <c r="H50" s="822">
        <f t="shared" si="0"/>
        <v>765970</v>
      </c>
      <c r="I50" s="155"/>
      <c r="J50" s="155"/>
      <c r="L50" s="155"/>
    </row>
    <row r="51" spans="1:12" s="130" customFormat="1" ht="21" customHeight="1">
      <c r="A51" s="206"/>
      <c r="B51" s="215"/>
      <c r="C51" s="108"/>
      <c r="D51" s="101" t="s">
        <v>599</v>
      </c>
      <c r="E51" s="268">
        <v>6012000</v>
      </c>
      <c r="F51" s="268"/>
      <c r="G51" s="268">
        <f>G52</f>
        <v>182647</v>
      </c>
      <c r="H51" s="268">
        <f t="shared" si="0"/>
        <v>6194647</v>
      </c>
      <c r="I51" s="138"/>
      <c r="J51" s="138"/>
      <c r="L51" s="138"/>
    </row>
    <row r="52" spans="1:12" s="156" customFormat="1" ht="21" customHeight="1">
      <c r="A52" s="205"/>
      <c r="B52" s="169"/>
      <c r="C52" s="318">
        <v>4120</v>
      </c>
      <c r="D52" s="320" t="s">
        <v>654</v>
      </c>
      <c r="E52" s="154">
        <v>568000</v>
      </c>
      <c r="F52" s="154"/>
      <c r="G52" s="154">
        <v>182647</v>
      </c>
      <c r="H52" s="154">
        <f t="shared" si="0"/>
        <v>750647</v>
      </c>
      <c r="I52" s="155"/>
      <c r="J52" s="155"/>
      <c r="L52" s="155"/>
    </row>
    <row r="53" spans="1:12" s="230" customFormat="1" ht="21" customHeight="1">
      <c r="A53" s="206"/>
      <c r="B53" s="215"/>
      <c r="C53" s="416"/>
      <c r="D53" s="1067" t="s">
        <v>768</v>
      </c>
      <c r="E53" s="871">
        <v>3164010</v>
      </c>
      <c r="F53" s="871">
        <f>F55</f>
        <v>80000</v>
      </c>
      <c r="G53" s="871"/>
      <c r="H53" s="871">
        <f t="shared" si="0"/>
        <v>3084010</v>
      </c>
      <c r="I53" s="210"/>
      <c r="J53" s="210"/>
      <c r="L53" s="210"/>
    </row>
    <row r="54" spans="1:12" s="156" customFormat="1" ht="21" customHeight="1">
      <c r="A54" s="205"/>
      <c r="B54" s="169"/>
      <c r="C54" s="153"/>
      <c r="D54" s="1069" t="s">
        <v>165</v>
      </c>
      <c r="E54" s="467">
        <v>1342000</v>
      </c>
      <c r="F54" s="467">
        <v>80000</v>
      </c>
      <c r="G54" s="467"/>
      <c r="H54" s="467">
        <f t="shared" si="0"/>
        <v>1262000</v>
      </c>
      <c r="I54" s="155"/>
      <c r="J54" s="155"/>
      <c r="L54" s="155"/>
    </row>
    <row r="55" spans="1:12" s="156" customFormat="1" ht="21" customHeight="1">
      <c r="A55" s="228"/>
      <c r="B55" s="321"/>
      <c r="C55" s="318">
        <v>6050</v>
      </c>
      <c r="D55" s="320" t="s">
        <v>762</v>
      </c>
      <c r="E55" s="426">
        <v>2214030</v>
      </c>
      <c r="F55" s="426">
        <f>F54</f>
        <v>80000</v>
      </c>
      <c r="G55" s="426"/>
      <c r="H55" s="426">
        <f t="shared" si="0"/>
        <v>2134030</v>
      </c>
      <c r="I55" s="155"/>
      <c r="J55" s="155"/>
      <c r="L55" s="155"/>
    </row>
    <row r="56" spans="1:12" s="156" customFormat="1" ht="21" customHeight="1">
      <c r="A56" s="1372"/>
      <c r="B56" s="1359"/>
      <c r="C56" s="1358"/>
      <c r="D56" s="1394"/>
      <c r="E56" s="1373"/>
      <c r="F56" s="1373"/>
      <c r="G56" s="1373"/>
      <c r="H56" s="1373"/>
      <c r="I56" s="155"/>
      <c r="J56" s="155"/>
      <c r="L56" s="155"/>
    </row>
    <row r="57" spans="1:12" s="130" customFormat="1" ht="21" customHeight="1">
      <c r="A57" s="81"/>
      <c r="B57" s="78">
        <v>75075</v>
      </c>
      <c r="C57" s="78"/>
      <c r="D57" s="78" t="s">
        <v>390</v>
      </c>
      <c r="E57" s="583">
        <v>2228900</v>
      </c>
      <c r="F57" s="583"/>
      <c r="G57" s="583">
        <f>G58</f>
        <v>400000</v>
      </c>
      <c r="H57" s="583">
        <f t="shared" si="0"/>
        <v>2628900</v>
      </c>
      <c r="I57" s="138"/>
      <c r="J57" s="138"/>
      <c r="L57" s="138"/>
    </row>
    <row r="58" spans="1:12" s="130" customFormat="1" ht="21" customHeight="1">
      <c r="A58" s="206"/>
      <c r="B58" s="93"/>
      <c r="C58" s="66"/>
      <c r="D58" s="1105" t="s">
        <v>391</v>
      </c>
      <c r="E58" s="1108">
        <v>1805000</v>
      </c>
      <c r="F58" s="1108"/>
      <c r="G58" s="1108">
        <f>SUM(G59:G60)</f>
        <v>400000</v>
      </c>
      <c r="H58" s="144">
        <f t="shared" si="0"/>
        <v>2205000</v>
      </c>
      <c r="I58" s="138"/>
      <c r="J58" s="138"/>
      <c r="L58" s="138"/>
    </row>
    <row r="59" spans="1:12" s="156" customFormat="1" ht="21" customHeight="1">
      <c r="A59" s="205"/>
      <c r="B59" s="169"/>
      <c r="C59" s="318">
        <v>4210</v>
      </c>
      <c r="D59" s="1107" t="s">
        <v>570</v>
      </c>
      <c r="E59" s="672">
        <v>298000</v>
      </c>
      <c r="F59" s="672"/>
      <c r="G59" s="672">
        <v>50000</v>
      </c>
      <c r="H59" s="154">
        <f t="shared" si="0"/>
        <v>348000</v>
      </c>
      <c r="I59" s="155"/>
      <c r="J59" s="155"/>
      <c r="L59" s="155"/>
    </row>
    <row r="60" spans="1:12" s="156" customFormat="1" ht="21" customHeight="1">
      <c r="A60" s="228"/>
      <c r="B60" s="321"/>
      <c r="C60" s="1053">
        <v>4300</v>
      </c>
      <c r="D60" s="998" t="s">
        <v>571</v>
      </c>
      <c r="E60" s="160">
        <v>1238500</v>
      </c>
      <c r="F60" s="160"/>
      <c r="G60" s="160">
        <v>350000</v>
      </c>
      <c r="H60" s="426">
        <f t="shared" si="0"/>
        <v>1588500</v>
      </c>
      <c r="I60" s="155"/>
      <c r="J60" s="155"/>
      <c r="L60" s="155"/>
    </row>
    <row r="61" spans="1:12" ht="19.5" customHeight="1">
      <c r="A61" s="73">
        <v>754</v>
      </c>
      <c r="B61" s="73"/>
      <c r="C61" s="73"/>
      <c r="D61" s="73" t="s">
        <v>548</v>
      </c>
      <c r="E61" s="74">
        <v>7258659</v>
      </c>
      <c r="F61" s="75">
        <f>F68+F62</f>
        <v>25100</v>
      </c>
      <c r="G61" s="75">
        <f>G68+G62</f>
        <v>25100</v>
      </c>
      <c r="H61" s="75">
        <f t="shared" si="0"/>
        <v>7258659</v>
      </c>
      <c r="I61" s="47"/>
      <c r="J61" s="47"/>
      <c r="L61" s="47"/>
    </row>
    <row r="62" spans="1:12" s="130" customFormat="1" ht="19.5" customHeight="1">
      <c r="A62" s="81"/>
      <c r="B62" s="78">
        <v>75412</v>
      </c>
      <c r="C62" s="78"/>
      <c r="D62" s="78" t="s">
        <v>655</v>
      </c>
      <c r="E62" s="137">
        <v>65000</v>
      </c>
      <c r="F62" s="137">
        <f>F63</f>
        <v>6100</v>
      </c>
      <c r="G62" s="137">
        <f>G63</f>
        <v>6100</v>
      </c>
      <c r="H62" s="137">
        <f t="shared" si="0"/>
        <v>65000</v>
      </c>
      <c r="I62" s="138"/>
      <c r="J62" s="138"/>
      <c r="L62" s="138"/>
    </row>
    <row r="63" spans="1:12" s="130" customFormat="1" ht="19.5" customHeight="1">
      <c r="A63" s="206"/>
      <c r="B63" s="207"/>
      <c r="C63" s="108"/>
      <c r="D63" s="101" t="s">
        <v>484</v>
      </c>
      <c r="E63" s="544">
        <v>65000</v>
      </c>
      <c r="F63" s="544">
        <f>F64+F65</f>
        <v>6100</v>
      </c>
      <c r="G63" s="544">
        <f>G67</f>
        <v>6100</v>
      </c>
      <c r="H63" s="544">
        <f t="shared" si="0"/>
        <v>65000</v>
      </c>
      <c r="I63" s="138"/>
      <c r="J63" s="138"/>
      <c r="L63" s="138"/>
    </row>
    <row r="64" spans="1:12" s="156" customFormat="1" ht="19.5" customHeight="1">
      <c r="A64" s="205"/>
      <c r="B64" s="169"/>
      <c r="C64" s="318">
        <v>4210</v>
      </c>
      <c r="D64" s="320" t="s">
        <v>570</v>
      </c>
      <c r="E64" s="160">
        <v>25428</v>
      </c>
      <c r="F64" s="160">
        <v>4100</v>
      </c>
      <c r="G64" s="160"/>
      <c r="H64" s="160">
        <f t="shared" si="0"/>
        <v>21328</v>
      </c>
      <c r="I64" s="155"/>
      <c r="J64" s="155"/>
      <c r="L64" s="155"/>
    </row>
    <row r="65" spans="1:12" s="156" customFormat="1" ht="19.5" customHeight="1">
      <c r="A65" s="205"/>
      <c r="B65" s="169"/>
      <c r="C65" s="318">
        <v>4280</v>
      </c>
      <c r="D65" s="320" t="s">
        <v>657</v>
      </c>
      <c r="E65" s="160">
        <v>3000</v>
      </c>
      <c r="F65" s="160">
        <v>2000</v>
      </c>
      <c r="G65" s="160"/>
      <c r="H65" s="160">
        <f t="shared" si="0"/>
        <v>1000</v>
      </c>
      <c r="I65" s="155"/>
      <c r="J65" s="155"/>
      <c r="L65" s="155"/>
    </row>
    <row r="66" spans="1:12" ht="19.5" customHeight="1">
      <c r="A66" s="85"/>
      <c r="B66" s="85"/>
      <c r="C66" s="109"/>
      <c r="D66" s="1126" t="s">
        <v>492</v>
      </c>
      <c r="E66" s="834"/>
      <c r="F66" s="1390"/>
      <c r="G66" s="1390">
        <v>6100</v>
      </c>
      <c r="H66" s="1390">
        <f t="shared" si="0"/>
        <v>6100</v>
      </c>
      <c r="I66" s="47"/>
      <c r="J66" s="47"/>
      <c r="L66" s="47"/>
    </row>
    <row r="67" spans="1:12" ht="19.5" customHeight="1">
      <c r="A67" s="85"/>
      <c r="B67" s="86"/>
      <c r="C67" s="140">
        <v>6060</v>
      </c>
      <c r="D67" s="83" t="s">
        <v>607</v>
      </c>
      <c r="E67" s="1019"/>
      <c r="F67" s="1391"/>
      <c r="G67" s="1391">
        <f>G66</f>
        <v>6100</v>
      </c>
      <c r="H67" s="1391">
        <f t="shared" si="0"/>
        <v>6100</v>
      </c>
      <c r="I67" s="47"/>
      <c r="J67" s="47"/>
      <c r="L67" s="47"/>
    </row>
    <row r="68" spans="1:12" s="130" customFormat="1" ht="19.5" customHeight="1">
      <c r="A68" s="81"/>
      <c r="B68" s="78">
        <v>75495</v>
      </c>
      <c r="C68" s="78"/>
      <c r="D68" s="78" t="s">
        <v>553</v>
      </c>
      <c r="E68" s="583">
        <v>978000</v>
      </c>
      <c r="F68" s="583">
        <f>F69</f>
        <v>19000</v>
      </c>
      <c r="G68" s="583">
        <f>G69</f>
        <v>19000</v>
      </c>
      <c r="H68" s="583">
        <f t="shared" si="0"/>
        <v>978000</v>
      </c>
      <c r="I68" s="138"/>
      <c r="J68" s="138"/>
      <c r="L68" s="138"/>
    </row>
    <row r="69" spans="1:12" s="130" customFormat="1" ht="19.5" customHeight="1">
      <c r="A69" s="80"/>
      <c r="B69" s="474"/>
      <c r="C69" s="474"/>
      <c r="D69" s="211" t="s">
        <v>437</v>
      </c>
      <c r="E69" s="544">
        <v>743000</v>
      </c>
      <c r="F69" s="544">
        <f>F73</f>
        <v>19000</v>
      </c>
      <c r="G69" s="544">
        <f>G70+G71</f>
        <v>19000</v>
      </c>
      <c r="H69" s="544">
        <f t="shared" si="0"/>
        <v>743000</v>
      </c>
      <c r="I69" s="138"/>
      <c r="J69" s="138"/>
      <c r="L69" s="138"/>
    </row>
    <row r="70" spans="1:12" s="158" customFormat="1" ht="19.5" customHeight="1">
      <c r="A70" s="204"/>
      <c r="B70" s="81"/>
      <c r="C70" s="82">
        <v>4210</v>
      </c>
      <c r="D70" s="82" t="s">
        <v>570</v>
      </c>
      <c r="E70" s="84">
        <v>4000</v>
      </c>
      <c r="F70" s="84"/>
      <c r="G70" s="84">
        <v>4000</v>
      </c>
      <c r="H70" s="84">
        <f t="shared" si="0"/>
        <v>8000</v>
      </c>
      <c r="I70" s="157"/>
      <c r="J70" s="157"/>
      <c r="L70" s="157"/>
    </row>
    <row r="71" spans="1:12" s="158" customFormat="1" ht="19.5" customHeight="1">
      <c r="A71" s="204"/>
      <c r="B71" s="81"/>
      <c r="C71" s="82">
        <v>4300</v>
      </c>
      <c r="D71" s="549" t="s">
        <v>571</v>
      </c>
      <c r="E71" s="84">
        <v>43000</v>
      </c>
      <c r="F71" s="84"/>
      <c r="G71" s="84">
        <v>15000</v>
      </c>
      <c r="H71" s="84">
        <f t="shared" si="0"/>
        <v>58000</v>
      </c>
      <c r="I71" s="157"/>
      <c r="J71" s="157"/>
      <c r="L71" s="157"/>
    </row>
    <row r="72" spans="1:12" ht="19.5" customHeight="1">
      <c r="A72" s="85"/>
      <c r="B72" s="85"/>
      <c r="C72" s="85"/>
      <c r="D72" s="1392" t="s">
        <v>438</v>
      </c>
      <c r="E72" s="834">
        <v>696000</v>
      </c>
      <c r="F72" s="1390">
        <v>19000</v>
      </c>
      <c r="G72" s="1390"/>
      <c r="H72" s="1390">
        <f t="shared" si="0"/>
        <v>677000</v>
      </c>
      <c r="I72" s="47"/>
      <c r="J72" s="47"/>
      <c r="L72" s="47"/>
    </row>
    <row r="73" spans="1:12" ht="19.5" customHeight="1">
      <c r="A73" s="85"/>
      <c r="B73" s="85"/>
      <c r="C73" s="68">
        <v>6050</v>
      </c>
      <c r="D73" s="82" t="s">
        <v>762</v>
      </c>
      <c r="E73" s="1019">
        <v>696000</v>
      </c>
      <c r="F73" s="1391">
        <f>F72</f>
        <v>19000</v>
      </c>
      <c r="G73" s="1391"/>
      <c r="H73" s="1391">
        <f t="shared" si="0"/>
        <v>677000</v>
      </c>
      <c r="I73" s="47"/>
      <c r="J73" s="47"/>
      <c r="L73" s="47"/>
    </row>
    <row r="74" spans="1:12" ht="19.5" customHeight="1">
      <c r="A74" s="89">
        <v>758</v>
      </c>
      <c r="B74" s="89"/>
      <c r="C74" s="89"/>
      <c r="D74" s="89" t="s">
        <v>549</v>
      </c>
      <c r="E74" s="74">
        <v>8158659</v>
      </c>
      <c r="F74" s="75">
        <f>F75+F82</f>
        <v>793337</v>
      </c>
      <c r="G74" s="75">
        <f>G75+G82</f>
        <v>8175</v>
      </c>
      <c r="H74" s="75">
        <f t="shared" si="0"/>
        <v>7373497</v>
      </c>
      <c r="I74" s="47"/>
      <c r="J74" s="47"/>
      <c r="L74" s="47"/>
    </row>
    <row r="75" spans="1:12" s="130" customFormat="1" ht="19.5" customHeight="1">
      <c r="A75" s="550"/>
      <c r="B75" s="77">
        <v>75818</v>
      </c>
      <c r="C75" s="77"/>
      <c r="D75" s="77" t="s">
        <v>550</v>
      </c>
      <c r="E75" s="137">
        <v>4950836</v>
      </c>
      <c r="F75" s="137">
        <f>F76+F78</f>
        <v>793337</v>
      </c>
      <c r="G75" s="137"/>
      <c r="H75" s="137">
        <f t="shared" si="0"/>
        <v>4157499</v>
      </c>
      <c r="I75" s="138"/>
      <c r="J75" s="138"/>
      <c r="L75" s="138"/>
    </row>
    <row r="76" spans="1:12" s="130" customFormat="1" ht="19.5" customHeight="1">
      <c r="A76" s="206"/>
      <c r="B76" s="215"/>
      <c r="C76" s="108"/>
      <c r="D76" s="101" t="s">
        <v>324</v>
      </c>
      <c r="E76" s="144">
        <v>2759421</v>
      </c>
      <c r="F76" s="144">
        <f>F77</f>
        <v>766462</v>
      </c>
      <c r="G76" s="144"/>
      <c r="H76" s="144">
        <f t="shared" si="0"/>
        <v>1992959</v>
      </c>
      <c r="I76" s="138"/>
      <c r="J76" s="138"/>
      <c r="L76" s="138"/>
    </row>
    <row r="77" spans="1:12" s="156" customFormat="1" ht="19.5" customHeight="1">
      <c r="A77" s="205"/>
      <c r="B77" s="169"/>
      <c r="C77" s="318">
        <v>4810</v>
      </c>
      <c r="D77" s="320" t="s">
        <v>572</v>
      </c>
      <c r="E77" s="154">
        <v>2759421</v>
      </c>
      <c r="F77" s="154">
        <f>6500+400000+48000+140000+65700+72540+28622+5100</f>
        <v>766462</v>
      </c>
      <c r="G77" s="154"/>
      <c r="H77" s="154">
        <f t="shared" si="0"/>
        <v>1992959</v>
      </c>
      <c r="I77" s="155"/>
      <c r="J77" s="155"/>
      <c r="L77" s="155"/>
    </row>
    <row r="78" spans="1:12" s="130" customFormat="1" ht="27.75" customHeight="1">
      <c r="A78" s="206"/>
      <c r="B78" s="215"/>
      <c r="C78" s="108"/>
      <c r="D78" s="101" t="s">
        <v>131</v>
      </c>
      <c r="E78" s="144">
        <v>1872625</v>
      </c>
      <c r="F78" s="144">
        <f>F79+F81</f>
        <v>26875</v>
      </c>
      <c r="G78" s="144"/>
      <c r="H78" s="144">
        <f t="shared" si="0"/>
        <v>1845750</v>
      </c>
      <c r="I78" s="138"/>
      <c r="J78" s="138"/>
      <c r="L78" s="138"/>
    </row>
    <row r="79" spans="1:12" s="156" customFormat="1" ht="19.5" customHeight="1">
      <c r="A79" s="205"/>
      <c r="B79" s="169"/>
      <c r="C79" s="318">
        <v>4810</v>
      </c>
      <c r="D79" s="320" t="s">
        <v>572</v>
      </c>
      <c r="E79" s="154">
        <v>45727</v>
      </c>
      <c r="F79" s="154">
        <f>2200+5975</f>
        <v>8175</v>
      </c>
      <c r="G79" s="154"/>
      <c r="H79" s="154">
        <f t="shared" si="0"/>
        <v>37552</v>
      </c>
      <c r="I79" s="155"/>
      <c r="J79" s="155"/>
      <c r="L79" s="155"/>
    </row>
    <row r="80" spans="1:12" s="156" customFormat="1" ht="25.5">
      <c r="A80" s="205"/>
      <c r="B80" s="169"/>
      <c r="C80" s="1169"/>
      <c r="D80" s="966" t="s">
        <v>667</v>
      </c>
      <c r="E80" s="848">
        <v>1826898</v>
      </c>
      <c r="F80" s="848">
        <f>F81</f>
        <v>18700</v>
      </c>
      <c r="G80" s="848"/>
      <c r="H80" s="848">
        <f aca="true" t="shared" si="1" ref="H80:H143">E80+G80-F80</f>
        <v>1808198</v>
      </c>
      <c r="I80" s="155"/>
      <c r="J80" s="155"/>
      <c r="L80" s="155"/>
    </row>
    <row r="81" spans="1:12" s="156" customFormat="1" ht="19.5" customHeight="1">
      <c r="A81" s="205"/>
      <c r="B81" s="321"/>
      <c r="C81" s="318">
        <v>6800</v>
      </c>
      <c r="D81" s="318" t="s">
        <v>666</v>
      </c>
      <c r="E81" s="777">
        <v>1826898</v>
      </c>
      <c r="F81" s="777">
        <v>18700</v>
      </c>
      <c r="G81" s="777"/>
      <c r="H81" s="777">
        <f t="shared" si="1"/>
        <v>1808198</v>
      </c>
      <c r="I81" s="155"/>
      <c r="J81" s="155"/>
      <c r="L81" s="155"/>
    </row>
    <row r="82" spans="1:12" s="130" customFormat="1" ht="19.5" customHeight="1">
      <c r="A82" s="81"/>
      <c r="B82" s="78">
        <v>75860</v>
      </c>
      <c r="C82" s="78"/>
      <c r="D82" s="78" t="s">
        <v>205</v>
      </c>
      <c r="E82" s="583">
        <v>453039</v>
      </c>
      <c r="F82" s="583"/>
      <c r="G82" s="583">
        <f>G83+G85</f>
        <v>8175</v>
      </c>
      <c r="H82" s="583">
        <f t="shared" si="1"/>
        <v>461214</v>
      </c>
      <c r="I82" s="138"/>
      <c r="J82" s="138"/>
      <c r="L82" s="138"/>
    </row>
    <row r="83" spans="1:12" s="130" customFormat="1" ht="27" customHeight="1">
      <c r="A83" s="80"/>
      <c r="B83" s="474"/>
      <c r="C83" s="108"/>
      <c r="D83" s="819" t="s">
        <v>512</v>
      </c>
      <c r="E83" s="143">
        <v>73945</v>
      </c>
      <c r="F83" s="143"/>
      <c r="G83" s="143">
        <f>G84</f>
        <v>2200</v>
      </c>
      <c r="H83" s="143">
        <f t="shared" si="1"/>
        <v>76145</v>
      </c>
      <c r="I83" s="138"/>
      <c r="J83" s="138"/>
      <c r="L83" s="138"/>
    </row>
    <row r="84" spans="1:12" s="158" customFormat="1" ht="19.5" customHeight="1">
      <c r="A84" s="561"/>
      <c r="B84" s="82"/>
      <c r="C84" s="140">
        <v>4170</v>
      </c>
      <c r="D84" s="83" t="s">
        <v>581</v>
      </c>
      <c r="E84" s="152"/>
      <c r="F84" s="152"/>
      <c r="G84" s="152">
        <v>2200</v>
      </c>
      <c r="H84" s="152">
        <f t="shared" si="1"/>
        <v>2200</v>
      </c>
      <c r="I84" s="157"/>
      <c r="J84" s="157"/>
      <c r="L84" s="157"/>
    </row>
    <row r="85" spans="1:12" s="130" customFormat="1" ht="27" customHeight="1">
      <c r="A85" s="80"/>
      <c r="B85" s="66"/>
      <c r="C85" s="66"/>
      <c r="D85" s="1336" t="s">
        <v>388</v>
      </c>
      <c r="E85" s="943"/>
      <c r="F85" s="943"/>
      <c r="G85" s="943">
        <f>SUM(G86:G91)</f>
        <v>5975</v>
      </c>
      <c r="H85" s="943">
        <f t="shared" si="1"/>
        <v>5975</v>
      </c>
      <c r="I85" s="138"/>
      <c r="J85" s="138"/>
      <c r="L85" s="138"/>
    </row>
    <row r="86" spans="1:12" s="158" customFormat="1" ht="19.5" customHeight="1">
      <c r="A86" s="204"/>
      <c r="B86" s="81"/>
      <c r="C86" s="318">
        <v>4018</v>
      </c>
      <c r="D86" s="1107" t="s">
        <v>521</v>
      </c>
      <c r="E86" s="152"/>
      <c r="F86" s="152"/>
      <c r="G86" s="152">
        <v>1410</v>
      </c>
      <c r="H86" s="152">
        <f t="shared" si="1"/>
        <v>1410</v>
      </c>
      <c r="I86" s="157"/>
      <c r="J86" s="157"/>
      <c r="L86" s="157"/>
    </row>
    <row r="87" spans="1:12" s="158" customFormat="1" ht="19.5" customHeight="1">
      <c r="A87" s="204"/>
      <c r="B87" s="81"/>
      <c r="C87" s="318">
        <v>4019</v>
      </c>
      <c r="D87" s="320" t="s">
        <v>521</v>
      </c>
      <c r="E87" s="152"/>
      <c r="F87" s="152"/>
      <c r="G87" s="152">
        <v>470</v>
      </c>
      <c r="H87" s="152">
        <f t="shared" si="1"/>
        <v>470</v>
      </c>
      <c r="I87" s="157"/>
      <c r="J87" s="157"/>
      <c r="L87" s="157"/>
    </row>
    <row r="88" spans="1:12" s="158" customFormat="1" ht="19.5" customHeight="1">
      <c r="A88" s="204"/>
      <c r="B88" s="81"/>
      <c r="C88" s="318">
        <v>4218</v>
      </c>
      <c r="D88" s="320" t="s">
        <v>570</v>
      </c>
      <c r="E88" s="152"/>
      <c r="F88" s="152"/>
      <c r="G88" s="152">
        <v>2400</v>
      </c>
      <c r="H88" s="152">
        <f t="shared" si="1"/>
        <v>2400</v>
      </c>
      <c r="I88" s="157"/>
      <c r="J88" s="157"/>
      <c r="L88" s="157"/>
    </row>
    <row r="89" spans="1:12" s="158" customFormat="1" ht="19.5" customHeight="1">
      <c r="A89" s="204"/>
      <c r="B89" s="81"/>
      <c r="C89" s="318">
        <v>4219</v>
      </c>
      <c r="D89" s="320" t="s">
        <v>570</v>
      </c>
      <c r="E89" s="152"/>
      <c r="F89" s="152"/>
      <c r="G89" s="152">
        <v>800</v>
      </c>
      <c r="H89" s="152">
        <f t="shared" si="1"/>
        <v>800</v>
      </c>
      <c r="I89" s="157"/>
      <c r="J89" s="157"/>
      <c r="L89" s="157"/>
    </row>
    <row r="90" spans="1:12" s="158" customFormat="1" ht="19.5" customHeight="1">
      <c r="A90" s="204"/>
      <c r="B90" s="81"/>
      <c r="C90" s="318">
        <v>4428</v>
      </c>
      <c r="D90" s="320" t="s">
        <v>622</v>
      </c>
      <c r="E90" s="152"/>
      <c r="F90" s="152"/>
      <c r="G90" s="152">
        <v>671</v>
      </c>
      <c r="H90" s="152">
        <f t="shared" si="1"/>
        <v>671</v>
      </c>
      <c r="I90" s="157"/>
      <c r="J90" s="157"/>
      <c r="L90" s="157"/>
    </row>
    <row r="91" spans="1:12" s="158" customFormat="1" ht="19.5" customHeight="1">
      <c r="A91" s="204"/>
      <c r="B91" s="81"/>
      <c r="C91" s="1053">
        <v>4429</v>
      </c>
      <c r="D91" s="998" t="s">
        <v>622</v>
      </c>
      <c r="E91" s="152"/>
      <c r="F91" s="152"/>
      <c r="G91" s="152">
        <v>224</v>
      </c>
      <c r="H91" s="152">
        <f t="shared" si="1"/>
        <v>224</v>
      </c>
      <c r="I91" s="157"/>
      <c r="J91" s="157"/>
      <c r="L91" s="157"/>
    </row>
    <row r="92" spans="1:12" ht="18.75" customHeight="1">
      <c r="A92" s="72">
        <v>801</v>
      </c>
      <c r="B92" s="89"/>
      <c r="C92" s="73"/>
      <c r="D92" s="92" t="s">
        <v>554</v>
      </c>
      <c r="E92" s="74">
        <v>354068284</v>
      </c>
      <c r="F92" s="75">
        <f>F93+F109+F126+F137+F140+F147+F153+F158+F171+F178+F182</f>
        <v>1375536</v>
      </c>
      <c r="G92" s="75">
        <f>G93+G109+G126+G137+G140+G147+G153+G158+G171+G178+G182</f>
        <v>1376393</v>
      </c>
      <c r="H92" s="75">
        <f t="shared" si="1"/>
        <v>354069141</v>
      </c>
      <c r="I92" s="47"/>
      <c r="J92" s="47"/>
      <c r="L92" s="47"/>
    </row>
    <row r="93" spans="1:12" s="95" customFormat="1" ht="18.75" customHeight="1">
      <c r="A93" s="76"/>
      <c r="B93" s="78">
        <v>80101</v>
      </c>
      <c r="C93" s="78"/>
      <c r="D93" s="78" t="s">
        <v>60</v>
      </c>
      <c r="E93" s="583">
        <v>101243109</v>
      </c>
      <c r="F93" s="543">
        <f>F94+F99+F102+F104</f>
        <v>489628</v>
      </c>
      <c r="G93" s="543">
        <f>G94+G99+G102+G104</f>
        <v>335757</v>
      </c>
      <c r="H93" s="543">
        <f t="shared" si="1"/>
        <v>101089238</v>
      </c>
      <c r="I93" s="138"/>
      <c r="J93" s="138"/>
      <c r="L93" s="94"/>
    </row>
    <row r="94" spans="1:12" s="95" customFormat="1" ht="18.75" customHeight="1">
      <c r="A94" s="80"/>
      <c r="B94" s="66"/>
      <c r="C94" s="474"/>
      <c r="D94" s="558" t="s">
        <v>574</v>
      </c>
      <c r="E94" s="143">
        <v>12144312</v>
      </c>
      <c r="F94" s="584"/>
      <c r="G94" s="584">
        <f>SUM(G95:G98)</f>
        <v>333250</v>
      </c>
      <c r="H94" s="584">
        <f t="shared" si="1"/>
        <v>12477562</v>
      </c>
      <c r="I94" s="138"/>
      <c r="J94" s="138"/>
      <c r="L94" s="94"/>
    </row>
    <row r="95" spans="1:12" s="95" customFormat="1" ht="18.75" customHeight="1">
      <c r="A95" s="80"/>
      <c r="B95" s="66"/>
      <c r="C95" s="82">
        <v>4260</v>
      </c>
      <c r="D95" s="555" t="s">
        <v>656</v>
      </c>
      <c r="E95" s="426">
        <v>4650746</v>
      </c>
      <c r="F95" s="323"/>
      <c r="G95" s="323">
        <f>40000-37880</f>
        <v>2120</v>
      </c>
      <c r="H95" s="426">
        <f t="shared" si="1"/>
        <v>4652866</v>
      </c>
      <c r="I95" s="138"/>
      <c r="J95" s="138"/>
      <c r="L95" s="94"/>
    </row>
    <row r="96" spans="1:12" s="585" customFormat="1" ht="18.75" customHeight="1">
      <c r="A96" s="204"/>
      <c r="B96" s="81"/>
      <c r="C96" s="82">
        <v>4270</v>
      </c>
      <c r="D96" s="555" t="s">
        <v>200</v>
      </c>
      <c r="E96" s="822">
        <v>1083379</v>
      </c>
      <c r="F96" s="823"/>
      <c r="G96" s="823">
        <f>202100+123001</f>
        <v>325101</v>
      </c>
      <c r="H96" s="823">
        <f t="shared" si="1"/>
        <v>1408480</v>
      </c>
      <c r="I96" s="157"/>
      <c r="J96" s="157"/>
      <c r="L96" s="586"/>
    </row>
    <row r="97" spans="1:12" s="585" customFormat="1" ht="18.75" customHeight="1">
      <c r="A97" s="204"/>
      <c r="B97" s="81"/>
      <c r="C97" s="318">
        <v>4300</v>
      </c>
      <c r="D97" s="320" t="s">
        <v>571</v>
      </c>
      <c r="E97" s="822">
        <v>969472</v>
      </c>
      <c r="F97" s="823"/>
      <c r="G97" s="823">
        <v>5000</v>
      </c>
      <c r="H97" s="823">
        <f t="shared" si="1"/>
        <v>974472</v>
      </c>
      <c r="I97" s="157"/>
      <c r="J97" s="157"/>
      <c r="L97" s="586"/>
    </row>
    <row r="98" spans="1:12" s="585" customFormat="1" ht="18.75" customHeight="1">
      <c r="A98" s="204"/>
      <c r="B98" s="81"/>
      <c r="C98" s="153">
        <v>4440</v>
      </c>
      <c r="D98" s="1075" t="s">
        <v>277</v>
      </c>
      <c r="E98" s="1074">
        <v>3455989</v>
      </c>
      <c r="F98" s="1081"/>
      <c r="G98" s="1081">
        <v>1029</v>
      </c>
      <c r="H98" s="1081">
        <f t="shared" si="1"/>
        <v>3457018</v>
      </c>
      <c r="I98" s="157"/>
      <c r="J98" s="157"/>
      <c r="L98" s="586"/>
    </row>
    <row r="99" spans="1:12" s="95" customFormat="1" ht="18.75" customHeight="1">
      <c r="A99" s="80"/>
      <c r="B99" s="66"/>
      <c r="C99" s="474"/>
      <c r="D99" s="558" t="s">
        <v>276</v>
      </c>
      <c r="E99" s="143">
        <v>403730</v>
      </c>
      <c r="F99" s="584">
        <f>SUM(F100:F101)</f>
        <v>650</v>
      </c>
      <c r="G99" s="584">
        <f>SUM(G100:G101)</f>
        <v>1650</v>
      </c>
      <c r="H99" s="584">
        <f t="shared" si="1"/>
        <v>404730</v>
      </c>
      <c r="I99" s="138"/>
      <c r="J99" s="138"/>
      <c r="L99" s="94"/>
    </row>
    <row r="100" spans="1:12" s="95" customFormat="1" ht="18.75" customHeight="1">
      <c r="A100" s="80"/>
      <c r="B100" s="66"/>
      <c r="C100" s="318">
        <v>3020</v>
      </c>
      <c r="D100" s="320" t="s">
        <v>96</v>
      </c>
      <c r="E100" s="154">
        <v>2260</v>
      </c>
      <c r="F100" s="671"/>
      <c r="G100" s="671">
        <v>1650</v>
      </c>
      <c r="H100" s="152">
        <f t="shared" si="1"/>
        <v>3910</v>
      </c>
      <c r="I100" s="138"/>
      <c r="J100" s="138"/>
      <c r="L100" s="94"/>
    </row>
    <row r="101" spans="1:12" s="95" customFormat="1" ht="18.75" customHeight="1">
      <c r="A101" s="80"/>
      <c r="B101" s="66"/>
      <c r="C101" s="318">
        <v>4110</v>
      </c>
      <c r="D101" s="320" t="s">
        <v>653</v>
      </c>
      <c r="E101" s="822">
        <v>58720</v>
      </c>
      <c r="F101" s="823">
        <v>650</v>
      </c>
      <c r="G101" s="823"/>
      <c r="H101" s="426">
        <f t="shared" si="1"/>
        <v>58070</v>
      </c>
      <c r="I101" s="138"/>
      <c r="J101" s="138"/>
      <c r="L101" s="94"/>
    </row>
    <row r="102" spans="1:12" s="95" customFormat="1" ht="18.75" customHeight="1">
      <c r="A102" s="80"/>
      <c r="B102" s="66"/>
      <c r="C102" s="66"/>
      <c r="D102" s="648" t="s">
        <v>511</v>
      </c>
      <c r="E102" s="943">
        <v>40743</v>
      </c>
      <c r="F102" s="649"/>
      <c r="G102" s="649">
        <f>G103</f>
        <v>857</v>
      </c>
      <c r="H102" s="649">
        <f t="shared" si="1"/>
        <v>41600</v>
      </c>
      <c r="I102" s="138"/>
      <c r="J102" s="138"/>
      <c r="L102" s="94"/>
    </row>
    <row r="103" spans="1:12" s="95" customFormat="1" ht="18.75" customHeight="1">
      <c r="A103" s="80"/>
      <c r="B103" s="66"/>
      <c r="C103" s="318">
        <v>4240</v>
      </c>
      <c r="D103" s="320" t="s">
        <v>69</v>
      </c>
      <c r="E103" s="154">
        <v>40743</v>
      </c>
      <c r="F103" s="671"/>
      <c r="G103" s="671">
        <v>857</v>
      </c>
      <c r="H103" s="152">
        <f t="shared" si="1"/>
        <v>41600</v>
      </c>
      <c r="I103" s="138"/>
      <c r="J103" s="138"/>
      <c r="L103" s="94"/>
    </row>
    <row r="104" spans="1:12" s="95" customFormat="1" ht="18.75" customHeight="1">
      <c r="A104" s="80"/>
      <c r="B104" s="66"/>
      <c r="C104" s="66"/>
      <c r="D104" s="648" t="s">
        <v>768</v>
      </c>
      <c r="E104" s="943">
        <v>18311121</v>
      </c>
      <c r="F104" s="649">
        <f>F108</f>
        <v>488978</v>
      </c>
      <c r="G104" s="649"/>
      <c r="H104" s="649">
        <f t="shared" si="1"/>
        <v>17822143</v>
      </c>
      <c r="I104" s="138"/>
      <c r="J104" s="138"/>
      <c r="L104" s="94"/>
    </row>
    <row r="105" spans="1:12" s="581" customFormat="1" ht="18.75" customHeight="1">
      <c r="A105" s="205"/>
      <c r="B105" s="169"/>
      <c r="C105" s="169"/>
      <c r="D105" s="774" t="s">
        <v>371</v>
      </c>
      <c r="E105" s="848">
        <v>67000</v>
      </c>
      <c r="F105" s="1011">
        <v>62000</v>
      </c>
      <c r="G105" s="1011"/>
      <c r="H105" s="1011">
        <f t="shared" si="1"/>
        <v>5000</v>
      </c>
      <c r="I105" s="155"/>
      <c r="J105" s="155"/>
      <c r="L105" s="582"/>
    </row>
    <row r="106" spans="1:12" s="581" customFormat="1" ht="18.75" customHeight="1">
      <c r="A106" s="205"/>
      <c r="B106" s="169"/>
      <c r="C106" s="169"/>
      <c r="D106" s="577" t="s">
        <v>372</v>
      </c>
      <c r="E106" s="469">
        <v>3400000</v>
      </c>
      <c r="F106" s="763">
        <v>80000</v>
      </c>
      <c r="G106" s="763"/>
      <c r="H106" s="763">
        <f t="shared" si="1"/>
        <v>3320000</v>
      </c>
      <c r="I106" s="155"/>
      <c r="J106" s="155"/>
      <c r="L106" s="582"/>
    </row>
    <row r="107" spans="1:12" s="581" customFormat="1" ht="18.75" customHeight="1">
      <c r="A107" s="205"/>
      <c r="B107" s="169"/>
      <c r="C107" s="169"/>
      <c r="D107" s="1193" t="s">
        <v>203</v>
      </c>
      <c r="E107" s="1194">
        <v>4194130</v>
      </c>
      <c r="F107" s="1195">
        <v>346978</v>
      </c>
      <c r="G107" s="1195"/>
      <c r="H107" s="1195">
        <f t="shared" si="1"/>
        <v>3847152</v>
      </c>
      <c r="I107" s="155"/>
      <c r="J107" s="155"/>
      <c r="L107" s="582"/>
    </row>
    <row r="108" spans="1:12" s="95" customFormat="1" ht="18.75" customHeight="1">
      <c r="A108" s="80"/>
      <c r="B108" s="66"/>
      <c r="C108" s="318">
        <v>6050</v>
      </c>
      <c r="D108" s="320" t="s">
        <v>762</v>
      </c>
      <c r="E108" s="426">
        <v>17711121</v>
      </c>
      <c r="F108" s="323">
        <f>SUM(F105:F107)</f>
        <v>488978</v>
      </c>
      <c r="G108" s="323"/>
      <c r="H108" s="152">
        <f t="shared" si="1"/>
        <v>17222143</v>
      </c>
      <c r="I108" s="138"/>
      <c r="J108" s="138"/>
      <c r="L108" s="94"/>
    </row>
    <row r="109" spans="1:12" s="130" customFormat="1" ht="18.75" customHeight="1">
      <c r="A109" s="76"/>
      <c r="B109" s="77">
        <v>80104</v>
      </c>
      <c r="C109" s="77"/>
      <c r="D109" s="77" t="s">
        <v>601</v>
      </c>
      <c r="E109" s="137">
        <v>49276500</v>
      </c>
      <c r="F109" s="137">
        <f>F110+F118+F121</f>
        <v>133865</v>
      </c>
      <c r="G109" s="137">
        <f>G110+G118+G121</f>
        <v>253425</v>
      </c>
      <c r="H109" s="137">
        <f t="shared" si="1"/>
        <v>49396060</v>
      </c>
      <c r="I109" s="138"/>
      <c r="J109" s="138"/>
      <c r="L109" s="138"/>
    </row>
    <row r="110" spans="1:12" s="95" customFormat="1" ht="18.75" customHeight="1">
      <c r="A110" s="80"/>
      <c r="B110" s="66"/>
      <c r="C110" s="474"/>
      <c r="D110" s="558" t="s">
        <v>574</v>
      </c>
      <c r="E110" s="143">
        <v>6591954</v>
      </c>
      <c r="F110" s="584">
        <f>SUM(F111:F117)</f>
        <v>3545</v>
      </c>
      <c r="G110" s="584">
        <f>SUM(G111:G117)</f>
        <v>178425</v>
      </c>
      <c r="H110" s="584">
        <f t="shared" si="1"/>
        <v>6766834</v>
      </c>
      <c r="I110" s="138"/>
      <c r="J110" s="138"/>
      <c r="L110" s="94"/>
    </row>
    <row r="111" spans="1:12" s="95" customFormat="1" ht="18.75" customHeight="1">
      <c r="A111" s="80"/>
      <c r="B111" s="66"/>
      <c r="C111" s="318">
        <v>3020</v>
      </c>
      <c r="D111" s="320" t="s">
        <v>96</v>
      </c>
      <c r="E111" s="154">
        <v>28253</v>
      </c>
      <c r="F111" s="671"/>
      <c r="G111" s="671">
        <v>500</v>
      </c>
      <c r="H111" s="152">
        <f t="shared" si="1"/>
        <v>28753</v>
      </c>
      <c r="I111" s="138"/>
      <c r="J111" s="138"/>
      <c r="L111" s="94"/>
    </row>
    <row r="112" spans="1:12" s="95" customFormat="1" ht="18.75" customHeight="1">
      <c r="A112" s="80"/>
      <c r="B112" s="66"/>
      <c r="C112" s="1053">
        <v>4210</v>
      </c>
      <c r="D112" s="998" t="s">
        <v>570</v>
      </c>
      <c r="E112" s="822">
        <v>375743</v>
      </c>
      <c r="F112" s="823"/>
      <c r="G112" s="823">
        <f>2921-2596</f>
        <v>325</v>
      </c>
      <c r="H112" s="605">
        <f t="shared" si="1"/>
        <v>376068</v>
      </c>
      <c r="I112" s="138"/>
      <c r="J112" s="138"/>
      <c r="L112" s="94"/>
    </row>
    <row r="113" spans="1:12" s="95" customFormat="1" ht="18.75" customHeight="1">
      <c r="A113" s="80"/>
      <c r="B113" s="66"/>
      <c r="C113" s="1053">
        <v>4240</v>
      </c>
      <c r="D113" s="998" t="s">
        <v>69</v>
      </c>
      <c r="E113" s="822">
        <v>127238</v>
      </c>
      <c r="F113" s="823"/>
      <c r="G113" s="823">
        <v>2070</v>
      </c>
      <c r="H113" s="605">
        <f t="shared" si="1"/>
        <v>129308</v>
      </c>
      <c r="I113" s="138"/>
      <c r="J113" s="138"/>
      <c r="L113" s="94"/>
    </row>
    <row r="114" spans="1:12" s="95" customFormat="1" ht="18.75" customHeight="1">
      <c r="A114" s="80"/>
      <c r="B114" s="66"/>
      <c r="C114" s="1053">
        <v>4270</v>
      </c>
      <c r="D114" s="998" t="s">
        <v>602</v>
      </c>
      <c r="E114" s="822">
        <v>378227</v>
      </c>
      <c r="F114" s="823"/>
      <c r="G114" s="823">
        <f>3500-29+171310</f>
        <v>174781</v>
      </c>
      <c r="H114" s="822">
        <f t="shared" si="1"/>
        <v>553008</v>
      </c>
      <c r="I114" s="138"/>
      <c r="J114" s="138"/>
      <c r="L114" s="94"/>
    </row>
    <row r="115" spans="1:12" s="95" customFormat="1" ht="18.75" customHeight="1">
      <c r="A115" s="1027"/>
      <c r="B115" s="69"/>
      <c r="C115" s="1053">
        <v>4280</v>
      </c>
      <c r="D115" s="998" t="s">
        <v>657</v>
      </c>
      <c r="E115" s="822">
        <v>32746</v>
      </c>
      <c r="F115" s="823"/>
      <c r="G115" s="823">
        <f>622-86</f>
        <v>536</v>
      </c>
      <c r="H115" s="822">
        <f t="shared" si="1"/>
        <v>33282</v>
      </c>
      <c r="I115" s="138"/>
      <c r="J115" s="138"/>
      <c r="L115" s="94"/>
    </row>
    <row r="116" spans="1:12" s="95" customFormat="1" ht="18.75" customHeight="1">
      <c r="A116" s="80"/>
      <c r="B116" s="66"/>
      <c r="C116" s="318">
        <v>4300</v>
      </c>
      <c r="D116" s="320" t="s">
        <v>571</v>
      </c>
      <c r="E116" s="426">
        <v>1263909</v>
      </c>
      <c r="F116" s="323">
        <f>7545-4000</f>
        <v>3545</v>
      </c>
      <c r="G116" s="323"/>
      <c r="H116" s="426">
        <f t="shared" si="1"/>
        <v>1260364</v>
      </c>
      <c r="I116" s="138"/>
      <c r="J116" s="138"/>
      <c r="L116" s="94"/>
    </row>
    <row r="117" spans="1:12" s="95" customFormat="1" ht="18.75" customHeight="1">
      <c r="A117" s="80"/>
      <c r="B117" s="66"/>
      <c r="C117" s="1053">
        <v>4410</v>
      </c>
      <c r="D117" s="998" t="s">
        <v>661</v>
      </c>
      <c r="E117" s="822">
        <v>20185</v>
      </c>
      <c r="F117" s="823"/>
      <c r="G117" s="823">
        <v>213</v>
      </c>
      <c r="H117" s="822">
        <f t="shared" si="1"/>
        <v>20398</v>
      </c>
      <c r="I117" s="138"/>
      <c r="J117" s="138"/>
      <c r="L117" s="94"/>
    </row>
    <row r="118" spans="1:12" s="130" customFormat="1" ht="21.75" customHeight="1">
      <c r="A118" s="80"/>
      <c r="B118" s="66"/>
      <c r="C118" s="66"/>
      <c r="D118" s="592" t="s">
        <v>480</v>
      </c>
      <c r="E118" s="943">
        <v>4385513</v>
      </c>
      <c r="F118" s="943">
        <f>F119+F120</f>
        <v>75000</v>
      </c>
      <c r="G118" s="943">
        <f>G119+G120</f>
        <v>75000</v>
      </c>
      <c r="H118" s="943">
        <f t="shared" si="1"/>
        <v>4385513</v>
      </c>
      <c r="I118" s="138"/>
      <c r="J118" s="138"/>
      <c r="L118" s="138"/>
    </row>
    <row r="119" spans="1:12" s="158" customFormat="1" ht="25.5">
      <c r="A119" s="204"/>
      <c r="B119" s="81"/>
      <c r="C119" s="82">
        <v>2540</v>
      </c>
      <c r="D119" s="549" t="s">
        <v>620</v>
      </c>
      <c r="E119" s="152">
        <v>3037969</v>
      </c>
      <c r="F119" s="152">
        <v>75000</v>
      </c>
      <c r="G119" s="152"/>
      <c r="H119" s="152">
        <f t="shared" si="1"/>
        <v>2962969</v>
      </c>
      <c r="I119" s="157"/>
      <c r="J119" s="157"/>
      <c r="L119" s="157"/>
    </row>
    <row r="120" spans="1:12" s="158" customFormat="1" ht="38.25">
      <c r="A120" s="204"/>
      <c r="B120" s="81"/>
      <c r="C120" s="82">
        <v>2590</v>
      </c>
      <c r="D120" s="549" t="s">
        <v>481</v>
      </c>
      <c r="E120" s="152">
        <v>1347544</v>
      </c>
      <c r="F120" s="152"/>
      <c r="G120" s="152">
        <v>75000</v>
      </c>
      <c r="H120" s="152">
        <f t="shared" si="1"/>
        <v>1422544</v>
      </c>
      <c r="I120" s="157"/>
      <c r="J120" s="157"/>
      <c r="L120" s="157"/>
    </row>
    <row r="121" spans="1:12" s="95" customFormat="1" ht="18.75" customHeight="1">
      <c r="A121" s="80"/>
      <c r="B121" s="66"/>
      <c r="C121" s="474"/>
      <c r="D121" s="558" t="s">
        <v>768</v>
      </c>
      <c r="E121" s="143">
        <v>1404475</v>
      </c>
      <c r="F121" s="584">
        <f>F123+F125</f>
        <v>55320</v>
      </c>
      <c r="G121" s="584"/>
      <c r="H121" s="584">
        <f t="shared" si="1"/>
        <v>1349155</v>
      </c>
      <c r="I121" s="138"/>
      <c r="J121" s="138"/>
      <c r="L121" s="94"/>
    </row>
    <row r="122" spans="1:12" s="95" customFormat="1" ht="18.75" customHeight="1">
      <c r="A122" s="80"/>
      <c r="B122" s="66"/>
      <c r="C122" s="109"/>
      <c r="D122" s="1124" t="s">
        <v>149</v>
      </c>
      <c r="E122" s="940">
        <v>450000</v>
      </c>
      <c r="F122" s="1389">
        <v>51750</v>
      </c>
      <c r="G122" s="1389"/>
      <c r="H122" s="576">
        <f t="shared" si="1"/>
        <v>398250</v>
      </c>
      <c r="I122" s="138"/>
      <c r="J122" s="138"/>
      <c r="L122" s="94"/>
    </row>
    <row r="123" spans="1:12" s="95" customFormat="1" ht="18.75" customHeight="1">
      <c r="A123" s="80"/>
      <c r="B123" s="66"/>
      <c r="C123" s="318">
        <v>6050</v>
      </c>
      <c r="D123" s="1083" t="s">
        <v>762</v>
      </c>
      <c r="E123" s="777">
        <v>1394905</v>
      </c>
      <c r="F123" s="760">
        <f>F122</f>
        <v>51750</v>
      </c>
      <c r="G123" s="760"/>
      <c r="H123" s="987">
        <f t="shared" si="1"/>
        <v>1343155</v>
      </c>
      <c r="I123" s="138"/>
      <c r="J123" s="138"/>
      <c r="L123" s="94"/>
    </row>
    <row r="124" spans="1:12" s="95" customFormat="1" ht="18.75" customHeight="1">
      <c r="A124" s="80"/>
      <c r="B124" s="66"/>
      <c r="C124" s="153"/>
      <c r="D124" s="1075" t="s">
        <v>107</v>
      </c>
      <c r="E124" s="1070">
        <v>9570</v>
      </c>
      <c r="F124" s="1082">
        <v>3570</v>
      </c>
      <c r="G124" s="1082"/>
      <c r="H124" s="576">
        <f t="shared" si="1"/>
        <v>6000</v>
      </c>
      <c r="I124" s="138"/>
      <c r="J124" s="138"/>
      <c r="L124" s="94"/>
    </row>
    <row r="125" spans="1:12" s="95" customFormat="1" ht="18.75" customHeight="1">
      <c r="A125" s="80"/>
      <c r="B125" s="69"/>
      <c r="C125" s="318">
        <v>6060</v>
      </c>
      <c r="D125" s="1083" t="s">
        <v>607</v>
      </c>
      <c r="E125" s="777">
        <v>9570</v>
      </c>
      <c r="F125" s="760">
        <f>F124</f>
        <v>3570</v>
      </c>
      <c r="G125" s="760"/>
      <c r="H125" s="987">
        <f t="shared" si="1"/>
        <v>6000</v>
      </c>
      <c r="I125" s="138"/>
      <c r="J125" s="138"/>
      <c r="L125" s="94"/>
    </row>
    <row r="126" spans="1:12" s="95" customFormat="1" ht="19.5" customHeight="1">
      <c r="A126" s="76"/>
      <c r="B126" s="78">
        <v>80110</v>
      </c>
      <c r="C126" s="78"/>
      <c r="D126" s="78" t="s">
        <v>61</v>
      </c>
      <c r="E126" s="583">
        <v>54542466</v>
      </c>
      <c r="F126" s="543">
        <f>F127+F132</f>
        <v>330743</v>
      </c>
      <c r="G126" s="543">
        <f>G127+G132</f>
        <v>96011</v>
      </c>
      <c r="H126" s="543">
        <f t="shared" si="1"/>
        <v>54307734</v>
      </c>
      <c r="I126" s="138"/>
      <c r="J126" s="138"/>
      <c r="L126" s="94"/>
    </row>
    <row r="127" spans="1:12" s="95" customFormat="1" ht="19.5" customHeight="1">
      <c r="A127" s="80"/>
      <c r="B127" s="474"/>
      <c r="C127" s="474"/>
      <c r="D127" s="558" t="s">
        <v>574</v>
      </c>
      <c r="E127" s="143">
        <v>7007599</v>
      </c>
      <c r="F127" s="584"/>
      <c r="G127" s="584">
        <f>SUM(G128:G131)</f>
        <v>85450</v>
      </c>
      <c r="H127" s="584">
        <f t="shared" si="1"/>
        <v>7093049</v>
      </c>
      <c r="I127" s="138"/>
      <c r="J127" s="138"/>
      <c r="L127" s="94"/>
    </row>
    <row r="128" spans="1:12" s="585" customFormat="1" ht="19.5" customHeight="1">
      <c r="A128" s="204"/>
      <c r="B128" s="81"/>
      <c r="C128" s="82">
        <v>4210</v>
      </c>
      <c r="D128" s="555" t="s">
        <v>570</v>
      </c>
      <c r="E128" s="152">
        <v>552847</v>
      </c>
      <c r="F128" s="570"/>
      <c r="G128" s="570">
        <v>4000</v>
      </c>
      <c r="H128" s="570">
        <f t="shared" si="1"/>
        <v>556847</v>
      </c>
      <c r="I128" s="157"/>
      <c r="J128" s="157"/>
      <c r="L128" s="586"/>
    </row>
    <row r="129" spans="1:12" s="585" customFormat="1" ht="19.5" customHeight="1">
      <c r="A129" s="204"/>
      <c r="B129" s="81"/>
      <c r="C129" s="82">
        <v>4270</v>
      </c>
      <c r="D129" s="555" t="s">
        <v>200</v>
      </c>
      <c r="E129" s="576">
        <v>960182</v>
      </c>
      <c r="F129" s="588"/>
      <c r="G129" s="588">
        <v>64500</v>
      </c>
      <c r="H129" s="588">
        <f t="shared" si="1"/>
        <v>1024682</v>
      </c>
      <c r="I129" s="157"/>
      <c r="J129" s="157"/>
      <c r="L129" s="586"/>
    </row>
    <row r="130" spans="1:12" s="585" customFormat="1" ht="19.5" customHeight="1">
      <c r="A130" s="204"/>
      <c r="B130" s="81"/>
      <c r="C130" s="140">
        <v>4300</v>
      </c>
      <c r="D130" s="83" t="s">
        <v>571</v>
      </c>
      <c r="E130" s="605">
        <v>411534</v>
      </c>
      <c r="F130" s="606"/>
      <c r="G130" s="606">
        <v>5000</v>
      </c>
      <c r="H130" s="606">
        <f t="shared" si="1"/>
        <v>416534</v>
      </c>
      <c r="I130" s="157"/>
      <c r="J130" s="157"/>
      <c r="L130" s="586"/>
    </row>
    <row r="131" spans="1:12" s="585" customFormat="1" ht="19.5" customHeight="1">
      <c r="A131" s="204"/>
      <c r="B131" s="81"/>
      <c r="C131" s="1085">
        <v>4440</v>
      </c>
      <c r="D131" s="560" t="s">
        <v>277</v>
      </c>
      <c r="E131" s="605">
        <v>2117620</v>
      </c>
      <c r="F131" s="1084"/>
      <c r="G131" s="1084">
        <v>11950</v>
      </c>
      <c r="H131" s="606">
        <f t="shared" si="1"/>
        <v>2129570</v>
      </c>
      <c r="I131" s="157"/>
      <c r="J131" s="157"/>
      <c r="L131" s="586"/>
    </row>
    <row r="132" spans="1:12" s="130" customFormat="1" ht="21" customHeight="1">
      <c r="A132" s="80"/>
      <c r="B132" s="66"/>
      <c r="C132" s="66"/>
      <c r="D132" s="592" t="s">
        <v>768</v>
      </c>
      <c r="E132" s="943">
        <v>3252743</v>
      </c>
      <c r="F132" s="143">
        <f>F136</f>
        <v>330743</v>
      </c>
      <c r="G132" s="143">
        <f>G136</f>
        <v>10561</v>
      </c>
      <c r="H132" s="143">
        <f t="shared" si="1"/>
        <v>2932561</v>
      </c>
      <c r="I132" s="138"/>
      <c r="J132" s="138"/>
      <c r="L132" s="138"/>
    </row>
    <row r="133" spans="1:12" s="156" customFormat="1" ht="21" customHeight="1">
      <c r="A133" s="205"/>
      <c r="B133" s="169"/>
      <c r="C133" s="169"/>
      <c r="D133" s="572" t="s">
        <v>382</v>
      </c>
      <c r="E133" s="467">
        <v>3000000</v>
      </c>
      <c r="F133" s="467">
        <v>158000</v>
      </c>
      <c r="G133" s="467"/>
      <c r="H133" s="467">
        <f t="shared" si="1"/>
        <v>2842000</v>
      </c>
      <c r="I133" s="155"/>
      <c r="J133" s="155"/>
      <c r="L133" s="155"/>
    </row>
    <row r="134" spans="1:12" s="156" customFormat="1" ht="21" customHeight="1">
      <c r="A134" s="205"/>
      <c r="B134" s="169"/>
      <c r="C134" s="169"/>
      <c r="D134" s="1196" t="s">
        <v>203</v>
      </c>
      <c r="E134" s="1194">
        <v>172743</v>
      </c>
      <c r="F134" s="1194">
        <v>172743</v>
      </c>
      <c r="G134" s="1194"/>
      <c r="H134" s="1194">
        <f t="shared" si="1"/>
        <v>0</v>
      </c>
      <c r="I134" s="155"/>
      <c r="J134" s="155"/>
      <c r="L134" s="155"/>
    </row>
    <row r="135" spans="1:12" s="156" customFormat="1" ht="21" customHeight="1">
      <c r="A135" s="205"/>
      <c r="B135" s="169"/>
      <c r="C135" s="169"/>
      <c r="D135" s="1141" t="s">
        <v>163</v>
      </c>
      <c r="E135" s="469">
        <v>80000</v>
      </c>
      <c r="F135" s="469"/>
      <c r="G135" s="469">
        <v>10561</v>
      </c>
      <c r="H135" s="469">
        <f t="shared" si="1"/>
        <v>90561</v>
      </c>
      <c r="I135" s="155"/>
      <c r="J135" s="155"/>
      <c r="L135" s="155"/>
    </row>
    <row r="136" spans="1:12" s="158" customFormat="1" ht="21" customHeight="1">
      <c r="A136" s="204"/>
      <c r="B136" s="82"/>
      <c r="C136" s="82">
        <v>6050</v>
      </c>
      <c r="D136" s="549" t="s">
        <v>762</v>
      </c>
      <c r="E136" s="152">
        <v>3252743</v>
      </c>
      <c r="F136" s="152">
        <f>SUM(F133:F135)</f>
        <v>330743</v>
      </c>
      <c r="G136" s="152">
        <f>SUM(G133:G135)</f>
        <v>10561</v>
      </c>
      <c r="H136" s="152">
        <f t="shared" si="1"/>
        <v>2932561</v>
      </c>
      <c r="I136" s="157"/>
      <c r="J136" s="157"/>
      <c r="L136" s="157"/>
    </row>
    <row r="137" spans="1:12" s="95" customFormat="1" ht="19.5" customHeight="1">
      <c r="A137" s="76"/>
      <c r="B137" s="78">
        <v>80113</v>
      </c>
      <c r="C137" s="78"/>
      <c r="D137" s="78" t="s">
        <v>175</v>
      </c>
      <c r="E137" s="583">
        <v>600000</v>
      </c>
      <c r="F137" s="543"/>
      <c r="G137" s="543">
        <f>G138</f>
        <v>15000</v>
      </c>
      <c r="H137" s="543">
        <f t="shared" si="1"/>
        <v>615000</v>
      </c>
      <c r="I137" s="138"/>
      <c r="J137" s="138"/>
      <c r="L137" s="94"/>
    </row>
    <row r="138" spans="1:12" s="95" customFormat="1" ht="19.5" customHeight="1">
      <c r="A138" s="80"/>
      <c r="B138" s="474"/>
      <c r="C138" s="474"/>
      <c r="D138" s="558" t="s">
        <v>353</v>
      </c>
      <c r="E138" s="143">
        <v>600000</v>
      </c>
      <c r="F138" s="584"/>
      <c r="G138" s="584">
        <f>G139</f>
        <v>15000</v>
      </c>
      <c r="H138" s="584">
        <f t="shared" si="1"/>
        <v>615000</v>
      </c>
      <c r="I138" s="138"/>
      <c r="J138" s="138"/>
      <c r="L138" s="94"/>
    </row>
    <row r="139" spans="1:12" s="585" customFormat="1" ht="19.5" customHeight="1">
      <c r="A139" s="204"/>
      <c r="B139" s="81"/>
      <c r="C139" s="82">
        <v>4300</v>
      </c>
      <c r="D139" s="555" t="s">
        <v>571</v>
      </c>
      <c r="E139" s="152">
        <v>600000</v>
      </c>
      <c r="F139" s="570"/>
      <c r="G139" s="570">
        <v>15000</v>
      </c>
      <c r="H139" s="570">
        <f t="shared" si="1"/>
        <v>615000</v>
      </c>
      <c r="I139" s="157"/>
      <c r="J139" s="157"/>
      <c r="L139" s="586"/>
    </row>
    <row r="140" spans="1:12" s="95" customFormat="1" ht="19.5" customHeight="1">
      <c r="A140" s="76"/>
      <c r="B140" s="77">
        <v>80120</v>
      </c>
      <c r="C140" s="77"/>
      <c r="D140" s="77" t="s">
        <v>62</v>
      </c>
      <c r="E140" s="137">
        <v>50503443</v>
      </c>
      <c r="F140" s="79">
        <f>F141</f>
        <v>99300</v>
      </c>
      <c r="G140" s="79">
        <f>G141</f>
        <v>145300</v>
      </c>
      <c r="H140" s="79">
        <f t="shared" si="1"/>
        <v>50549443</v>
      </c>
      <c r="I140" s="138"/>
      <c r="J140" s="138"/>
      <c r="L140" s="94"/>
    </row>
    <row r="141" spans="1:12" s="95" customFormat="1" ht="19.5" customHeight="1">
      <c r="A141" s="80"/>
      <c r="B141" s="474"/>
      <c r="C141" s="474"/>
      <c r="D141" s="558" t="s">
        <v>574</v>
      </c>
      <c r="E141" s="143">
        <v>5949623</v>
      </c>
      <c r="F141" s="584">
        <f>SUM(F142:F146)</f>
        <v>99300</v>
      </c>
      <c r="G141" s="584">
        <f>SUM(G142:G146)</f>
        <v>145300</v>
      </c>
      <c r="H141" s="584">
        <f t="shared" si="1"/>
        <v>5995623</v>
      </c>
      <c r="I141" s="138"/>
      <c r="J141" s="138"/>
      <c r="L141" s="94"/>
    </row>
    <row r="142" spans="1:12" s="585" customFormat="1" ht="18" customHeight="1">
      <c r="A142" s="204"/>
      <c r="B142" s="81"/>
      <c r="C142" s="82">
        <v>4210</v>
      </c>
      <c r="D142" s="555" t="s">
        <v>570</v>
      </c>
      <c r="E142" s="152">
        <v>288893</v>
      </c>
      <c r="F142" s="570"/>
      <c r="G142" s="570">
        <v>11000</v>
      </c>
      <c r="H142" s="570">
        <f t="shared" si="1"/>
        <v>299893</v>
      </c>
      <c r="I142" s="157"/>
      <c r="J142" s="157"/>
      <c r="L142" s="586"/>
    </row>
    <row r="143" spans="1:12" s="158" customFormat="1" ht="19.5" customHeight="1">
      <c r="A143" s="204"/>
      <c r="B143" s="81"/>
      <c r="C143" s="318">
        <v>4260</v>
      </c>
      <c r="D143" s="320" t="s">
        <v>656</v>
      </c>
      <c r="E143" s="152">
        <v>2164760</v>
      </c>
      <c r="F143" s="152">
        <v>99300</v>
      </c>
      <c r="G143" s="152"/>
      <c r="H143" s="152">
        <f t="shared" si="1"/>
        <v>2065460</v>
      </c>
      <c r="I143" s="157"/>
      <c r="J143" s="157"/>
      <c r="L143" s="157"/>
    </row>
    <row r="144" spans="1:12" s="158" customFormat="1" ht="19.5" customHeight="1">
      <c r="A144" s="561"/>
      <c r="B144" s="82"/>
      <c r="C144" s="82">
        <v>4270</v>
      </c>
      <c r="D144" s="555" t="s">
        <v>200</v>
      </c>
      <c r="E144" s="152">
        <v>919143</v>
      </c>
      <c r="F144" s="152"/>
      <c r="G144" s="152">
        <f>976+51000</f>
        <v>51976</v>
      </c>
      <c r="H144" s="152">
        <f aca="true" t="shared" si="2" ref="H144:H209">E144+G144-F144</f>
        <v>971119</v>
      </c>
      <c r="I144" s="157"/>
      <c r="J144" s="157"/>
      <c r="L144" s="157"/>
    </row>
    <row r="145" spans="1:12" s="158" customFormat="1" ht="19.5" customHeight="1">
      <c r="A145" s="204"/>
      <c r="B145" s="81"/>
      <c r="C145" s="140">
        <v>4300</v>
      </c>
      <c r="D145" s="83" t="s">
        <v>571</v>
      </c>
      <c r="E145" s="152">
        <v>284110</v>
      </c>
      <c r="F145" s="152"/>
      <c r="G145" s="152">
        <f>13000-976</f>
        <v>12024</v>
      </c>
      <c r="H145" s="152">
        <f t="shared" si="2"/>
        <v>296134</v>
      </c>
      <c r="I145" s="157"/>
      <c r="J145" s="157"/>
      <c r="L145" s="157"/>
    </row>
    <row r="146" spans="1:12" s="158" customFormat="1" ht="19.5" customHeight="1">
      <c r="A146" s="204"/>
      <c r="B146" s="81"/>
      <c r="C146" s="140">
        <v>4430</v>
      </c>
      <c r="D146" s="83" t="s">
        <v>658</v>
      </c>
      <c r="E146" s="152">
        <v>80181</v>
      </c>
      <c r="F146" s="152"/>
      <c r="G146" s="152">
        <v>70300</v>
      </c>
      <c r="H146" s="152">
        <f t="shared" si="2"/>
        <v>150481</v>
      </c>
      <c r="I146" s="157"/>
      <c r="J146" s="157"/>
      <c r="L146" s="157"/>
    </row>
    <row r="147" spans="1:12" s="130" customFormat="1" ht="18.75" customHeight="1">
      <c r="A147" s="76"/>
      <c r="B147" s="77">
        <v>80121</v>
      </c>
      <c r="C147" s="77"/>
      <c r="D147" s="77" t="s">
        <v>176</v>
      </c>
      <c r="E147" s="137">
        <v>810000</v>
      </c>
      <c r="F147" s="137"/>
      <c r="G147" s="137">
        <f>G148+G150</f>
        <v>16000</v>
      </c>
      <c r="H147" s="137">
        <f t="shared" si="2"/>
        <v>826000</v>
      </c>
      <c r="I147" s="138"/>
      <c r="J147" s="138"/>
      <c r="L147" s="138"/>
    </row>
    <row r="148" spans="1:12" s="95" customFormat="1" ht="18.75" customHeight="1">
      <c r="A148" s="80"/>
      <c r="B148" s="66"/>
      <c r="C148" s="474"/>
      <c r="D148" s="558" t="s">
        <v>278</v>
      </c>
      <c r="E148" s="143">
        <v>614700</v>
      </c>
      <c r="F148" s="584"/>
      <c r="G148" s="584">
        <f>G149</f>
        <v>10000</v>
      </c>
      <c r="H148" s="143">
        <f t="shared" si="2"/>
        <v>624700</v>
      </c>
      <c r="I148" s="138"/>
      <c r="J148" s="138"/>
      <c r="L148" s="94"/>
    </row>
    <row r="149" spans="1:12" s="95" customFormat="1" ht="18.75" customHeight="1">
      <c r="A149" s="80"/>
      <c r="B149" s="66"/>
      <c r="C149" s="82">
        <v>4010</v>
      </c>
      <c r="D149" s="555" t="s">
        <v>521</v>
      </c>
      <c r="E149" s="426">
        <v>563224</v>
      </c>
      <c r="F149" s="323"/>
      <c r="G149" s="323">
        <v>10000</v>
      </c>
      <c r="H149" s="152">
        <f t="shared" si="2"/>
        <v>573224</v>
      </c>
      <c r="I149" s="138"/>
      <c r="J149" s="138"/>
      <c r="L149" s="94"/>
    </row>
    <row r="150" spans="1:12" s="95" customFormat="1" ht="18.75" customHeight="1">
      <c r="A150" s="80"/>
      <c r="B150" s="66"/>
      <c r="C150" s="474"/>
      <c r="D150" s="558" t="s">
        <v>599</v>
      </c>
      <c r="E150" s="143">
        <v>115800</v>
      </c>
      <c r="F150" s="584"/>
      <c r="G150" s="584">
        <f>SUM(G151:G152)</f>
        <v>6000</v>
      </c>
      <c r="H150" s="143">
        <f t="shared" si="2"/>
        <v>121800</v>
      </c>
      <c r="I150" s="138"/>
      <c r="J150" s="138"/>
      <c r="L150" s="94"/>
    </row>
    <row r="151" spans="1:12" s="95" customFormat="1" ht="18.75" customHeight="1">
      <c r="A151" s="80"/>
      <c r="B151" s="66"/>
      <c r="C151" s="82">
        <v>4110</v>
      </c>
      <c r="D151" s="555" t="s">
        <v>653</v>
      </c>
      <c r="E151" s="426">
        <v>100200</v>
      </c>
      <c r="F151" s="323"/>
      <c r="G151" s="323">
        <v>5500</v>
      </c>
      <c r="H151" s="152">
        <f t="shared" si="2"/>
        <v>105700</v>
      </c>
      <c r="I151" s="138"/>
      <c r="J151" s="138"/>
      <c r="L151" s="94"/>
    </row>
    <row r="152" spans="1:12" s="585" customFormat="1" ht="18.75" customHeight="1">
      <c r="A152" s="204"/>
      <c r="B152" s="81"/>
      <c r="C152" s="82">
        <v>4120</v>
      </c>
      <c r="D152" s="555" t="s">
        <v>654</v>
      </c>
      <c r="E152" s="822">
        <v>15600</v>
      </c>
      <c r="F152" s="823"/>
      <c r="G152" s="823">
        <v>500</v>
      </c>
      <c r="H152" s="426">
        <f t="shared" si="2"/>
        <v>16100</v>
      </c>
      <c r="I152" s="157"/>
      <c r="J152" s="157"/>
      <c r="L152" s="586"/>
    </row>
    <row r="153" spans="1:12" s="130" customFormat="1" ht="18.75" customHeight="1">
      <c r="A153" s="76"/>
      <c r="B153" s="77">
        <v>80123</v>
      </c>
      <c r="C153" s="77"/>
      <c r="D153" s="77" t="s">
        <v>177</v>
      </c>
      <c r="E153" s="137">
        <v>8713500</v>
      </c>
      <c r="F153" s="137"/>
      <c r="G153" s="137">
        <f>G154</f>
        <v>43000</v>
      </c>
      <c r="H153" s="137">
        <f t="shared" si="2"/>
        <v>8756500</v>
      </c>
      <c r="I153" s="138"/>
      <c r="J153" s="138"/>
      <c r="L153" s="138"/>
    </row>
    <row r="154" spans="1:12" s="95" customFormat="1" ht="18.75" customHeight="1">
      <c r="A154" s="80"/>
      <c r="B154" s="66"/>
      <c r="C154" s="474"/>
      <c r="D154" s="558" t="s">
        <v>574</v>
      </c>
      <c r="E154" s="143">
        <v>658400</v>
      </c>
      <c r="F154" s="584"/>
      <c r="G154" s="584">
        <f>SUM(G155:G157)</f>
        <v>43000</v>
      </c>
      <c r="H154" s="143">
        <f t="shared" si="2"/>
        <v>701400</v>
      </c>
      <c r="I154" s="138"/>
      <c r="J154" s="138"/>
      <c r="L154" s="94"/>
    </row>
    <row r="155" spans="1:12" s="95" customFormat="1" ht="18.75" customHeight="1">
      <c r="A155" s="80"/>
      <c r="B155" s="66"/>
      <c r="C155" s="82">
        <v>3020</v>
      </c>
      <c r="D155" s="555" t="s">
        <v>96</v>
      </c>
      <c r="E155" s="426">
        <v>11510</v>
      </c>
      <c r="F155" s="323"/>
      <c r="G155" s="323">
        <v>3000</v>
      </c>
      <c r="H155" s="152">
        <f t="shared" si="2"/>
        <v>14510</v>
      </c>
      <c r="I155" s="138"/>
      <c r="J155" s="138"/>
      <c r="L155" s="94"/>
    </row>
    <row r="156" spans="1:12" s="95" customFormat="1" ht="18.75" customHeight="1">
      <c r="A156" s="80"/>
      <c r="B156" s="66"/>
      <c r="C156" s="495">
        <v>4260</v>
      </c>
      <c r="D156" s="496" t="s">
        <v>656</v>
      </c>
      <c r="E156" s="822">
        <v>177830</v>
      </c>
      <c r="F156" s="823"/>
      <c r="G156" s="823">
        <v>10000</v>
      </c>
      <c r="H156" s="605">
        <f t="shared" si="2"/>
        <v>187830</v>
      </c>
      <c r="I156" s="138"/>
      <c r="J156" s="138"/>
      <c r="L156" s="94"/>
    </row>
    <row r="157" spans="1:12" s="95" customFormat="1" ht="18.75" customHeight="1">
      <c r="A157" s="80"/>
      <c r="B157" s="66"/>
      <c r="C157" s="81">
        <v>4270</v>
      </c>
      <c r="D157" s="587" t="s">
        <v>200</v>
      </c>
      <c r="E157" s="848"/>
      <c r="F157" s="1011"/>
      <c r="G157" s="1011">
        <v>30000</v>
      </c>
      <c r="H157" s="605">
        <f t="shared" si="2"/>
        <v>30000</v>
      </c>
      <c r="I157" s="138"/>
      <c r="J157" s="138"/>
      <c r="L157" s="94"/>
    </row>
    <row r="158" spans="1:12" s="95" customFormat="1" ht="18.75" customHeight="1">
      <c r="A158" s="76"/>
      <c r="B158" s="77">
        <v>80130</v>
      </c>
      <c r="C158" s="77"/>
      <c r="D158" s="77" t="s">
        <v>600</v>
      </c>
      <c r="E158" s="137">
        <v>49395317</v>
      </c>
      <c r="F158" s="79">
        <f>F159+F161+F168</f>
        <v>112000</v>
      </c>
      <c r="G158" s="79">
        <f>G159+G161+G168</f>
        <v>454000</v>
      </c>
      <c r="H158" s="79">
        <f t="shared" si="2"/>
        <v>49737317</v>
      </c>
      <c r="I158" s="138"/>
      <c r="J158" s="138"/>
      <c r="L158" s="94"/>
    </row>
    <row r="159" spans="1:12" s="95" customFormat="1" ht="18.75" customHeight="1">
      <c r="A159" s="80"/>
      <c r="B159" s="66"/>
      <c r="C159" s="474"/>
      <c r="D159" s="558" t="s">
        <v>278</v>
      </c>
      <c r="E159" s="143">
        <v>24907700</v>
      </c>
      <c r="F159" s="584">
        <f>F160</f>
        <v>12000</v>
      </c>
      <c r="G159" s="584"/>
      <c r="H159" s="143">
        <f t="shared" si="2"/>
        <v>24895700</v>
      </c>
      <c r="I159" s="138"/>
      <c r="J159" s="138"/>
      <c r="L159" s="94"/>
    </row>
    <row r="160" spans="1:12" s="95" customFormat="1" ht="18.75" customHeight="1">
      <c r="A160" s="80"/>
      <c r="B160" s="66"/>
      <c r="C160" s="82">
        <v>4040</v>
      </c>
      <c r="D160" s="555" t="s">
        <v>603</v>
      </c>
      <c r="E160" s="426">
        <v>1783367</v>
      </c>
      <c r="F160" s="323">
        <v>12000</v>
      </c>
      <c r="G160" s="323"/>
      <c r="H160" s="152">
        <f t="shared" si="2"/>
        <v>1771367</v>
      </c>
      <c r="I160" s="138"/>
      <c r="J160" s="138"/>
      <c r="L160" s="94"/>
    </row>
    <row r="161" spans="1:12" s="95" customFormat="1" ht="19.5" customHeight="1">
      <c r="A161" s="80"/>
      <c r="B161" s="66"/>
      <c r="C161" s="474"/>
      <c r="D161" s="558" t="s">
        <v>574</v>
      </c>
      <c r="E161" s="143">
        <v>5249547</v>
      </c>
      <c r="F161" s="584">
        <f>SUM(F162:F167)</f>
        <v>100000</v>
      </c>
      <c r="G161" s="584">
        <f>SUM(G162:G167)</f>
        <v>154000</v>
      </c>
      <c r="H161" s="584">
        <f t="shared" si="2"/>
        <v>5303547</v>
      </c>
      <c r="I161" s="138"/>
      <c r="J161" s="138"/>
      <c r="L161" s="94"/>
    </row>
    <row r="162" spans="1:12" s="581" customFormat="1" ht="19.5" customHeight="1">
      <c r="A162" s="205"/>
      <c r="B162" s="169"/>
      <c r="C162" s="169">
        <v>4210</v>
      </c>
      <c r="D162" s="217" t="s">
        <v>570</v>
      </c>
      <c r="E162" s="848">
        <v>588960</v>
      </c>
      <c r="F162" s="1011"/>
      <c r="G162" s="1011">
        <v>100000</v>
      </c>
      <c r="H162" s="1011">
        <f t="shared" si="2"/>
        <v>688960</v>
      </c>
      <c r="I162" s="155"/>
      <c r="J162" s="155"/>
      <c r="L162" s="582"/>
    </row>
    <row r="163" spans="1:12" s="581" customFormat="1" ht="19.5" customHeight="1">
      <c r="A163" s="205"/>
      <c r="B163" s="169"/>
      <c r="C163" s="161">
        <v>4240</v>
      </c>
      <c r="D163" s="997" t="s">
        <v>69</v>
      </c>
      <c r="E163" s="822">
        <v>65370</v>
      </c>
      <c r="F163" s="823"/>
      <c r="G163" s="823">
        <v>1200</v>
      </c>
      <c r="H163" s="823">
        <f t="shared" si="2"/>
        <v>66570</v>
      </c>
      <c r="I163" s="155"/>
      <c r="J163" s="155"/>
      <c r="L163" s="582"/>
    </row>
    <row r="164" spans="1:12" s="581" customFormat="1" ht="18" customHeight="1">
      <c r="A164" s="205"/>
      <c r="B164" s="169"/>
      <c r="C164" s="161">
        <v>4260</v>
      </c>
      <c r="D164" s="997" t="s">
        <v>656</v>
      </c>
      <c r="E164" s="822">
        <v>1835296</v>
      </c>
      <c r="F164" s="823">
        <v>100000</v>
      </c>
      <c r="G164" s="823"/>
      <c r="H164" s="823">
        <f t="shared" si="2"/>
        <v>1735296</v>
      </c>
      <c r="I164" s="155"/>
      <c r="J164" s="155"/>
      <c r="L164" s="582"/>
    </row>
    <row r="165" spans="1:12" s="156" customFormat="1" ht="21" customHeight="1">
      <c r="A165" s="205"/>
      <c r="B165" s="169"/>
      <c r="C165" s="161">
        <v>4270</v>
      </c>
      <c r="D165" s="997" t="s">
        <v>200</v>
      </c>
      <c r="E165" s="822">
        <v>642741</v>
      </c>
      <c r="F165" s="822"/>
      <c r="G165" s="822">
        <v>42000</v>
      </c>
      <c r="H165" s="822">
        <f t="shared" si="2"/>
        <v>684741</v>
      </c>
      <c r="I165" s="155"/>
      <c r="J165" s="155"/>
      <c r="L165" s="155"/>
    </row>
    <row r="166" spans="1:12" s="156" customFormat="1" ht="21" customHeight="1">
      <c r="A166" s="205"/>
      <c r="B166" s="169"/>
      <c r="C166" s="161">
        <v>4280</v>
      </c>
      <c r="D166" s="997" t="s">
        <v>657</v>
      </c>
      <c r="E166" s="822">
        <v>23000</v>
      </c>
      <c r="F166" s="822"/>
      <c r="G166" s="822">
        <v>800</v>
      </c>
      <c r="H166" s="822">
        <f t="shared" si="2"/>
        <v>23800</v>
      </c>
      <c r="I166" s="155"/>
      <c r="J166" s="155"/>
      <c r="L166" s="155"/>
    </row>
    <row r="167" spans="1:12" s="156" customFormat="1" ht="21" customHeight="1">
      <c r="A167" s="205"/>
      <c r="B167" s="169"/>
      <c r="C167" s="161">
        <v>4300</v>
      </c>
      <c r="D167" s="997" t="s">
        <v>571</v>
      </c>
      <c r="E167" s="822">
        <v>397970</v>
      </c>
      <c r="F167" s="822"/>
      <c r="G167" s="822">
        <v>10000</v>
      </c>
      <c r="H167" s="822">
        <f t="shared" si="2"/>
        <v>407970</v>
      </c>
      <c r="I167" s="155"/>
      <c r="J167" s="155"/>
      <c r="L167" s="155"/>
    </row>
    <row r="168" spans="1:12" s="130" customFormat="1" ht="21" customHeight="1">
      <c r="A168" s="80"/>
      <c r="B168" s="66"/>
      <c r="C168" s="66"/>
      <c r="D168" s="592" t="s">
        <v>768</v>
      </c>
      <c r="E168" s="943">
        <v>9483590</v>
      </c>
      <c r="F168" s="143"/>
      <c r="G168" s="143">
        <f>G170</f>
        <v>300000</v>
      </c>
      <c r="H168" s="143">
        <f t="shared" si="2"/>
        <v>9783590</v>
      </c>
      <c r="I168" s="138"/>
      <c r="J168" s="138"/>
      <c r="L168" s="138"/>
    </row>
    <row r="169" spans="1:12" s="156" customFormat="1" ht="21" customHeight="1">
      <c r="A169" s="205"/>
      <c r="B169" s="169"/>
      <c r="C169" s="169"/>
      <c r="D169" s="572" t="s">
        <v>49</v>
      </c>
      <c r="E169" s="467">
        <v>3350000</v>
      </c>
      <c r="F169" s="467"/>
      <c r="G169" s="467">
        <v>300000</v>
      </c>
      <c r="H169" s="467">
        <f t="shared" si="2"/>
        <v>3650000</v>
      </c>
      <c r="I169" s="155"/>
      <c r="J169" s="155"/>
      <c r="L169" s="155"/>
    </row>
    <row r="170" spans="1:12" s="158" customFormat="1" ht="21" customHeight="1">
      <c r="A170" s="204"/>
      <c r="B170" s="82"/>
      <c r="C170" s="82">
        <v>6050</v>
      </c>
      <c r="D170" s="549" t="s">
        <v>762</v>
      </c>
      <c r="E170" s="152">
        <v>8683590</v>
      </c>
      <c r="F170" s="152"/>
      <c r="G170" s="152">
        <f>G169</f>
        <v>300000</v>
      </c>
      <c r="H170" s="152">
        <f t="shared" si="2"/>
        <v>8983590</v>
      </c>
      <c r="I170" s="157"/>
      <c r="J170" s="157"/>
      <c r="L170" s="157"/>
    </row>
    <row r="171" spans="1:12" s="95" customFormat="1" ht="18.75" customHeight="1">
      <c r="A171" s="76"/>
      <c r="B171" s="77">
        <v>80134</v>
      </c>
      <c r="C171" s="77"/>
      <c r="D171" s="77" t="s">
        <v>180</v>
      </c>
      <c r="E171" s="137">
        <v>5146038</v>
      </c>
      <c r="F171" s="79">
        <f>F172+F174+F176</f>
        <v>10000</v>
      </c>
      <c r="G171" s="79">
        <f>G172+G174+G176</f>
        <v>17000</v>
      </c>
      <c r="H171" s="79">
        <f t="shared" si="2"/>
        <v>5153038</v>
      </c>
      <c r="I171" s="138"/>
      <c r="J171" s="138"/>
      <c r="L171" s="94"/>
    </row>
    <row r="172" spans="1:12" s="95" customFormat="1" ht="18.75" customHeight="1">
      <c r="A172" s="80"/>
      <c r="B172" s="66"/>
      <c r="C172" s="474"/>
      <c r="D172" s="558" t="s">
        <v>278</v>
      </c>
      <c r="E172" s="143">
        <v>3896200</v>
      </c>
      <c r="F172" s="584">
        <f>F173</f>
        <v>10000</v>
      </c>
      <c r="G172" s="584"/>
      <c r="H172" s="143">
        <f t="shared" si="2"/>
        <v>3886200</v>
      </c>
      <c r="I172" s="138"/>
      <c r="J172" s="138"/>
      <c r="L172" s="94"/>
    </row>
    <row r="173" spans="1:12" s="95" customFormat="1" ht="18.75" customHeight="1">
      <c r="A173" s="80"/>
      <c r="B173" s="66"/>
      <c r="C173" s="82">
        <v>4010</v>
      </c>
      <c r="D173" s="555" t="s">
        <v>521</v>
      </c>
      <c r="E173" s="426">
        <v>3633923</v>
      </c>
      <c r="F173" s="323">
        <v>10000</v>
      </c>
      <c r="G173" s="323"/>
      <c r="H173" s="152">
        <f t="shared" si="2"/>
        <v>3623923</v>
      </c>
      <c r="I173" s="138"/>
      <c r="J173" s="138"/>
      <c r="L173" s="94"/>
    </row>
    <row r="174" spans="1:12" s="95" customFormat="1" ht="19.5" customHeight="1">
      <c r="A174" s="80"/>
      <c r="B174" s="66"/>
      <c r="C174" s="474"/>
      <c r="D174" s="558" t="s">
        <v>574</v>
      </c>
      <c r="E174" s="143">
        <v>513638</v>
      </c>
      <c r="F174" s="584"/>
      <c r="G174" s="584">
        <f>G175</f>
        <v>10000</v>
      </c>
      <c r="H174" s="584">
        <f t="shared" si="2"/>
        <v>523638</v>
      </c>
      <c r="I174" s="138"/>
      <c r="J174" s="138"/>
      <c r="L174" s="94"/>
    </row>
    <row r="175" spans="1:12" s="585" customFormat="1" ht="18" customHeight="1">
      <c r="A175" s="561"/>
      <c r="B175" s="82"/>
      <c r="C175" s="82">
        <v>4260</v>
      </c>
      <c r="D175" s="555" t="s">
        <v>656</v>
      </c>
      <c r="E175" s="152">
        <v>232038</v>
      </c>
      <c r="F175" s="570"/>
      <c r="G175" s="570">
        <v>10000</v>
      </c>
      <c r="H175" s="570">
        <f t="shared" si="2"/>
        <v>242038</v>
      </c>
      <c r="I175" s="157"/>
      <c r="J175" s="157"/>
      <c r="L175" s="586"/>
    </row>
    <row r="176" spans="1:12" s="95" customFormat="1" ht="19.5" customHeight="1">
      <c r="A176" s="80"/>
      <c r="B176" s="66"/>
      <c r="C176" s="66"/>
      <c r="D176" s="648" t="s">
        <v>599</v>
      </c>
      <c r="E176" s="943">
        <v>736200</v>
      </c>
      <c r="F176" s="649"/>
      <c r="G176" s="649">
        <f>G177</f>
        <v>7000</v>
      </c>
      <c r="H176" s="649">
        <f t="shared" si="2"/>
        <v>743200</v>
      </c>
      <c r="I176" s="138"/>
      <c r="J176" s="138"/>
      <c r="L176" s="94"/>
    </row>
    <row r="177" spans="1:12" s="585" customFormat="1" ht="18" customHeight="1">
      <c r="A177" s="204"/>
      <c r="B177" s="82"/>
      <c r="C177" s="82">
        <v>4110</v>
      </c>
      <c r="D177" s="555" t="s">
        <v>653</v>
      </c>
      <c r="E177" s="152">
        <v>651650</v>
      </c>
      <c r="F177" s="570"/>
      <c r="G177" s="570">
        <v>7000</v>
      </c>
      <c r="H177" s="570">
        <f t="shared" si="2"/>
        <v>658650</v>
      </c>
      <c r="I177" s="157"/>
      <c r="J177" s="157"/>
      <c r="L177" s="586"/>
    </row>
    <row r="178" spans="1:12" s="95" customFormat="1" ht="18.75" customHeight="1">
      <c r="A178" s="76"/>
      <c r="B178" s="78">
        <v>80146</v>
      </c>
      <c r="C178" s="78"/>
      <c r="D178" s="78" t="s">
        <v>68</v>
      </c>
      <c r="E178" s="583">
        <v>1630000</v>
      </c>
      <c r="F178" s="543">
        <f>F179</f>
        <v>900</v>
      </c>
      <c r="G178" s="543">
        <f>G179</f>
        <v>900</v>
      </c>
      <c r="H178" s="543">
        <f t="shared" si="2"/>
        <v>1630000</v>
      </c>
      <c r="I178" s="138"/>
      <c r="J178" s="138"/>
      <c r="L178" s="94"/>
    </row>
    <row r="179" spans="1:12" s="95" customFormat="1" ht="21" customHeight="1">
      <c r="A179" s="80"/>
      <c r="B179" s="474"/>
      <c r="C179" s="474"/>
      <c r="D179" s="1162" t="s">
        <v>132</v>
      </c>
      <c r="E179" s="144">
        <v>1630000</v>
      </c>
      <c r="F179" s="589">
        <f>SUM(F180:F181)</f>
        <v>900</v>
      </c>
      <c r="G179" s="589">
        <f>SUM(G180:G181)</f>
        <v>900</v>
      </c>
      <c r="H179" s="589">
        <f t="shared" si="2"/>
        <v>1630000</v>
      </c>
      <c r="I179" s="138"/>
      <c r="J179" s="138"/>
      <c r="L179" s="94"/>
    </row>
    <row r="180" spans="1:12" s="585" customFormat="1" ht="21" customHeight="1">
      <c r="A180" s="204"/>
      <c r="B180" s="81"/>
      <c r="C180" s="82">
        <v>4170</v>
      </c>
      <c r="D180" s="590" t="s">
        <v>581</v>
      </c>
      <c r="E180" s="145">
        <v>106439</v>
      </c>
      <c r="F180" s="591">
        <v>900</v>
      </c>
      <c r="G180" s="591"/>
      <c r="H180" s="591">
        <f t="shared" si="2"/>
        <v>105539</v>
      </c>
      <c r="I180" s="157"/>
      <c r="J180" s="157"/>
      <c r="L180" s="586"/>
    </row>
    <row r="181" spans="1:12" s="585" customFormat="1" ht="21" customHeight="1">
      <c r="A181" s="204"/>
      <c r="B181" s="82"/>
      <c r="C181" s="495">
        <v>4300</v>
      </c>
      <c r="D181" s="496" t="s">
        <v>571</v>
      </c>
      <c r="E181" s="605">
        <v>899705</v>
      </c>
      <c r="F181" s="606"/>
      <c r="G181" s="606">
        <v>900</v>
      </c>
      <c r="H181" s="606">
        <f t="shared" si="2"/>
        <v>900605</v>
      </c>
      <c r="I181" s="157"/>
      <c r="J181" s="157"/>
      <c r="L181" s="586"/>
    </row>
    <row r="182" spans="1:12" s="95" customFormat="1" ht="21" customHeight="1">
      <c r="A182" s="76"/>
      <c r="B182" s="78">
        <v>80195</v>
      </c>
      <c r="C182" s="78"/>
      <c r="D182" s="78" t="s">
        <v>553</v>
      </c>
      <c r="E182" s="583">
        <v>2916561</v>
      </c>
      <c r="F182" s="543">
        <f>F183+F185</f>
        <v>199100</v>
      </c>
      <c r="G182" s="543"/>
      <c r="H182" s="543">
        <f t="shared" si="2"/>
        <v>2717461</v>
      </c>
      <c r="I182" s="138"/>
      <c r="J182" s="138"/>
      <c r="L182" s="94"/>
    </row>
    <row r="183" spans="1:12" s="95" customFormat="1" ht="26.25" customHeight="1">
      <c r="A183" s="80"/>
      <c r="B183" s="474"/>
      <c r="C183" s="474"/>
      <c r="D183" s="557" t="s">
        <v>726</v>
      </c>
      <c r="E183" s="143">
        <v>2567500</v>
      </c>
      <c r="F183" s="584">
        <f>F184</f>
        <v>76099</v>
      </c>
      <c r="G183" s="584"/>
      <c r="H183" s="584">
        <f t="shared" si="2"/>
        <v>2491401</v>
      </c>
      <c r="I183" s="138"/>
      <c r="J183" s="138"/>
      <c r="L183" s="94"/>
    </row>
    <row r="184" spans="1:12" s="581" customFormat="1" ht="21" customHeight="1">
      <c r="A184" s="205"/>
      <c r="B184" s="169"/>
      <c r="C184" s="321">
        <v>4440</v>
      </c>
      <c r="D184" s="322" t="s">
        <v>277</v>
      </c>
      <c r="E184" s="426">
        <v>2560000</v>
      </c>
      <c r="F184" s="323">
        <v>76099</v>
      </c>
      <c r="G184" s="323"/>
      <c r="H184" s="323">
        <f t="shared" si="2"/>
        <v>2483901</v>
      </c>
      <c r="I184" s="155"/>
      <c r="J184" s="155"/>
      <c r="L184" s="582"/>
    </row>
    <row r="185" spans="1:12" s="95" customFormat="1" ht="21" customHeight="1">
      <c r="A185" s="80"/>
      <c r="B185" s="66"/>
      <c r="C185" s="474"/>
      <c r="D185" s="557" t="s">
        <v>166</v>
      </c>
      <c r="E185" s="143">
        <v>280000</v>
      </c>
      <c r="F185" s="584">
        <f>F186</f>
        <v>123001</v>
      </c>
      <c r="G185" s="584"/>
      <c r="H185" s="584">
        <f t="shared" si="2"/>
        <v>156999</v>
      </c>
      <c r="I185" s="138"/>
      <c r="J185" s="138"/>
      <c r="L185" s="94"/>
    </row>
    <row r="186" spans="1:12" s="581" customFormat="1" ht="21" customHeight="1">
      <c r="A186" s="228"/>
      <c r="B186" s="321"/>
      <c r="C186" s="321">
        <v>6050</v>
      </c>
      <c r="D186" s="322" t="s">
        <v>277</v>
      </c>
      <c r="E186" s="426">
        <v>280000</v>
      </c>
      <c r="F186" s="323">
        <v>123001</v>
      </c>
      <c r="G186" s="323"/>
      <c r="H186" s="323">
        <f t="shared" si="2"/>
        <v>156999</v>
      </c>
      <c r="I186" s="155"/>
      <c r="J186" s="155"/>
      <c r="L186" s="582"/>
    </row>
    <row r="187" spans="1:12" ht="21" customHeight="1">
      <c r="A187" s="439">
        <v>851</v>
      </c>
      <c r="B187" s="73"/>
      <c r="C187" s="73"/>
      <c r="D187" s="92" t="s">
        <v>557</v>
      </c>
      <c r="E187" s="74">
        <v>6235000</v>
      </c>
      <c r="F187" s="75">
        <f>F188+F192+F203</f>
        <v>130027</v>
      </c>
      <c r="G187" s="75">
        <f>G188+G192+G203</f>
        <v>130027</v>
      </c>
      <c r="H187" s="75">
        <f t="shared" si="2"/>
        <v>6235000</v>
      </c>
      <c r="I187" s="47">
        <f>G187-F187</f>
        <v>0</v>
      </c>
      <c r="J187" s="47"/>
      <c r="L187" s="47"/>
    </row>
    <row r="188" spans="1:12" s="130" customFormat="1" ht="21" customHeight="1">
      <c r="A188" s="76"/>
      <c r="B188" s="77">
        <v>85121</v>
      </c>
      <c r="C188" s="77"/>
      <c r="D188" s="77" t="s">
        <v>335</v>
      </c>
      <c r="E188" s="137">
        <v>1003500</v>
      </c>
      <c r="F188" s="137">
        <f>F189</f>
        <v>10000</v>
      </c>
      <c r="G188" s="137">
        <f>G189</f>
        <v>10000</v>
      </c>
      <c r="H188" s="137">
        <f t="shared" si="2"/>
        <v>1003500</v>
      </c>
      <c r="I188" s="138"/>
      <c r="J188" s="138"/>
      <c r="L188" s="138"/>
    </row>
    <row r="189" spans="1:12" s="130" customFormat="1" ht="21" customHeight="1">
      <c r="A189" s="80"/>
      <c r="B189" s="474"/>
      <c r="C189" s="474"/>
      <c r="D189" s="862" t="s">
        <v>336</v>
      </c>
      <c r="E189" s="144">
        <v>783500</v>
      </c>
      <c r="F189" s="144">
        <f>SUM(F190:F191)</f>
        <v>10000</v>
      </c>
      <c r="G189" s="144">
        <f>SUM(G190:G191)</f>
        <v>10000</v>
      </c>
      <c r="H189" s="144">
        <f t="shared" si="2"/>
        <v>783500</v>
      </c>
      <c r="I189" s="138"/>
      <c r="J189" s="138"/>
      <c r="L189" s="138"/>
    </row>
    <row r="190" spans="1:12" s="158" customFormat="1" ht="21" customHeight="1">
      <c r="A190" s="204"/>
      <c r="B190" s="81"/>
      <c r="C190" s="321">
        <v>4170</v>
      </c>
      <c r="D190" s="468" t="s">
        <v>581</v>
      </c>
      <c r="E190" s="145"/>
      <c r="F190" s="145"/>
      <c r="G190" s="145">
        <v>10000</v>
      </c>
      <c r="H190" s="145">
        <f t="shared" si="2"/>
        <v>10000</v>
      </c>
      <c r="I190" s="157"/>
      <c r="J190" s="157"/>
      <c r="L190" s="157"/>
    </row>
    <row r="191" spans="1:12" s="130" customFormat="1" ht="21" customHeight="1">
      <c r="A191" s="76"/>
      <c r="B191" s="78"/>
      <c r="C191" s="82">
        <v>4280</v>
      </c>
      <c r="D191" s="82" t="s">
        <v>337</v>
      </c>
      <c r="E191" s="84">
        <v>783500</v>
      </c>
      <c r="F191" s="84">
        <v>10000</v>
      </c>
      <c r="G191" s="84"/>
      <c r="H191" s="152">
        <f t="shared" si="2"/>
        <v>773500</v>
      </c>
      <c r="I191" s="138"/>
      <c r="J191" s="138"/>
      <c r="L191" s="138"/>
    </row>
    <row r="192" spans="1:12" s="130" customFormat="1" ht="21" customHeight="1">
      <c r="A192" s="76"/>
      <c r="B192" s="78">
        <v>85154</v>
      </c>
      <c r="C192" s="78"/>
      <c r="D192" s="78" t="s">
        <v>580</v>
      </c>
      <c r="E192" s="137">
        <v>4345000</v>
      </c>
      <c r="F192" s="137">
        <f>F193</f>
        <v>116859</v>
      </c>
      <c r="G192" s="137">
        <f>G193</f>
        <v>116859</v>
      </c>
      <c r="H192" s="137">
        <f t="shared" si="2"/>
        <v>4345000</v>
      </c>
      <c r="I192" s="138"/>
      <c r="J192" s="138"/>
      <c r="L192" s="138"/>
    </row>
    <row r="193" spans="1:12" s="130" customFormat="1" ht="27.75" customHeight="1">
      <c r="A193" s="80"/>
      <c r="B193" s="474"/>
      <c r="C193" s="474"/>
      <c r="D193" s="631" t="s">
        <v>355</v>
      </c>
      <c r="E193" s="632">
        <v>4345000</v>
      </c>
      <c r="F193" s="632">
        <f>F194+F196</f>
        <v>116859</v>
      </c>
      <c r="G193" s="632">
        <f>G194+G196</f>
        <v>116859</v>
      </c>
      <c r="H193" s="632">
        <f t="shared" si="2"/>
        <v>4345000</v>
      </c>
      <c r="I193" s="138"/>
      <c r="J193" s="138"/>
      <c r="L193" s="138"/>
    </row>
    <row r="194" spans="1:12" s="158" customFormat="1" ht="27" customHeight="1">
      <c r="A194" s="204"/>
      <c r="B194" s="81"/>
      <c r="C194" s="66"/>
      <c r="D194" s="553" t="s">
        <v>338</v>
      </c>
      <c r="E194" s="554">
        <v>390000</v>
      </c>
      <c r="F194" s="554">
        <f>F195</f>
        <v>113000</v>
      </c>
      <c r="G194" s="554"/>
      <c r="H194" s="554">
        <f t="shared" si="2"/>
        <v>277000</v>
      </c>
      <c r="I194" s="157"/>
      <c r="J194" s="157"/>
      <c r="L194" s="157"/>
    </row>
    <row r="195" spans="1:12" s="158" customFormat="1" ht="18" customHeight="1">
      <c r="A195" s="204"/>
      <c r="B195" s="81"/>
      <c r="C195" s="82">
        <v>4280</v>
      </c>
      <c r="D195" s="83" t="s">
        <v>657</v>
      </c>
      <c r="E195" s="152">
        <v>183000</v>
      </c>
      <c r="F195" s="152">
        <v>113000</v>
      </c>
      <c r="G195" s="152"/>
      <c r="H195" s="152">
        <f t="shared" si="2"/>
        <v>70000</v>
      </c>
      <c r="I195" s="157"/>
      <c r="J195" s="157"/>
      <c r="L195" s="157"/>
    </row>
    <row r="196" spans="1:12" s="158" customFormat="1" ht="74.25" customHeight="1">
      <c r="A196" s="204"/>
      <c r="B196" s="81"/>
      <c r="C196" s="66"/>
      <c r="D196" s="819" t="s">
        <v>354</v>
      </c>
      <c r="E196" s="944">
        <v>1837000</v>
      </c>
      <c r="F196" s="944">
        <f>F197+F198+F199+F200+F202</f>
        <v>3859</v>
      </c>
      <c r="G196" s="944">
        <f>G197+G198+G199+G200+G202</f>
        <v>116859</v>
      </c>
      <c r="H196" s="944">
        <f t="shared" si="2"/>
        <v>1950000</v>
      </c>
      <c r="I196" s="157"/>
      <c r="J196" s="157"/>
      <c r="L196" s="157"/>
    </row>
    <row r="197" spans="1:12" s="130" customFormat="1" ht="21" customHeight="1">
      <c r="A197" s="205"/>
      <c r="B197" s="169"/>
      <c r="C197" s="555">
        <v>3000</v>
      </c>
      <c r="D197" s="555" t="s">
        <v>339</v>
      </c>
      <c r="E197" s="422">
        <v>5000</v>
      </c>
      <c r="F197" s="422"/>
      <c r="G197" s="422">
        <v>5700</v>
      </c>
      <c r="H197" s="152">
        <f t="shared" si="2"/>
        <v>10700</v>
      </c>
      <c r="I197" s="138"/>
      <c r="J197" s="138"/>
      <c r="L197" s="138"/>
    </row>
    <row r="198" spans="1:12" s="130" customFormat="1" ht="21" customHeight="1">
      <c r="A198" s="205"/>
      <c r="B198" s="169"/>
      <c r="C198" s="555">
        <v>4170</v>
      </c>
      <c r="D198" s="555" t="s">
        <v>581</v>
      </c>
      <c r="E198" s="422">
        <v>389399</v>
      </c>
      <c r="F198" s="422">
        <f>1700+1459</f>
        <v>3159</v>
      </c>
      <c r="G198" s="422"/>
      <c r="H198" s="152">
        <f t="shared" si="2"/>
        <v>386240</v>
      </c>
      <c r="I198" s="138"/>
      <c r="J198" s="138"/>
      <c r="L198" s="138"/>
    </row>
    <row r="199" spans="1:12" s="130" customFormat="1" ht="21" customHeight="1">
      <c r="A199" s="205"/>
      <c r="B199" s="169"/>
      <c r="C199" s="555">
        <v>4210</v>
      </c>
      <c r="D199" s="555" t="s">
        <v>570</v>
      </c>
      <c r="E199" s="422">
        <v>148609</v>
      </c>
      <c r="F199" s="422">
        <v>700</v>
      </c>
      <c r="G199" s="422"/>
      <c r="H199" s="152">
        <f t="shared" si="2"/>
        <v>147909</v>
      </c>
      <c r="I199" s="138"/>
      <c r="J199" s="138"/>
      <c r="L199" s="138"/>
    </row>
    <row r="200" spans="1:12" s="130" customFormat="1" ht="21" customHeight="1">
      <c r="A200" s="227"/>
      <c r="B200" s="78"/>
      <c r="C200" s="82">
        <v>4300</v>
      </c>
      <c r="D200" s="83" t="s">
        <v>571</v>
      </c>
      <c r="E200" s="84">
        <v>587454</v>
      </c>
      <c r="F200" s="84"/>
      <c r="G200" s="84">
        <f>55400+1459</f>
        <v>56859</v>
      </c>
      <c r="H200" s="84">
        <f t="shared" si="2"/>
        <v>644313</v>
      </c>
      <c r="I200" s="138"/>
      <c r="J200" s="138"/>
      <c r="L200" s="138"/>
    </row>
    <row r="201" spans="1:12" s="130" customFormat="1" ht="21" customHeight="1">
      <c r="A201" s="76"/>
      <c r="B201" s="457"/>
      <c r="C201" s="109"/>
      <c r="D201" s="1020" t="s">
        <v>107</v>
      </c>
      <c r="E201" s="1395"/>
      <c r="F201" s="1395"/>
      <c r="G201" s="1395">
        <v>54300</v>
      </c>
      <c r="H201" s="1395">
        <f t="shared" si="2"/>
        <v>54300</v>
      </c>
      <c r="I201" s="138"/>
      <c r="J201" s="138"/>
      <c r="L201" s="138"/>
    </row>
    <row r="202" spans="1:12" s="130" customFormat="1" ht="25.5">
      <c r="A202" s="76"/>
      <c r="B202" s="78"/>
      <c r="C202" s="140">
        <v>6170</v>
      </c>
      <c r="D202" s="83" t="s">
        <v>148</v>
      </c>
      <c r="E202" s="84"/>
      <c r="F202" s="84"/>
      <c r="G202" s="84">
        <f>G201</f>
        <v>54300</v>
      </c>
      <c r="H202" s="84">
        <f t="shared" si="2"/>
        <v>54300</v>
      </c>
      <c r="I202" s="138"/>
      <c r="J202" s="138"/>
      <c r="L202" s="138"/>
    </row>
    <row r="203" spans="1:12" s="130" customFormat="1" ht="21" customHeight="1">
      <c r="A203" s="76"/>
      <c r="B203" s="78">
        <v>85195</v>
      </c>
      <c r="C203" s="78"/>
      <c r="D203" s="78" t="s">
        <v>553</v>
      </c>
      <c r="E203" s="583">
        <v>420000</v>
      </c>
      <c r="F203" s="583">
        <f>F204</f>
        <v>3168</v>
      </c>
      <c r="G203" s="583">
        <f>G204</f>
        <v>3168</v>
      </c>
      <c r="H203" s="583">
        <f t="shared" si="2"/>
        <v>420000</v>
      </c>
      <c r="I203" s="138"/>
      <c r="J203" s="138"/>
      <c r="L203" s="138"/>
    </row>
    <row r="204" spans="1:12" s="130" customFormat="1" ht="29.25" customHeight="1">
      <c r="A204" s="80"/>
      <c r="B204" s="474"/>
      <c r="C204" s="474"/>
      <c r="D204" s="551" t="s">
        <v>673</v>
      </c>
      <c r="E204" s="552">
        <v>400000</v>
      </c>
      <c r="F204" s="552">
        <f>F205</f>
        <v>3168</v>
      </c>
      <c r="G204" s="552">
        <f>G205</f>
        <v>3168</v>
      </c>
      <c r="H204" s="552">
        <f t="shared" si="2"/>
        <v>400000</v>
      </c>
      <c r="I204" s="138"/>
      <c r="J204" s="138"/>
      <c r="L204" s="138"/>
    </row>
    <row r="205" spans="1:12" s="158" customFormat="1" ht="63.75">
      <c r="A205" s="204"/>
      <c r="B205" s="81"/>
      <c r="C205" s="66"/>
      <c r="D205" s="1221" t="s">
        <v>235</v>
      </c>
      <c r="E205" s="554">
        <v>16500</v>
      </c>
      <c r="F205" s="554">
        <f>SUM(F206:F207)</f>
        <v>3168</v>
      </c>
      <c r="G205" s="554">
        <f>SUM(G206:G207)</f>
        <v>3168</v>
      </c>
      <c r="H205" s="554">
        <f t="shared" si="2"/>
        <v>16500</v>
      </c>
      <c r="I205" s="157"/>
      <c r="J205" s="157"/>
      <c r="L205" s="157"/>
    </row>
    <row r="206" spans="1:12" s="158" customFormat="1" ht="21" customHeight="1">
      <c r="A206" s="204"/>
      <c r="B206" s="81"/>
      <c r="C206" s="82">
        <v>4170</v>
      </c>
      <c r="D206" s="590" t="s">
        <v>581</v>
      </c>
      <c r="E206" s="152">
        <v>4800</v>
      </c>
      <c r="F206" s="152"/>
      <c r="G206" s="152">
        <v>3168</v>
      </c>
      <c r="H206" s="152">
        <f t="shared" si="2"/>
        <v>7968</v>
      </c>
      <c r="I206" s="157"/>
      <c r="J206" s="157"/>
      <c r="L206" s="157"/>
    </row>
    <row r="207" spans="1:12" s="158" customFormat="1" ht="21" customHeight="1">
      <c r="A207" s="561"/>
      <c r="B207" s="82"/>
      <c r="C207" s="82">
        <v>4300</v>
      </c>
      <c r="D207" s="555" t="s">
        <v>571</v>
      </c>
      <c r="E207" s="152">
        <v>6000</v>
      </c>
      <c r="F207" s="152">
        <v>3168</v>
      </c>
      <c r="G207" s="152"/>
      <c r="H207" s="152">
        <f t="shared" si="2"/>
        <v>2832</v>
      </c>
      <c r="I207" s="157"/>
      <c r="J207" s="157"/>
      <c r="L207" s="157"/>
    </row>
    <row r="208" spans="1:12" ht="21" customHeight="1">
      <c r="A208" s="439">
        <v>852</v>
      </c>
      <c r="B208" s="73"/>
      <c r="C208" s="73"/>
      <c r="D208" s="92" t="s">
        <v>555</v>
      </c>
      <c r="E208" s="74">
        <v>98197293</v>
      </c>
      <c r="F208" s="75">
        <f>F209+F227+F234+F255+F239+F242+F260</f>
        <v>1105270</v>
      </c>
      <c r="G208" s="75">
        <f>G209+G227+G234+G255+G239+G242+G260</f>
        <v>2597002</v>
      </c>
      <c r="H208" s="75">
        <f t="shared" si="2"/>
        <v>99689025</v>
      </c>
      <c r="I208" s="47">
        <f>G208-F208</f>
        <v>1491732</v>
      </c>
      <c r="J208" s="47"/>
      <c r="L208" s="47"/>
    </row>
    <row r="209" spans="1:12" s="130" customFormat="1" ht="21" customHeight="1">
      <c r="A209" s="76"/>
      <c r="B209" s="77">
        <v>85201</v>
      </c>
      <c r="C209" s="77"/>
      <c r="D209" s="324" t="s">
        <v>190</v>
      </c>
      <c r="E209" s="137">
        <v>11293282</v>
      </c>
      <c r="F209" s="137">
        <f>F210+F213+F221</f>
        <v>68666</v>
      </c>
      <c r="G209" s="137">
        <f>G210+G213+G221</f>
        <v>984888</v>
      </c>
      <c r="H209" s="137">
        <f t="shared" si="2"/>
        <v>12209504</v>
      </c>
      <c r="I209" s="138"/>
      <c r="J209" s="138"/>
      <c r="L209" s="138"/>
    </row>
    <row r="210" spans="1:12" s="130" customFormat="1" ht="21" customHeight="1">
      <c r="A210" s="206"/>
      <c r="B210" s="215"/>
      <c r="C210" s="215"/>
      <c r="D210" s="968" t="s">
        <v>765</v>
      </c>
      <c r="E210" s="268">
        <v>3505700</v>
      </c>
      <c r="F210" s="268">
        <f>SUM(F211:F212)</f>
        <v>4500</v>
      </c>
      <c r="G210" s="268">
        <f>SUM(G211:G212)</f>
        <v>2665</v>
      </c>
      <c r="H210" s="268">
        <f aca="true" t="shared" si="3" ref="H210:H275">E210+G210-F210</f>
        <v>3503865</v>
      </c>
      <c r="I210" s="138"/>
      <c r="J210" s="138"/>
      <c r="L210" s="138"/>
    </row>
    <row r="211" spans="1:12" s="156" customFormat="1" ht="21" customHeight="1">
      <c r="A211" s="205"/>
      <c r="B211" s="169"/>
      <c r="C211" s="321">
        <v>4010</v>
      </c>
      <c r="D211" s="842" t="s">
        <v>521</v>
      </c>
      <c r="E211" s="154">
        <v>3249640</v>
      </c>
      <c r="F211" s="154">
        <v>4500</v>
      </c>
      <c r="G211" s="154"/>
      <c r="H211" s="154">
        <f t="shared" si="3"/>
        <v>3245140</v>
      </c>
      <c r="I211" s="155"/>
      <c r="J211" s="155"/>
      <c r="L211" s="155"/>
    </row>
    <row r="212" spans="1:12" s="156" customFormat="1" ht="21" customHeight="1">
      <c r="A212" s="205"/>
      <c r="B212" s="169"/>
      <c r="C212" s="321">
        <v>4170</v>
      </c>
      <c r="D212" s="322" t="s">
        <v>581</v>
      </c>
      <c r="E212" s="426">
        <v>17300</v>
      </c>
      <c r="F212" s="426"/>
      <c r="G212" s="426">
        <v>2665</v>
      </c>
      <c r="H212" s="426">
        <f t="shared" si="3"/>
        <v>19965</v>
      </c>
      <c r="I212" s="155"/>
      <c r="J212" s="155"/>
      <c r="L212" s="155"/>
    </row>
    <row r="213" spans="1:12" s="130" customFormat="1" ht="21" customHeight="1">
      <c r="A213" s="206"/>
      <c r="B213" s="215"/>
      <c r="C213" s="215"/>
      <c r="D213" s="968" t="s">
        <v>574</v>
      </c>
      <c r="E213" s="268">
        <v>1750582</v>
      </c>
      <c r="F213" s="268">
        <f>SUM(F214:F220)</f>
        <v>64166</v>
      </c>
      <c r="G213" s="268">
        <f>SUM(G214:G220)</f>
        <v>5000</v>
      </c>
      <c r="H213" s="268">
        <f t="shared" si="3"/>
        <v>1691416</v>
      </c>
      <c r="I213" s="138"/>
      <c r="J213" s="138"/>
      <c r="L213" s="138"/>
    </row>
    <row r="214" spans="1:12" s="156" customFormat="1" ht="21" customHeight="1">
      <c r="A214" s="205"/>
      <c r="B214" s="169"/>
      <c r="C214" s="169">
        <v>3020</v>
      </c>
      <c r="D214" s="842" t="s">
        <v>96</v>
      </c>
      <c r="E214" s="154">
        <v>9420</v>
      </c>
      <c r="F214" s="154">
        <v>795</v>
      </c>
      <c r="G214" s="154"/>
      <c r="H214" s="154">
        <f t="shared" si="3"/>
        <v>8625</v>
      </c>
      <c r="I214" s="155"/>
      <c r="J214" s="155"/>
      <c r="L214" s="155"/>
    </row>
    <row r="215" spans="1:12" s="156" customFormat="1" ht="21" customHeight="1">
      <c r="A215" s="205"/>
      <c r="B215" s="169"/>
      <c r="C215" s="161">
        <v>4210</v>
      </c>
      <c r="D215" s="997" t="s">
        <v>570</v>
      </c>
      <c r="E215" s="822">
        <v>198250</v>
      </c>
      <c r="F215" s="822">
        <f>5000-4500</f>
        <v>500</v>
      </c>
      <c r="G215" s="822"/>
      <c r="H215" s="822">
        <f t="shared" si="3"/>
        <v>197750</v>
      </c>
      <c r="I215" s="155"/>
      <c r="J215" s="155"/>
      <c r="L215" s="155"/>
    </row>
    <row r="216" spans="1:12" s="156" customFormat="1" ht="21" customHeight="1">
      <c r="A216" s="205"/>
      <c r="B216" s="169"/>
      <c r="C216" s="161">
        <v>4210</v>
      </c>
      <c r="D216" s="997" t="s">
        <v>695</v>
      </c>
      <c r="E216" s="822">
        <v>5000</v>
      </c>
      <c r="F216" s="822"/>
      <c r="G216" s="822">
        <v>5000</v>
      </c>
      <c r="H216" s="822">
        <f t="shared" si="3"/>
        <v>10000</v>
      </c>
      <c r="I216" s="155"/>
      <c r="J216" s="155"/>
      <c r="L216" s="155"/>
    </row>
    <row r="217" spans="1:12" s="156" customFormat="1" ht="21" customHeight="1">
      <c r="A217" s="205"/>
      <c r="B217" s="169"/>
      <c r="C217" s="161">
        <v>4230</v>
      </c>
      <c r="D217" s="161" t="s">
        <v>464</v>
      </c>
      <c r="E217" s="822">
        <v>20690</v>
      </c>
      <c r="F217" s="822">
        <v>500</v>
      </c>
      <c r="G217" s="822"/>
      <c r="H217" s="822">
        <f t="shared" si="3"/>
        <v>20190</v>
      </c>
      <c r="I217" s="155"/>
      <c r="J217" s="155"/>
      <c r="L217" s="155"/>
    </row>
    <row r="218" spans="1:12" s="156" customFormat="1" ht="21" customHeight="1">
      <c r="A218" s="205"/>
      <c r="B218" s="169"/>
      <c r="C218" s="161">
        <v>4240</v>
      </c>
      <c r="D218" s="161" t="s">
        <v>69</v>
      </c>
      <c r="E218" s="822">
        <v>21400</v>
      </c>
      <c r="F218" s="822">
        <v>370</v>
      </c>
      <c r="G218" s="822"/>
      <c r="H218" s="822">
        <f t="shared" si="3"/>
        <v>21030</v>
      </c>
      <c r="I218" s="155"/>
      <c r="J218" s="155"/>
      <c r="L218" s="155"/>
    </row>
    <row r="219" spans="1:12" s="156" customFormat="1" ht="21" customHeight="1">
      <c r="A219" s="205"/>
      <c r="B219" s="169"/>
      <c r="C219" s="161">
        <v>4260</v>
      </c>
      <c r="D219" s="161" t="s">
        <v>656</v>
      </c>
      <c r="E219" s="822">
        <v>297160</v>
      </c>
      <c r="F219" s="822">
        <v>1000</v>
      </c>
      <c r="G219" s="822"/>
      <c r="H219" s="822">
        <f t="shared" si="3"/>
        <v>296160</v>
      </c>
      <c r="I219" s="155"/>
      <c r="J219" s="155"/>
      <c r="L219" s="155"/>
    </row>
    <row r="220" spans="1:12" s="156" customFormat="1" ht="21" customHeight="1">
      <c r="A220" s="205"/>
      <c r="B220" s="169"/>
      <c r="C220" s="161">
        <v>4270</v>
      </c>
      <c r="D220" s="997" t="s">
        <v>447</v>
      </c>
      <c r="E220" s="822">
        <v>70000</v>
      </c>
      <c r="F220" s="822">
        <f>8500+52501</f>
        <v>61001</v>
      </c>
      <c r="G220" s="822"/>
      <c r="H220" s="822">
        <f t="shared" si="3"/>
        <v>8999</v>
      </c>
      <c r="I220" s="155"/>
      <c r="J220" s="155"/>
      <c r="L220" s="155"/>
    </row>
    <row r="221" spans="1:12" s="130" customFormat="1" ht="21" customHeight="1">
      <c r="A221" s="206"/>
      <c r="B221" s="215"/>
      <c r="C221" s="207"/>
      <c r="D221" s="981" t="s">
        <v>768</v>
      </c>
      <c r="E221" s="144">
        <v>1240000</v>
      </c>
      <c r="F221" s="144"/>
      <c r="G221" s="144">
        <f>G223+G225</f>
        <v>977223</v>
      </c>
      <c r="H221" s="144">
        <f t="shared" si="3"/>
        <v>2217223</v>
      </c>
      <c r="I221" s="138"/>
      <c r="J221" s="138">
        <f>G222+G230+G232+G224</f>
        <v>1398023</v>
      </c>
      <c r="L221" s="138"/>
    </row>
    <row r="222" spans="1:12" s="156" customFormat="1" ht="20.25" customHeight="1">
      <c r="A222" s="205"/>
      <c r="B222" s="169"/>
      <c r="C222" s="169"/>
      <c r="D222" s="1069" t="s">
        <v>230</v>
      </c>
      <c r="E222" s="467">
        <v>423000</v>
      </c>
      <c r="F222" s="467"/>
      <c r="G222" s="467">
        <f>295000+264000+32000+314323</f>
        <v>905323</v>
      </c>
      <c r="H222" s="467">
        <f t="shared" si="3"/>
        <v>1328323</v>
      </c>
      <c r="I222" s="155"/>
      <c r="J222" s="155"/>
      <c r="L222" s="155"/>
    </row>
    <row r="223" spans="1:12" s="156" customFormat="1" ht="21" customHeight="1">
      <c r="A223" s="205"/>
      <c r="B223" s="169"/>
      <c r="C223" s="321">
        <v>6050</v>
      </c>
      <c r="D223" s="1264" t="s">
        <v>762</v>
      </c>
      <c r="E223" s="426">
        <v>1223000</v>
      </c>
      <c r="F223" s="426"/>
      <c r="G223" s="426">
        <f>G222</f>
        <v>905323</v>
      </c>
      <c r="H223" s="426">
        <f t="shared" si="3"/>
        <v>2128323</v>
      </c>
      <c r="I223" s="155"/>
      <c r="J223" s="155"/>
      <c r="L223" s="155"/>
    </row>
    <row r="224" spans="1:12" s="156" customFormat="1" ht="21" customHeight="1">
      <c r="A224" s="205"/>
      <c r="B224" s="169"/>
      <c r="C224" s="81"/>
      <c r="D224" s="1265" t="s">
        <v>107</v>
      </c>
      <c r="E224" s="469">
        <v>17000</v>
      </c>
      <c r="F224" s="469"/>
      <c r="G224" s="469">
        <f>50000+21900</f>
        <v>71900</v>
      </c>
      <c r="H224" s="1266">
        <f t="shared" si="3"/>
        <v>88900</v>
      </c>
      <c r="I224" s="155"/>
      <c r="J224" s="155"/>
      <c r="L224" s="155"/>
    </row>
    <row r="225" spans="1:12" s="156" customFormat="1" ht="21" customHeight="1">
      <c r="A225" s="228"/>
      <c r="B225" s="321"/>
      <c r="C225" s="82">
        <v>6060</v>
      </c>
      <c r="D225" s="555" t="s">
        <v>607</v>
      </c>
      <c r="E225" s="426">
        <v>17000</v>
      </c>
      <c r="F225" s="426"/>
      <c r="G225" s="426">
        <f>G224</f>
        <v>71900</v>
      </c>
      <c r="H225" s="426">
        <f t="shared" si="3"/>
        <v>88900</v>
      </c>
      <c r="I225" s="155"/>
      <c r="J225" s="155"/>
      <c r="L225" s="155"/>
    </row>
    <row r="226" spans="1:12" s="156" customFormat="1" ht="12.75" customHeight="1">
      <c r="A226" s="1372"/>
      <c r="B226" s="1359"/>
      <c r="C226" s="1365"/>
      <c r="D226" s="1369"/>
      <c r="E226" s="1373"/>
      <c r="F226" s="1373"/>
      <c r="G226" s="1373"/>
      <c r="H226" s="1373"/>
      <c r="I226" s="155"/>
      <c r="J226" s="155"/>
      <c r="L226" s="155"/>
    </row>
    <row r="227" spans="1:12" s="130" customFormat="1" ht="21" customHeight="1">
      <c r="A227" s="76"/>
      <c r="B227" s="78">
        <v>85202</v>
      </c>
      <c r="C227" s="78"/>
      <c r="D227" s="437" t="s">
        <v>82</v>
      </c>
      <c r="E227" s="583">
        <v>18961401</v>
      </c>
      <c r="F227" s="583"/>
      <c r="G227" s="583">
        <f>G228</f>
        <v>655950</v>
      </c>
      <c r="H227" s="583">
        <f t="shared" si="3"/>
        <v>19617351</v>
      </c>
      <c r="I227" s="138"/>
      <c r="J227" s="138"/>
      <c r="L227" s="138"/>
    </row>
    <row r="228" spans="1:12" s="130" customFormat="1" ht="21" customHeight="1">
      <c r="A228" s="206"/>
      <c r="B228" s="215"/>
      <c r="C228" s="66"/>
      <c r="D228" s="474" t="s">
        <v>768</v>
      </c>
      <c r="E228" s="144">
        <v>3570053</v>
      </c>
      <c r="F228" s="144"/>
      <c r="G228" s="144">
        <f>G231+G233</f>
        <v>655950</v>
      </c>
      <c r="H228" s="144">
        <f t="shared" si="3"/>
        <v>4226003</v>
      </c>
      <c r="I228" s="138"/>
      <c r="J228" s="138"/>
      <c r="L228" s="138"/>
    </row>
    <row r="229" spans="1:12" s="156" customFormat="1" ht="19.5" customHeight="1">
      <c r="A229" s="205"/>
      <c r="B229" s="169"/>
      <c r="C229" s="81"/>
      <c r="D229" s="1265" t="s">
        <v>167</v>
      </c>
      <c r="E229" s="467">
        <v>2015695</v>
      </c>
      <c r="F229" s="467"/>
      <c r="G229" s="467">
        <f>235150</f>
        <v>235150</v>
      </c>
      <c r="H229" s="467">
        <f t="shared" si="3"/>
        <v>2250845</v>
      </c>
      <c r="I229" s="155"/>
      <c r="J229" s="155"/>
      <c r="L229" s="155"/>
    </row>
    <row r="230" spans="1:12" s="156" customFormat="1" ht="25.5">
      <c r="A230" s="205"/>
      <c r="B230" s="169"/>
      <c r="C230" s="81"/>
      <c r="D230" s="1021" t="s">
        <v>231</v>
      </c>
      <c r="E230" s="469">
        <v>279058</v>
      </c>
      <c r="F230" s="469"/>
      <c r="G230" s="469">
        <f>47600+97400</f>
        <v>145000</v>
      </c>
      <c r="H230" s="469">
        <f t="shared" si="3"/>
        <v>424058</v>
      </c>
      <c r="I230" s="155"/>
      <c r="J230" s="155"/>
      <c r="L230" s="155"/>
    </row>
    <row r="231" spans="1:12" s="156" customFormat="1" ht="21" customHeight="1">
      <c r="A231" s="205"/>
      <c r="B231" s="169"/>
      <c r="C231" s="82">
        <v>6050</v>
      </c>
      <c r="D231" s="83" t="s">
        <v>762</v>
      </c>
      <c r="E231" s="426">
        <v>3293553</v>
      </c>
      <c r="F231" s="426"/>
      <c r="G231" s="426">
        <f>G229+G230</f>
        <v>380150</v>
      </c>
      <c r="H231" s="426">
        <f t="shared" si="3"/>
        <v>3673703</v>
      </c>
      <c r="I231" s="155"/>
      <c r="J231" s="155"/>
      <c r="L231" s="155"/>
    </row>
    <row r="232" spans="1:12" s="156" customFormat="1" ht="20.25" customHeight="1">
      <c r="A232" s="205"/>
      <c r="B232" s="169"/>
      <c r="C232" s="81"/>
      <c r="D232" s="1265" t="s">
        <v>107</v>
      </c>
      <c r="E232" s="469">
        <v>276500</v>
      </c>
      <c r="F232" s="469"/>
      <c r="G232" s="469">
        <f>18100+36900+220800</f>
        <v>275800</v>
      </c>
      <c r="H232" s="1266">
        <f t="shared" si="3"/>
        <v>552300</v>
      </c>
      <c r="I232" s="155"/>
      <c r="J232" s="155"/>
      <c r="L232" s="155"/>
    </row>
    <row r="233" spans="1:12" s="156" customFormat="1" ht="21" customHeight="1">
      <c r="A233" s="205"/>
      <c r="B233" s="321"/>
      <c r="C233" s="82">
        <v>6060</v>
      </c>
      <c r="D233" s="555" t="s">
        <v>607</v>
      </c>
      <c r="E233" s="426">
        <v>276500</v>
      </c>
      <c r="F233" s="426"/>
      <c r="G233" s="426">
        <f>G232</f>
        <v>275800</v>
      </c>
      <c r="H233" s="426">
        <f t="shared" si="3"/>
        <v>552300</v>
      </c>
      <c r="I233" s="155"/>
      <c r="J233" s="155"/>
      <c r="L233" s="155"/>
    </row>
    <row r="234" spans="1:12" s="130" customFormat="1" ht="21" customHeight="1">
      <c r="A234" s="76"/>
      <c r="B234" s="77">
        <v>85204</v>
      </c>
      <c r="C234" s="77"/>
      <c r="D234" s="324" t="s">
        <v>440</v>
      </c>
      <c r="E234" s="137">
        <v>5800000</v>
      </c>
      <c r="F234" s="137"/>
      <c r="G234" s="137">
        <f>G237+G235</f>
        <v>135500</v>
      </c>
      <c r="H234" s="137">
        <f t="shared" si="3"/>
        <v>5935500</v>
      </c>
      <c r="I234" s="138"/>
      <c r="J234" s="138"/>
      <c r="L234" s="138"/>
    </row>
    <row r="235" spans="1:12" s="130" customFormat="1" ht="18.75" customHeight="1">
      <c r="A235" s="206"/>
      <c r="B235" s="207"/>
      <c r="C235" s="474"/>
      <c r="D235" s="1178" t="s">
        <v>469</v>
      </c>
      <c r="E235" s="144">
        <v>5400000</v>
      </c>
      <c r="F235" s="144"/>
      <c r="G235" s="144">
        <f>G236</f>
        <v>129000</v>
      </c>
      <c r="H235" s="144">
        <f t="shared" si="3"/>
        <v>5529000</v>
      </c>
      <c r="I235" s="138"/>
      <c r="J235" s="138"/>
      <c r="L235" s="138"/>
    </row>
    <row r="236" spans="1:12" s="156" customFormat="1" ht="18.75" customHeight="1">
      <c r="A236" s="205"/>
      <c r="B236" s="169"/>
      <c r="C236" s="169">
        <v>3110</v>
      </c>
      <c r="D236" s="1107" t="s">
        <v>225</v>
      </c>
      <c r="E236" s="154">
        <v>5359950</v>
      </c>
      <c r="F236" s="154"/>
      <c r="G236" s="154">
        <v>129000</v>
      </c>
      <c r="H236" s="154">
        <f t="shared" si="3"/>
        <v>5488950</v>
      </c>
      <c r="I236" s="155"/>
      <c r="J236" s="155"/>
      <c r="L236" s="155"/>
    </row>
    <row r="237" spans="1:12" s="130" customFormat="1" ht="25.5">
      <c r="A237" s="206"/>
      <c r="B237" s="215"/>
      <c r="C237" s="474"/>
      <c r="D237" s="557" t="s">
        <v>441</v>
      </c>
      <c r="E237" s="144">
        <v>400000</v>
      </c>
      <c r="F237" s="144"/>
      <c r="G237" s="144">
        <f>G238</f>
        <v>6500</v>
      </c>
      <c r="H237" s="144">
        <f t="shared" si="3"/>
        <v>406500</v>
      </c>
      <c r="I237" s="138"/>
      <c r="J237" s="138"/>
      <c r="L237" s="138"/>
    </row>
    <row r="238" spans="1:12" s="156" customFormat="1" ht="38.25">
      <c r="A238" s="205"/>
      <c r="B238" s="321"/>
      <c r="C238" s="82">
        <v>2320</v>
      </c>
      <c r="D238" s="549" t="s">
        <v>442</v>
      </c>
      <c r="E238" s="154">
        <v>400000</v>
      </c>
      <c r="F238" s="154"/>
      <c r="G238" s="154">
        <v>6500</v>
      </c>
      <c r="H238" s="154">
        <f t="shared" si="3"/>
        <v>406500</v>
      </c>
      <c r="I238" s="155"/>
      <c r="J238" s="155"/>
      <c r="L238" s="155"/>
    </row>
    <row r="239" spans="1:12" s="130" customFormat="1" ht="25.5">
      <c r="A239" s="76"/>
      <c r="B239" s="77">
        <v>85214</v>
      </c>
      <c r="C239" s="77"/>
      <c r="D239" s="1172" t="s">
        <v>699</v>
      </c>
      <c r="E239" s="137">
        <v>9314344</v>
      </c>
      <c r="F239" s="137"/>
      <c r="G239" s="137">
        <f>G240</f>
        <v>500000</v>
      </c>
      <c r="H239" s="137">
        <f t="shared" si="3"/>
        <v>9814344</v>
      </c>
      <c r="I239" s="138"/>
      <c r="J239" s="138"/>
      <c r="L239" s="138"/>
    </row>
    <row r="240" spans="1:12" s="130" customFormat="1" ht="20.25" customHeight="1">
      <c r="A240" s="206"/>
      <c r="B240" s="207"/>
      <c r="C240" s="474"/>
      <c r="D240" s="211" t="s">
        <v>469</v>
      </c>
      <c r="E240" s="144">
        <v>9314344</v>
      </c>
      <c r="F240" s="144"/>
      <c r="G240" s="144">
        <f>G241</f>
        <v>500000</v>
      </c>
      <c r="H240" s="144">
        <f t="shared" si="3"/>
        <v>9814344</v>
      </c>
      <c r="I240" s="138"/>
      <c r="J240" s="138"/>
      <c r="L240" s="138"/>
    </row>
    <row r="241" spans="1:12" s="156" customFormat="1" ht="20.25" customHeight="1">
      <c r="A241" s="205"/>
      <c r="B241" s="321"/>
      <c r="C241" s="82">
        <v>3110</v>
      </c>
      <c r="D241" s="82" t="s">
        <v>225</v>
      </c>
      <c r="E241" s="154">
        <v>9314344</v>
      </c>
      <c r="F241" s="154"/>
      <c r="G241" s="154">
        <v>500000</v>
      </c>
      <c r="H241" s="154">
        <f t="shared" si="3"/>
        <v>9814344</v>
      </c>
      <c r="I241" s="155"/>
      <c r="J241" s="155"/>
      <c r="L241" s="155"/>
    </row>
    <row r="242" spans="1:12" s="130" customFormat="1" ht="21" customHeight="1">
      <c r="A242" s="76"/>
      <c r="B242" s="77">
        <v>85219</v>
      </c>
      <c r="C242" s="77"/>
      <c r="D242" s="1174" t="s">
        <v>133</v>
      </c>
      <c r="E242" s="137">
        <v>13189201</v>
      </c>
      <c r="F242" s="137">
        <f>F243+F246+F251</f>
        <v>35000</v>
      </c>
      <c r="G242" s="137">
        <f>G243+G246+G251</f>
        <v>320664</v>
      </c>
      <c r="H242" s="137">
        <f t="shared" si="3"/>
        <v>13474865</v>
      </c>
      <c r="I242" s="138"/>
      <c r="J242" s="138"/>
      <c r="L242" s="138"/>
    </row>
    <row r="243" spans="1:12" s="130" customFormat="1" ht="18.75" customHeight="1">
      <c r="A243" s="206"/>
      <c r="B243" s="207"/>
      <c r="C243" s="474"/>
      <c r="D243" s="1178" t="s">
        <v>278</v>
      </c>
      <c r="E243" s="144">
        <v>9177634</v>
      </c>
      <c r="F243" s="144"/>
      <c r="G243" s="144">
        <f>SUM(G244:G245)</f>
        <v>174276</v>
      </c>
      <c r="H243" s="144">
        <f t="shared" si="3"/>
        <v>9351910</v>
      </c>
      <c r="I243" s="138"/>
      <c r="J243" s="138"/>
      <c r="L243" s="138"/>
    </row>
    <row r="244" spans="1:12" s="156" customFormat="1" ht="18.75" customHeight="1">
      <c r="A244" s="205"/>
      <c r="B244" s="169"/>
      <c r="C244" s="169">
        <v>4010</v>
      </c>
      <c r="D244" s="1107" t="s">
        <v>521</v>
      </c>
      <c r="E244" s="154">
        <v>8514634</v>
      </c>
      <c r="F244" s="154"/>
      <c r="G244" s="154">
        <v>150000</v>
      </c>
      <c r="H244" s="154">
        <f t="shared" si="3"/>
        <v>8664634</v>
      </c>
      <c r="I244" s="155"/>
      <c r="J244" s="155"/>
      <c r="L244" s="155"/>
    </row>
    <row r="245" spans="1:12" s="156" customFormat="1" ht="18.75" customHeight="1">
      <c r="A245" s="205"/>
      <c r="B245" s="169"/>
      <c r="C245" s="161">
        <v>4170</v>
      </c>
      <c r="D245" s="998" t="s">
        <v>581</v>
      </c>
      <c r="E245" s="822">
        <v>70000</v>
      </c>
      <c r="F245" s="822"/>
      <c r="G245" s="822">
        <v>24276</v>
      </c>
      <c r="H245" s="822">
        <f t="shared" si="3"/>
        <v>94276</v>
      </c>
      <c r="I245" s="155"/>
      <c r="J245" s="155"/>
      <c r="L245" s="155"/>
    </row>
    <row r="246" spans="1:12" s="130" customFormat="1" ht="18.75" customHeight="1">
      <c r="A246" s="206"/>
      <c r="B246" s="215"/>
      <c r="C246" s="66"/>
      <c r="D246" s="1177" t="s">
        <v>574</v>
      </c>
      <c r="E246" s="268">
        <v>1535901</v>
      </c>
      <c r="F246" s="268">
        <f>SUM(F247:F250)</f>
        <v>35000</v>
      </c>
      <c r="G246" s="268">
        <f>SUM(G247:G250)</f>
        <v>116343</v>
      </c>
      <c r="H246" s="268">
        <f t="shared" si="3"/>
        <v>1617244</v>
      </c>
      <c r="I246" s="138"/>
      <c r="J246" s="138"/>
      <c r="L246" s="138"/>
    </row>
    <row r="247" spans="1:12" s="156" customFormat="1" ht="18.75" customHeight="1">
      <c r="A247" s="205"/>
      <c r="B247" s="169"/>
      <c r="C247" s="169">
        <v>4210</v>
      </c>
      <c r="D247" s="1075" t="s">
        <v>570</v>
      </c>
      <c r="E247" s="154">
        <v>152821</v>
      </c>
      <c r="F247" s="154"/>
      <c r="G247" s="154">
        <v>77198</v>
      </c>
      <c r="H247" s="154">
        <f t="shared" si="3"/>
        <v>230019</v>
      </c>
      <c r="I247" s="155"/>
      <c r="J247" s="155"/>
      <c r="L247" s="155"/>
    </row>
    <row r="248" spans="1:12" s="156" customFormat="1" ht="25.5">
      <c r="A248" s="205"/>
      <c r="B248" s="169"/>
      <c r="C248" s="161">
        <v>4270</v>
      </c>
      <c r="D248" s="998" t="s">
        <v>470</v>
      </c>
      <c r="E248" s="822">
        <v>40000</v>
      </c>
      <c r="F248" s="822">
        <v>35000</v>
      </c>
      <c r="G248" s="822"/>
      <c r="H248" s="822">
        <f t="shared" si="3"/>
        <v>5000</v>
      </c>
      <c r="I248" s="155"/>
      <c r="J248" s="155"/>
      <c r="L248" s="155"/>
    </row>
    <row r="249" spans="1:12" s="156" customFormat="1" ht="18.75" customHeight="1">
      <c r="A249" s="205"/>
      <c r="B249" s="169"/>
      <c r="C249" s="161">
        <v>4300</v>
      </c>
      <c r="D249" s="998" t="s">
        <v>571</v>
      </c>
      <c r="E249" s="822">
        <v>763655</v>
      </c>
      <c r="F249" s="822"/>
      <c r="G249" s="822">
        <v>36345</v>
      </c>
      <c r="H249" s="822">
        <f t="shared" si="3"/>
        <v>800000</v>
      </c>
      <c r="I249" s="155"/>
      <c r="J249" s="155"/>
      <c r="L249" s="155"/>
    </row>
    <row r="250" spans="1:12" s="156" customFormat="1" ht="18.75" customHeight="1">
      <c r="A250" s="205"/>
      <c r="B250" s="169"/>
      <c r="C250" s="161">
        <v>4420</v>
      </c>
      <c r="D250" s="1111" t="s">
        <v>622</v>
      </c>
      <c r="E250" s="822">
        <v>2000</v>
      </c>
      <c r="F250" s="822"/>
      <c r="G250" s="822">
        <v>2800</v>
      </c>
      <c r="H250" s="822">
        <f t="shared" si="3"/>
        <v>4800</v>
      </c>
      <c r="I250" s="155"/>
      <c r="J250" s="155"/>
      <c r="L250" s="155"/>
    </row>
    <row r="251" spans="1:12" s="130" customFormat="1" ht="18.75" customHeight="1">
      <c r="A251" s="206"/>
      <c r="B251" s="215"/>
      <c r="C251" s="66"/>
      <c r="D251" s="1177" t="s">
        <v>599</v>
      </c>
      <c r="E251" s="268">
        <v>1782483</v>
      </c>
      <c r="F251" s="268"/>
      <c r="G251" s="268">
        <f>SUM(G252:G253)</f>
        <v>30045</v>
      </c>
      <c r="H251" s="268">
        <f t="shared" si="3"/>
        <v>1812528</v>
      </c>
      <c r="I251" s="138"/>
      <c r="J251" s="138"/>
      <c r="L251" s="138"/>
    </row>
    <row r="252" spans="1:12" s="156" customFormat="1" ht="18.75" customHeight="1">
      <c r="A252" s="205"/>
      <c r="B252" s="169"/>
      <c r="C252" s="321">
        <v>4110</v>
      </c>
      <c r="D252" s="320" t="s">
        <v>653</v>
      </c>
      <c r="E252" s="154">
        <v>1564760</v>
      </c>
      <c r="F252" s="154"/>
      <c r="G252" s="154">
        <v>26370</v>
      </c>
      <c r="H252" s="154">
        <f t="shared" si="3"/>
        <v>1591130</v>
      </c>
      <c r="I252" s="155"/>
      <c r="J252" s="155"/>
      <c r="L252" s="155"/>
    </row>
    <row r="253" spans="1:12" s="156" customFormat="1" ht="20.25" customHeight="1">
      <c r="A253" s="228"/>
      <c r="B253" s="321"/>
      <c r="C253" s="82">
        <v>4120</v>
      </c>
      <c r="D253" s="468" t="s">
        <v>654</v>
      </c>
      <c r="E253" s="426">
        <v>217723</v>
      </c>
      <c r="F253" s="426"/>
      <c r="G253" s="426">
        <v>3675</v>
      </c>
      <c r="H253" s="426">
        <f t="shared" si="3"/>
        <v>221398</v>
      </c>
      <c r="I253" s="155"/>
      <c r="J253" s="155"/>
      <c r="L253" s="155"/>
    </row>
    <row r="254" spans="1:12" s="156" customFormat="1" ht="15" customHeight="1">
      <c r="A254" s="1372"/>
      <c r="B254" s="1359"/>
      <c r="C254" s="1365"/>
      <c r="D254" s="1379"/>
      <c r="E254" s="1373"/>
      <c r="F254" s="1373"/>
      <c r="G254" s="1373"/>
      <c r="H254" s="1373"/>
      <c r="I254" s="155"/>
      <c r="J254" s="155"/>
      <c r="L254" s="155"/>
    </row>
    <row r="255" spans="1:12" s="130" customFormat="1" ht="24" customHeight="1">
      <c r="A255" s="76"/>
      <c r="B255" s="78">
        <v>85220</v>
      </c>
      <c r="C255" s="78"/>
      <c r="D255" s="975" t="s">
        <v>725</v>
      </c>
      <c r="E255" s="583">
        <v>789000</v>
      </c>
      <c r="F255" s="583">
        <f>F256</f>
        <v>86940</v>
      </c>
      <c r="G255" s="583"/>
      <c r="H255" s="583">
        <f t="shared" si="3"/>
        <v>702060</v>
      </c>
      <c r="I255" s="138"/>
      <c r="J255" s="138"/>
      <c r="L255" s="138"/>
    </row>
    <row r="256" spans="1:12" s="230" customFormat="1" ht="18" customHeight="1">
      <c r="A256" s="206"/>
      <c r="B256" s="207"/>
      <c r="C256" s="207"/>
      <c r="D256" s="207" t="s">
        <v>444</v>
      </c>
      <c r="E256" s="424">
        <v>379000</v>
      </c>
      <c r="F256" s="424">
        <f>F257</f>
        <v>86940</v>
      </c>
      <c r="G256" s="424"/>
      <c r="H256" s="424">
        <f t="shared" si="3"/>
        <v>292060</v>
      </c>
      <c r="I256" s="210"/>
      <c r="J256" s="210"/>
      <c r="L256" s="210"/>
    </row>
    <row r="257" spans="1:12" s="230" customFormat="1" ht="21" customHeight="1">
      <c r="A257" s="206"/>
      <c r="B257" s="215"/>
      <c r="C257" s="215"/>
      <c r="D257" s="982" t="s">
        <v>574</v>
      </c>
      <c r="E257" s="983">
        <v>264000</v>
      </c>
      <c r="F257" s="983">
        <f>F258+F259</f>
        <v>86940</v>
      </c>
      <c r="G257" s="983"/>
      <c r="H257" s="983">
        <f t="shared" si="3"/>
        <v>177060</v>
      </c>
      <c r="I257" s="210"/>
      <c r="J257" s="210"/>
      <c r="L257" s="210"/>
    </row>
    <row r="258" spans="1:12" s="156" customFormat="1" ht="20.25" customHeight="1">
      <c r="A258" s="205"/>
      <c r="B258" s="169"/>
      <c r="C258" s="321">
        <v>4210</v>
      </c>
      <c r="D258" s="984" t="s">
        <v>570</v>
      </c>
      <c r="E258" s="985">
        <v>124100</v>
      </c>
      <c r="F258" s="985">
        <v>36940</v>
      </c>
      <c r="G258" s="985"/>
      <c r="H258" s="985">
        <f t="shared" si="3"/>
        <v>87160</v>
      </c>
      <c r="I258" s="155"/>
      <c r="J258" s="155"/>
      <c r="L258" s="155"/>
    </row>
    <row r="259" spans="1:12" s="156" customFormat="1" ht="21" customHeight="1">
      <c r="A259" s="205"/>
      <c r="B259" s="321"/>
      <c r="C259" s="321">
        <v>4270</v>
      </c>
      <c r="D259" s="321" t="s">
        <v>445</v>
      </c>
      <c r="E259" s="426">
        <v>95000</v>
      </c>
      <c r="F259" s="426">
        <v>50000</v>
      </c>
      <c r="G259" s="426"/>
      <c r="H259" s="426">
        <f t="shared" si="3"/>
        <v>45000</v>
      </c>
      <c r="I259" s="155"/>
      <c r="J259" s="155"/>
      <c r="L259" s="155"/>
    </row>
    <row r="260" spans="1:12" s="130" customFormat="1" ht="21" customHeight="1">
      <c r="A260" s="76"/>
      <c r="B260" s="77">
        <v>85228</v>
      </c>
      <c r="C260" s="77"/>
      <c r="D260" s="1174" t="s">
        <v>142</v>
      </c>
      <c r="E260" s="137">
        <v>10000000</v>
      </c>
      <c r="F260" s="137">
        <f>F261</f>
        <v>914664</v>
      </c>
      <c r="G260" s="137"/>
      <c r="H260" s="137">
        <f t="shared" si="3"/>
        <v>9085336</v>
      </c>
      <c r="I260" s="138"/>
      <c r="J260" s="138"/>
      <c r="L260" s="138"/>
    </row>
    <row r="261" spans="1:12" s="130" customFormat="1" ht="18.75" customHeight="1">
      <c r="A261" s="206"/>
      <c r="B261" s="207"/>
      <c r="C261" s="474"/>
      <c r="D261" s="748" t="s">
        <v>471</v>
      </c>
      <c r="E261" s="144">
        <v>10000000</v>
      </c>
      <c r="F261" s="144">
        <f>F262</f>
        <v>914664</v>
      </c>
      <c r="G261" s="144"/>
      <c r="H261" s="144">
        <f t="shared" si="3"/>
        <v>9085336</v>
      </c>
      <c r="I261" s="138"/>
      <c r="J261" s="138"/>
      <c r="L261" s="138"/>
    </row>
    <row r="262" spans="1:12" s="156" customFormat="1" ht="18.75" customHeight="1">
      <c r="A262" s="205"/>
      <c r="B262" s="169"/>
      <c r="C262" s="321">
        <v>4300</v>
      </c>
      <c r="D262" s="320" t="s">
        <v>571</v>
      </c>
      <c r="E262" s="154">
        <v>10000000</v>
      </c>
      <c r="F262" s="154">
        <v>914664</v>
      </c>
      <c r="G262" s="154"/>
      <c r="H262" s="154">
        <f t="shared" si="3"/>
        <v>9085336</v>
      </c>
      <c r="I262" s="155"/>
      <c r="J262" s="155"/>
      <c r="L262" s="155"/>
    </row>
    <row r="263" spans="1:12" ht="21" customHeight="1">
      <c r="A263" s="72">
        <v>853</v>
      </c>
      <c r="B263" s="89"/>
      <c r="C263" s="73"/>
      <c r="D263" s="92" t="s">
        <v>598</v>
      </c>
      <c r="E263" s="74">
        <v>9892267</v>
      </c>
      <c r="F263" s="75">
        <f>F264+F270</f>
        <v>3300</v>
      </c>
      <c r="G263" s="75">
        <f>G264+G270</f>
        <v>51300</v>
      </c>
      <c r="H263" s="75">
        <f t="shared" si="3"/>
        <v>9940267</v>
      </c>
      <c r="I263" s="47"/>
      <c r="J263" s="47"/>
      <c r="L263" s="47"/>
    </row>
    <row r="264" spans="1:12" s="95" customFormat="1" ht="20.25" customHeight="1">
      <c r="A264" s="76"/>
      <c r="B264" s="77">
        <v>85305</v>
      </c>
      <c r="C264" s="77"/>
      <c r="D264" s="78" t="s">
        <v>436</v>
      </c>
      <c r="E264" s="137">
        <v>5254800</v>
      </c>
      <c r="F264" s="79"/>
      <c r="G264" s="79">
        <f>G265+G267</f>
        <v>48000</v>
      </c>
      <c r="H264" s="79">
        <f t="shared" si="3"/>
        <v>5302800</v>
      </c>
      <c r="I264" s="138"/>
      <c r="J264" s="138"/>
      <c r="L264" s="94"/>
    </row>
    <row r="265" spans="1:12" s="579" customFormat="1" ht="18.75" customHeight="1">
      <c r="A265" s="206"/>
      <c r="B265" s="207"/>
      <c r="C265" s="207"/>
      <c r="D265" s="992" t="s">
        <v>574</v>
      </c>
      <c r="E265" s="578">
        <v>704000</v>
      </c>
      <c r="F265" s="209"/>
      <c r="G265" s="209">
        <f>G266</f>
        <v>40000</v>
      </c>
      <c r="H265" s="209">
        <f t="shared" si="3"/>
        <v>744000</v>
      </c>
      <c r="I265" s="210"/>
      <c r="J265" s="210"/>
      <c r="L265" s="580"/>
    </row>
    <row r="266" spans="1:12" s="581" customFormat="1" ht="18.75" customHeight="1">
      <c r="A266" s="205"/>
      <c r="B266" s="169"/>
      <c r="C266" s="321">
        <v>4260</v>
      </c>
      <c r="D266" s="817" t="s">
        <v>656</v>
      </c>
      <c r="E266" s="426">
        <v>320000</v>
      </c>
      <c r="F266" s="323"/>
      <c r="G266" s="323">
        <v>40000</v>
      </c>
      <c r="H266" s="323">
        <f t="shared" si="3"/>
        <v>360000</v>
      </c>
      <c r="I266" s="155"/>
      <c r="J266" s="155"/>
      <c r="L266" s="582"/>
    </row>
    <row r="267" spans="1:12" s="130" customFormat="1" ht="21" customHeight="1">
      <c r="A267" s="80"/>
      <c r="B267" s="66"/>
      <c r="C267" s="66"/>
      <c r="D267" s="592" t="s">
        <v>768</v>
      </c>
      <c r="E267" s="943">
        <v>300000</v>
      </c>
      <c r="F267" s="943"/>
      <c r="G267" s="943">
        <f>G269</f>
        <v>8000</v>
      </c>
      <c r="H267" s="943">
        <f t="shared" si="3"/>
        <v>308000</v>
      </c>
      <c r="I267" s="138"/>
      <c r="J267" s="138"/>
      <c r="L267" s="138"/>
    </row>
    <row r="268" spans="1:12" s="156" customFormat="1" ht="21" customHeight="1">
      <c r="A268" s="205"/>
      <c r="B268" s="169"/>
      <c r="C268" s="169"/>
      <c r="D268" s="572" t="s">
        <v>107</v>
      </c>
      <c r="E268" s="467"/>
      <c r="F268" s="467"/>
      <c r="G268" s="467">
        <v>8000</v>
      </c>
      <c r="H268" s="467">
        <f t="shared" si="3"/>
        <v>8000</v>
      </c>
      <c r="I268" s="155"/>
      <c r="J268" s="155"/>
      <c r="L268" s="155"/>
    </row>
    <row r="269" spans="1:12" s="156" customFormat="1" ht="21" customHeight="1">
      <c r="A269" s="205"/>
      <c r="B269" s="321"/>
      <c r="C269" s="321">
        <v>6060</v>
      </c>
      <c r="D269" s="468" t="s">
        <v>607</v>
      </c>
      <c r="E269" s="426"/>
      <c r="F269" s="426"/>
      <c r="G269" s="426">
        <f>G268</f>
        <v>8000</v>
      </c>
      <c r="H269" s="426">
        <f t="shared" si="3"/>
        <v>8000</v>
      </c>
      <c r="I269" s="155"/>
      <c r="J269" s="155"/>
      <c r="L269" s="155"/>
    </row>
    <row r="270" spans="1:12" s="95" customFormat="1" ht="18.75" customHeight="1">
      <c r="A270" s="76"/>
      <c r="B270" s="77">
        <v>85333</v>
      </c>
      <c r="C270" s="77"/>
      <c r="D270" s="78" t="s">
        <v>517</v>
      </c>
      <c r="E270" s="137">
        <v>4451467</v>
      </c>
      <c r="F270" s="79">
        <f>F271+F273</f>
        <v>3300</v>
      </c>
      <c r="G270" s="79">
        <f>G271+G273</f>
        <v>3300</v>
      </c>
      <c r="H270" s="79">
        <f t="shared" si="3"/>
        <v>4451467</v>
      </c>
      <c r="I270" s="138"/>
      <c r="J270" s="138"/>
      <c r="L270" s="94"/>
    </row>
    <row r="271" spans="1:12" s="579" customFormat="1" ht="18" customHeight="1">
      <c r="A271" s="206"/>
      <c r="B271" s="215"/>
      <c r="C271" s="215"/>
      <c r="D271" s="207" t="s">
        <v>765</v>
      </c>
      <c r="E271" s="871">
        <v>2742100</v>
      </c>
      <c r="F271" s="835"/>
      <c r="G271" s="835">
        <f>G272</f>
        <v>3300</v>
      </c>
      <c r="H271" s="835">
        <f t="shared" si="3"/>
        <v>2745400</v>
      </c>
      <c r="I271" s="210"/>
      <c r="J271" s="210"/>
      <c r="L271" s="580"/>
    </row>
    <row r="272" spans="1:12" s="156" customFormat="1" ht="18.75" customHeight="1">
      <c r="A272" s="205"/>
      <c r="B272" s="169"/>
      <c r="C272" s="321">
        <v>4170</v>
      </c>
      <c r="D272" s="817" t="s">
        <v>581</v>
      </c>
      <c r="E272" s="154">
        <v>22300</v>
      </c>
      <c r="F272" s="154"/>
      <c r="G272" s="154">
        <v>3300</v>
      </c>
      <c r="H272" s="154">
        <f t="shared" si="3"/>
        <v>25600</v>
      </c>
      <c r="I272" s="155"/>
      <c r="J272" s="155"/>
      <c r="L272" s="155"/>
    </row>
    <row r="273" spans="1:12" s="230" customFormat="1" ht="18" customHeight="1">
      <c r="A273" s="206"/>
      <c r="B273" s="215"/>
      <c r="C273" s="215"/>
      <c r="D273" s="968" t="s">
        <v>574</v>
      </c>
      <c r="E273" s="871">
        <v>606900</v>
      </c>
      <c r="F273" s="871">
        <f>F274</f>
        <v>3300</v>
      </c>
      <c r="G273" s="871"/>
      <c r="H273" s="871">
        <f t="shared" si="3"/>
        <v>603600</v>
      </c>
      <c r="I273" s="210"/>
      <c r="J273" s="210"/>
      <c r="L273" s="210"/>
    </row>
    <row r="274" spans="1:12" s="156" customFormat="1" ht="18" customHeight="1">
      <c r="A274" s="205"/>
      <c r="B274" s="321"/>
      <c r="C274" s="321">
        <v>4300</v>
      </c>
      <c r="D274" s="842" t="s">
        <v>571</v>
      </c>
      <c r="E274" s="154">
        <v>173175</v>
      </c>
      <c r="F274" s="154">
        <v>3300</v>
      </c>
      <c r="G274" s="154"/>
      <c r="H274" s="154">
        <f t="shared" si="3"/>
        <v>169875</v>
      </c>
      <c r="I274" s="155"/>
      <c r="J274" s="155"/>
      <c r="L274" s="155"/>
    </row>
    <row r="275" spans="1:12" ht="19.5" customHeight="1">
      <c r="A275" s="72">
        <v>854</v>
      </c>
      <c r="B275" s="89"/>
      <c r="C275" s="73"/>
      <c r="D275" s="92" t="s">
        <v>556</v>
      </c>
      <c r="E275" s="74">
        <v>43770070</v>
      </c>
      <c r="F275" s="75">
        <f>F276+F283+F286+F293+F297+F301+F304+F308</f>
        <v>47814</v>
      </c>
      <c r="G275" s="75">
        <f>G276+G283+G286+G293+G297+G301+G304+G308</f>
        <v>47814</v>
      </c>
      <c r="H275" s="75">
        <f t="shared" si="3"/>
        <v>43770070</v>
      </c>
      <c r="I275" s="47"/>
      <c r="J275" s="47"/>
      <c r="L275" s="47"/>
    </row>
    <row r="276" spans="1:12" s="95" customFormat="1" ht="18.75" customHeight="1">
      <c r="A276" s="76"/>
      <c r="B276" s="77">
        <v>85401</v>
      </c>
      <c r="C276" s="77"/>
      <c r="D276" s="78" t="s">
        <v>182</v>
      </c>
      <c r="E276" s="137">
        <v>7300000</v>
      </c>
      <c r="F276" s="79">
        <f>F277+F281</f>
        <v>2000</v>
      </c>
      <c r="G276" s="79">
        <f>G277+G281</f>
        <v>2000</v>
      </c>
      <c r="H276" s="79">
        <f aca="true" t="shared" si="4" ref="H276:H342">E276+G276-F276</f>
        <v>7300000</v>
      </c>
      <c r="I276" s="138"/>
      <c r="J276" s="138"/>
      <c r="L276" s="94"/>
    </row>
    <row r="277" spans="1:12" s="95" customFormat="1" ht="18.75" customHeight="1">
      <c r="A277" s="80"/>
      <c r="B277" s="66"/>
      <c r="C277" s="474"/>
      <c r="D277" s="558" t="s">
        <v>574</v>
      </c>
      <c r="E277" s="143">
        <v>442200</v>
      </c>
      <c r="F277" s="584"/>
      <c r="G277" s="584">
        <f>SUM(G278:G280)</f>
        <v>2000</v>
      </c>
      <c r="H277" s="584">
        <f t="shared" si="4"/>
        <v>444200</v>
      </c>
      <c r="I277" s="138"/>
      <c r="J277" s="138"/>
      <c r="L277" s="94"/>
    </row>
    <row r="278" spans="1:12" s="581" customFormat="1" ht="18.75" customHeight="1">
      <c r="A278" s="205"/>
      <c r="B278" s="169"/>
      <c r="C278" s="321">
        <v>3020</v>
      </c>
      <c r="D278" s="322" t="s">
        <v>96</v>
      </c>
      <c r="E278" s="426">
        <v>11520</v>
      </c>
      <c r="F278" s="323"/>
      <c r="G278" s="323">
        <v>500</v>
      </c>
      <c r="H278" s="323">
        <f t="shared" si="4"/>
        <v>12020</v>
      </c>
      <c r="I278" s="155"/>
      <c r="J278" s="155"/>
      <c r="L278" s="582"/>
    </row>
    <row r="279" spans="1:12" s="156" customFormat="1" ht="18.75" customHeight="1">
      <c r="A279" s="205"/>
      <c r="B279" s="169"/>
      <c r="C279" s="318">
        <v>4210</v>
      </c>
      <c r="D279" s="320" t="s">
        <v>570</v>
      </c>
      <c r="E279" s="426">
        <v>14570</v>
      </c>
      <c r="F279" s="426"/>
      <c r="G279" s="426">
        <v>1000</v>
      </c>
      <c r="H279" s="426">
        <f t="shared" si="4"/>
        <v>15570</v>
      </c>
      <c r="I279" s="155"/>
      <c r="J279" s="155"/>
      <c r="L279" s="155"/>
    </row>
    <row r="280" spans="1:12" s="581" customFormat="1" ht="18.75" customHeight="1">
      <c r="A280" s="205"/>
      <c r="B280" s="169"/>
      <c r="C280" s="321">
        <v>4240</v>
      </c>
      <c r="D280" s="322" t="s">
        <v>69</v>
      </c>
      <c r="E280" s="426">
        <v>12690</v>
      </c>
      <c r="F280" s="323"/>
      <c r="G280" s="323">
        <v>500</v>
      </c>
      <c r="H280" s="426">
        <f t="shared" si="4"/>
        <v>13190</v>
      </c>
      <c r="I280" s="155"/>
      <c r="J280" s="155"/>
      <c r="L280" s="582"/>
    </row>
    <row r="281" spans="1:12" s="579" customFormat="1" ht="18.75" customHeight="1">
      <c r="A281" s="206"/>
      <c r="B281" s="215"/>
      <c r="C281" s="207"/>
      <c r="D281" s="819" t="s">
        <v>599</v>
      </c>
      <c r="E281" s="578">
        <v>1124900</v>
      </c>
      <c r="F281" s="209">
        <f>F282</f>
        <v>2000</v>
      </c>
      <c r="G281" s="209"/>
      <c r="H281" s="209">
        <f t="shared" si="4"/>
        <v>1122900</v>
      </c>
      <c r="I281" s="210"/>
      <c r="J281" s="210"/>
      <c r="L281" s="580"/>
    </row>
    <row r="282" spans="1:12" s="581" customFormat="1" ht="18.75" customHeight="1">
      <c r="A282" s="205"/>
      <c r="B282" s="169"/>
      <c r="C282" s="321">
        <v>4110</v>
      </c>
      <c r="D282" s="549" t="s">
        <v>653</v>
      </c>
      <c r="E282" s="426">
        <v>996600</v>
      </c>
      <c r="F282" s="323">
        <v>2000</v>
      </c>
      <c r="G282" s="323"/>
      <c r="H282" s="323">
        <f t="shared" si="4"/>
        <v>994600</v>
      </c>
      <c r="I282" s="155"/>
      <c r="J282" s="155"/>
      <c r="L282" s="582"/>
    </row>
    <row r="283" spans="1:12" s="95" customFormat="1" ht="18.75" customHeight="1">
      <c r="A283" s="76"/>
      <c r="B283" s="77">
        <v>85403</v>
      </c>
      <c r="C283" s="77"/>
      <c r="D283" s="78" t="s">
        <v>171</v>
      </c>
      <c r="E283" s="137">
        <v>10798176</v>
      </c>
      <c r="F283" s="79"/>
      <c r="G283" s="79">
        <f>G284</f>
        <v>31130</v>
      </c>
      <c r="H283" s="79">
        <f t="shared" si="4"/>
        <v>10829306</v>
      </c>
      <c r="I283" s="138"/>
      <c r="J283" s="138"/>
      <c r="L283" s="94"/>
    </row>
    <row r="284" spans="1:12" s="95" customFormat="1" ht="18.75" customHeight="1">
      <c r="A284" s="80"/>
      <c r="B284" s="66"/>
      <c r="C284" s="474"/>
      <c r="D284" s="558" t="s">
        <v>574</v>
      </c>
      <c r="E284" s="143">
        <v>1322134</v>
      </c>
      <c r="F284" s="584"/>
      <c r="G284" s="584">
        <f>G285</f>
        <v>31130</v>
      </c>
      <c r="H284" s="584">
        <f t="shared" si="4"/>
        <v>1353264</v>
      </c>
      <c r="I284" s="138"/>
      <c r="J284" s="138"/>
      <c r="L284" s="94"/>
    </row>
    <row r="285" spans="1:12" s="581" customFormat="1" ht="18.75" customHeight="1">
      <c r="A285" s="228"/>
      <c r="B285" s="321"/>
      <c r="C285" s="321">
        <v>4270</v>
      </c>
      <c r="D285" s="322" t="s">
        <v>170</v>
      </c>
      <c r="E285" s="426">
        <v>194943</v>
      </c>
      <c r="F285" s="323"/>
      <c r="G285" s="323">
        <v>31130</v>
      </c>
      <c r="H285" s="323">
        <f t="shared" si="4"/>
        <v>226073</v>
      </c>
      <c r="I285" s="155"/>
      <c r="J285" s="155"/>
      <c r="L285" s="582"/>
    </row>
    <row r="286" spans="1:12" s="95" customFormat="1" ht="27.75" customHeight="1">
      <c r="A286" s="76"/>
      <c r="B286" s="78">
        <v>85406</v>
      </c>
      <c r="C286" s="78"/>
      <c r="D286" s="437" t="s">
        <v>621</v>
      </c>
      <c r="E286" s="583">
        <v>6133342</v>
      </c>
      <c r="F286" s="543">
        <f>F287+F289</f>
        <v>4500</v>
      </c>
      <c r="G286" s="543">
        <f>G287+G289</f>
        <v>4500</v>
      </c>
      <c r="H286" s="543">
        <f t="shared" si="4"/>
        <v>6133342</v>
      </c>
      <c r="I286" s="138"/>
      <c r="J286" s="138"/>
      <c r="L286" s="94"/>
    </row>
    <row r="287" spans="1:12" s="579" customFormat="1" ht="18.75" customHeight="1">
      <c r="A287" s="206"/>
      <c r="B287" s="207"/>
      <c r="C287" s="207"/>
      <c r="D287" s="208" t="s">
        <v>278</v>
      </c>
      <c r="E287" s="578">
        <v>4697300</v>
      </c>
      <c r="F287" s="209">
        <f>F288</f>
        <v>500</v>
      </c>
      <c r="G287" s="209"/>
      <c r="H287" s="209">
        <f t="shared" si="4"/>
        <v>4696800</v>
      </c>
      <c r="I287" s="210"/>
      <c r="J287" s="210"/>
      <c r="L287" s="580"/>
    </row>
    <row r="288" spans="1:12" s="581" customFormat="1" ht="18.75" customHeight="1">
      <c r="A288" s="205"/>
      <c r="B288" s="169"/>
      <c r="C288" s="321">
        <v>4170</v>
      </c>
      <c r="D288" s="322" t="s">
        <v>581</v>
      </c>
      <c r="E288" s="426">
        <v>7020</v>
      </c>
      <c r="F288" s="323">
        <v>500</v>
      </c>
      <c r="G288" s="323"/>
      <c r="H288" s="323">
        <f t="shared" si="4"/>
        <v>6520</v>
      </c>
      <c r="I288" s="155"/>
      <c r="J288" s="155"/>
      <c r="L288" s="582"/>
    </row>
    <row r="289" spans="1:12" s="130" customFormat="1" ht="21" customHeight="1">
      <c r="A289" s="80"/>
      <c r="B289" s="66"/>
      <c r="C289" s="66"/>
      <c r="D289" s="208" t="s">
        <v>574</v>
      </c>
      <c r="E289" s="943">
        <v>595600</v>
      </c>
      <c r="F289" s="943">
        <f>SUM(F290:F292)</f>
        <v>4000</v>
      </c>
      <c r="G289" s="943">
        <f>SUM(G290:G292)</f>
        <v>4500</v>
      </c>
      <c r="H289" s="943">
        <f t="shared" si="4"/>
        <v>596100</v>
      </c>
      <c r="I289" s="138"/>
      <c r="J289" s="138"/>
      <c r="L289" s="138"/>
    </row>
    <row r="290" spans="1:12" s="158" customFormat="1" ht="21" customHeight="1">
      <c r="A290" s="204"/>
      <c r="B290" s="81"/>
      <c r="C290" s="82">
        <v>4260</v>
      </c>
      <c r="D290" s="549" t="s">
        <v>656</v>
      </c>
      <c r="E290" s="152">
        <v>90500</v>
      </c>
      <c r="F290" s="152">
        <v>4000</v>
      </c>
      <c r="G290" s="152"/>
      <c r="H290" s="152">
        <f t="shared" si="4"/>
        <v>86500</v>
      </c>
      <c r="I290" s="157"/>
      <c r="J290" s="157"/>
      <c r="L290" s="157"/>
    </row>
    <row r="291" spans="1:12" s="158" customFormat="1" ht="21" customHeight="1">
      <c r="A291" s="204"/>
      <c r="B291" s="81"/>
      <c r="C291" s="82">
        <v>4300</v>
      </c>
      <c r="D291" s="549" t="s">
        <v>571</v>
      </c>
      <c r="E291" s="152">
        <v>128070</v>
      </c>
      <c r="F291" s="152"/>
      <c r="G291" s="152">
        <v>4000</v>
      </c>
      <c r="H291" s="152">
        <f t="shared" si="4"/>
        <v>132070</v>
      </c>
      <c r="I291" s="157"/>
      <c r="J291" s="157"/>
      <c r="L291" s="157"/>
    </row>
    <row r="292" spans="1:12" s="158" customFormat="1" ht="21" customHeight="1">
      <c r="A292" s="204"/>
      <c r="B292" s="82"/>
      <c r="C292" s="82">
        <v>4440</v>
      </c>
      <c r="D292" s="549" t="s">
        <v>277</v>
      </c>
      <c r="E292" s="152">
        <v>250040</v>
      </c>
      <c r="F292" s="152"/>
      <c r="G292" s="152">
        <v>500</v>
      </c>
      <c r="H292" s="152">
        <f t="shared" si="4"/>
        <v>250540</v>
      </c>
      <c r="I292" s="157"/>
      <c r="J292" s="157"/>
      <c r="L292" s="157"/>
    </row>
    <row r="293" spans="1:12" s="95" customFormat="1" ht="19.5" customHeight="1">
      <c r="A293" s="76"/>
      <c r="B293" s="77">
        <v>85410</v>
      </c>
      <c r="C293" s="77"/>
      <c r="D293" s="324" t="s">
        <v>91</v>
      </c>
      <c r="E293" s="137">
        <v>7386200</v>
      </c>
      <c r="F293" s="79">
        <f>F294</f>
        <v>34661</v>
      </c>
      <c r="G293" s="79"/>
      <c r="H293" s="79">
        <f t="shared" si="4"/>
        <v>7351539</v>
      </c>
      <c r="I293" s="138"/>
      <c r="J293" s="138"/>
      <c r="L293" s="94"/>
    </row>
    <row r="294" spans="1:12" s="579" customFormat="1" ht="18.75" customHeight="1">
      <c r="A294" s="206"/>
      <c r="B294" s="207"/>
      <c r="C294" s="207"/>
      <c r="D294" s="208" t="s">
        <v>574</v>
      </c>
      <c r="E294" s="578">
        <v>1525500</v>
      </c>
      <c r="F294" s="209">
        <f>SUM(F295:F296)</f>
        <v>34661</v>
      </c>
      <c r="G294" s="209"/>
      <c r="H294" s="209">
        <f t="shared" si="4"/>
        <v>1490839</v>
      </c>
      <c r="I294" s="210"/>
      <c r="J294" s="210"/>
      <c r="L294" s="580"/>
    </row>
    <row r="295" spans="1:12" s="581" customFormat="1" ht="18.75" customHeight="1">
      <c r="A295" s="205"/>
      <c r="B295" s="169"/>
      <c r="C295" s="321">
        <v>4260</v>
      </c>
      <c r="D295" s="322" t="s">
        <v>656</v>
      </c>
      <c r="E295" s="426">
        <v>787350</v>
      </c>
      <c r="F295" s="323">
        <f>15531-12000</f>
        <v>3531</v>
      </c>
      <c r="G295" s="323"/>
      <c r="H295" s="323">
        <f t="shared" si="4"/>
        <v>783819</v>
      </c>
      <c r="I295" s="155"/>
      <c r="J295" s="155"/>
      <c r="L295" s="582"/>
    </row>
    <row r="296" spans="1:12" s="581" customFormat="1" ht="18.75" customHeight="1">
      <c r="A296" s="205"/>
      <c r="B296" s="169"/>
      <c r="C296" s="321">
        <v>4270</v>
      </c>
      <c r="D296" s="322" t="s">
        <v>170</v>
      </c>
      <c r="E296" s="426">
        <v>117200</v>
      </c>
      <c r="F296" s="323">
        <v>31130</v>
      </c>
      <c r="G296" s="323"/>
      <c r="H296" s="323">
        <f t="shared" si="4"/>
        <v>86070</v>
      </c>
      <c r="I296" s="155"/>
      <c r="J296" s="155"/>
      <c r="L296" s="582"/>
    </row>
    <row r="297" spans="1:12" s="130" customFormat="1" ht="18.75" customHeight="1">
      <c r="A297" s="76"/>
      <c r="B297" s="77">
        <v>85415</v>
      </c>
      <c r="C297" s="77"/>
      <c r="D297" s="77" t="s">
        <v>59</v>
      </c>
      <c r="E297" s="137">
        <v>1725704</v>
      </c>
      <c r="F297" s="137">
        <f>F298</f>
        <v>840</v>
      </c>
      <c r="G297" s="137">
        <f>G298</f>
        <v>840</v>
      </c>
      <c r="H297" s="137">
        <f t="shared" si="4"/>
        <v>1725704</v>
      </c>
      <c r="I297" s="138"/>
      <c r="J297" s="138"/>
      <c r="L297" s="138"/>
    </row>
    <row r="298" spans="1:12" s="130" customFormat="1" ht="27" customHeight="1">
      <c r="A298" s="80"/>
      <c r="B298" s="474"/>
      <c r="C298" s="474"/>
      <c r="D298" s="557" t="s">
        <v>769</v>
      </c>
      <c r="E298" s="144">
        <v>1063517</v>
      </c>
      <c r="F298" s="144">
        <f>SUM(F299:F300)</f>
        <v>840</v>
      </c>
      <c r="G298" s="144">
        <f>SUM(G299:G300)</f>
        <v>840</v>
      </c>
      <c r="H298" s="144">
        <f t="shared" si="4"/>
        <v>1063517</v>
      </c>
      <c r="I298" s="138"/>
      <c r="J298" s="138"/>
      <c r="L298" s="138"/>
    </row>
    <row r="299" spans="1:12" s="158" customFormat="1" ht="18.75" customHeight="1">
      <c r="A299" s="204"/>
      <c r="B299" s="81"/>
      <c r="C299" s="82">
        <v>3240</v>
      </c>
      <c r="D299" s="555" t="s">
        <v>770</v>
      </c>
      <c r="E299" s="145">
        <v>1041341</v>
      </c>
      <c r="F299" s="145">
        <v>840</v>
      </c>
      <c r="G299" s="145"/>
      <c r="H299" s="145">
        <f t="shared" si="4"/>
        <v>1040501</v>
      </c>
      <c r="I299" s="157"/>
      <c r="J299" s="157"/>
      <c r="L299" s="157"/>
    </row>
    <row r="300" spans="1:12" s="158" customFormat="1" ht="18.75" customHeight="1">
      <c r="A300" s="204"/>
      <c r="B300" s="81"/>
      <c r="C300" s="82">
        <v>3260</v>
      </c>
      <c r="D300" s="555" t="s">
        <v>771</v>
      </c>
      <c r="E300" s="152">
        <v>22176</v>
      </c>
      <c r="F300" s="152"/>
      <c r="G300" s="152">
        <v>840</v>
      </c>
      <c r="H300" s="152">
        <f t="shared" si="4"/>
        <v>23016</v>
      </c>
      <c r="I300" s="157"/>
      <c r="J300" s="157"/>
      <c r="L300" s="157"/>
    </row>
    <row r="301" spans="1:12" s="95" customFormat="1" ht="19.5" customHeight="1">
      <c r="A301" s="76"/>
      <c r="B301" s="77">
        <v>85417</v>
      </c>
      <c r="C301" s="77"/>
      <c r="D301" s="78" t="s">
        <v>185</v>
      </c>
      <c r="E301" s="137">
        <v>282000</v>
      </c>
      <c r="F301" s="79"/>
      <c r="G301" s="79">
        <f>G302</f>
        <v>3531</v>
      </c>
      <c r="H301" s="79">
        <f t="shared" si="4"/>
        <v>285531</v>
      </c>
      <c r="I301" s="138"/>
      <c r="J301" s="138"/>
      <c r="L301" s="94"/>
    </row>
    <row r="302" spans="1:12" s="95" customFormat="1" ht="18.75" customHeight="1">
      <c r="A302" s="80"/>
      <c r="B302" s="474"/>
      <c r="C302" s="474"/>
      <c r="D302" s="557" t="s">
        <v>574</v>
      </c>
      <c r="E302" s="143">
        <v>76100</v>
      </c>
      <c r="F302" s="584"/>
      <c r="G302" s="584">
        <f>G303</f>
        <v>3531</v>
      </c>
      <c r="H302" s="584">
        <f t="shared" si="4"/>
        <v>79631</v>
      </c>
      <c r="I302" s="138"/>
      <c r="J302" s="138"/>
      <c r="L302" s="94"/>
    </row>
    <row r="303" spans="1:12" s="585" customFormat="1" ht="18.75" customHeight="1">
      <c r="A303" s="204"/>
      <c r="B303" s="81"/>
      <c r="C303" s="82">
        <v>4270</v>
      </c>
      <c r="D303" s="549" t="s">
        <v>724</v>
      </c>
      <c r="E303" s="152">
        <v>10000</v>
      </c>
      <c r="F303" s="570"/>
      <c r="G303" s="570">
        <v>3531</v>
      </c>
      <c r="H303" s="570">
        <f t="shared" si="4"/>
        <v>13531</v>
      </c>
      <c r="I303" s="157"/>
      <c r="J303" s="157"/>
      <c r="L303" s="586"/>
    </row>
    <row r="304" spans="1:12" s="95" customFormat="1" ht="19.5" customHeight="1">
      <c r="A304" s="76"/>
      <c r="B304" s="77">
        <v>85446</v>
      </c>
      <c r="C304" s="77"/>
      <c r="D304" s="78" t="s">
        <v>68</v>
      </c>
      <c r="E304" s="137">
        <v>178000</v>
      </c>
      <c r="F304" s="79">
        <f>F305</f>
        <v>413</v>
      </c>
      <c r="G304" s="79">
        <f>G305</f>
        <v>413</v>
      </c>
      <c r="H304" s="79">
        <f t="shared" si="4"/>
        <v>178000</v>
      </c>
      <c r="I304" s="138"/>
      <c r="J304" s="138"/>
      <c r="L304" s="94"/>
    </row>
    <row r="305" spans="1:12" s="95" customFormat="1" ht="18.75" customHeight="1">
      <c r="A305" s="80"/>
      <c r="B305" s="474"/>
      <c r="C305" s="474"/>
      <c r="D305" s="557" t="s">
        <v>132</v>
      </c>
      <c r="E305" s="143">
        <v>178000</v>
      </c>
      <c r="F305" s="584">
        <f>SUM(F306:F307)</f>
        <v>413</v>
      </c>
      <c r="G305" s="584">
        <f>SUM(G306:G307)</f>
        <v>413</v>
      </c>
      <c r="H305" s="584">
        <f t="shared" si="4"/>
        <v>178000</v>
      </c>
      <c r="I305" s="138"/>
      <c r="J305" s="138"/>
      <c r="L305" s="94"/>
    </row>
    <row r="306" spans="1:12" s="585" customFormat="1" ht="18.75" customHeight="1">
      <c r="A306" s="204"/>
      <c r="B306" s="81"/>
      <c r="C306" s="82">
        <v>4170</v>
      </c>
      <c r="D306" s="549" t="s">
        <v>581</v>
      </c>
      <c r="E306" s="152">
        <v>12700</v>
      </c>
      <c r="F306" s="570"/>
      <c r="G306" s="570">
        <v>413</v>
      </c>
      <c r="H306" s="570">
        <f t="shared" si="4"/>
        <v>13113</v>
      </c>
      <c r="I306" s="157"/>
      <c r="J306" s="157"/>
      <c r="L306" s="586"/>
    </row>
    <row r="307" spans="1:12" s="585" customFormat="1" ht="18.75" customHeight="1">
      <c r="A307" s="204"/>
      <c r="B307" s="81"/>
      <c r="C307" s="82">
        <v>4300</v>
      </c>
      <c r="D307" s="549" t="s">
        <v>571</v>
      </c>
      <c r="E307" s="152">
        <v>106711</v>
      </c>
      <c r="F307" s="570">
        <v>413</v>
      </c>
      <c r="G307" s="570"/>
      <c r="H307" s="570">
        <f t="shared" si="4"/>
        <v>106298</v>
      </c>
      <c r="I307" s="157"/>
      <c r="J307" s="157"/>
      <c r="L307" s="586"/>
    </row>
    <row r="308" spans="1:12" s="95" customFormat="1" ht="18.75" customHeight="1">
      <c r="A308" s="76"/>
      <c r="B308" s="77">
        <v>85495</v>
      </c>
      <c r="C308" s="77"/>
      <c r="D308" s="77" t="s">
        <v>553</v>
      </c>
      <c r="E308" s="137">
        <v>6624148</v>
      </c>
      <c r="F308" s="79">
        <f>F309</f>
        <v>5400</v>
      </c>
      <c r="G308" s="79">
        <f>G309</f>
        <v>5400</v>
      </c>
      <c r="H308" s="79">
        <f t="shared" si="4"/>
        <v>6624148</v>
      </c>
      <c r="I308" s="138"/>
      <c r="J308" s="138"/>
      <c r="L308" s="94"/>
    </row>
    <row r="309" spans="1:12" s="95" customFormat="1" ht="18.75" customHeight="1">
      <c r="A309" s="80"/>
      <c r="B309" s="474"/>
      <c r="C309" s="474"/>
      <c r="D309" s="474" t="s">
        <v>197</v>
      </c>
      <c r="E309" s="144">
        <v>6410490</v>
      </c>
      <c r="F309" s="589">
        <f>F310</f>
        <v>5400</v>
      </c>
      <c r="G309" s="589">
        <f>G310</f>
        <v>5400</v>
      </c>
      <c r="H309" s="589">
        <f t="shared" si="4"/>
        <v>6410490</v>
      </c>
      <c r="I309" s="138"/>
      <c r="J309" s="138"/>
      <c r="L309" s="94"/>
    </row>
    <row r="310" spans="1:12" s="95" customFormat="1" ht="18.75" customHeight="1">
      <c r="A310" s="80"/>
      <c r="B310" s="66"/>
      <c r="C310" s="66"/>
      <c r="D310" s="598" t="s">
        <v>574</v>
      </c>
      <c r="E310" s="599">
        <v>1439860</v>
      </c>
      <c r="F310" s="600">
        <f>SUM(F311:F313)</f>
        <v>5400</v>
      </c>
      <c r="G310" s="600">
        <f>SUM(G311:G313)</f>
        <v>5400</v>
      </c>
      <c r="H310" s="600">
        <f t="shared" si="4"/>
        <v>1439860</v>
      </c>
      <c r="I310" s="138"/>
      <c r="J310" s="138"/>
      <c r="L310" s="94"/>
    </row>
    <row r="311" spans="1:12" s="95" customFormat="1" ht="18.75" customHeight="1">
      <c r="A311" s="80"/>
      <c r="B311" s="66"/>
      <c r="C311" s="82">
        <v>4220</v>
      </c>
      <c r="D311" s="555" t="s">
        <v>670</v>
      </c>
      <c r="E311" s="145">
        <v>551500</v>
      </c>
      <c r="F311" s="591">
        <v>5400</v>
      </c>
      <c r="G311" s="591"/>
      <c r="H311" s="591">
        <f t="shared" si="4"/>
        <v>546100</v>
      </c>
      <c r="I311" s="138"/>
      <c r="J311" s="138"/>
      <c r="L311" s="94"/>
    </row>
    <row r="312" spans="1:12" s="585" customFormat="1" ht="18.75" customHeight="1">
      <c r="A312" s="204"/>
      <c r="B312" s="81"/>
      <c r="C312" s="82">
        <v>4260</v>
      </c>
      <c r="D312" s="555" t="s">
        <v>656</v>
      </c>
      <c r="E312" s="152">
        <v>374050</v>
      </c>
      <c r="F312" s="570"/>
      <c r="G312" s="570">
        <v>2400</v>
      </c>
      <c r="H312" s="570">
        <f t="shared" si="4"/>
        <v>376450</v>
      </c>
      <c r="I312" s="157"/>
      <c r="J312" s="157"/>
      <c r="L312" s="586"/>
    </row>
    <row r="313" spans="1:12" s="585" customFormat="1" ht="18.75" customHeight="1">
      <c r="A313" s="561"/>
      <c r="B313" s="82"/>
      <c r="C313" s="82">
        <v>4300</v>
      </c>
      <c r="D313" s="555" t="s">
        <v>571</v>
      </c>
      <c r="E313" s="152">
        <v>112883</v>
      </c>
      <c r="F313" s="570"/>
      <c r="G313" s="570">
        <v>3000</v>
      </c>
      <c r="H313" s="570">
        <f t="shared" si="4"/>
        <v>115883</v>
      </c>
      <c r="I313" s="157"/>
      <c r="J313" s="157"/>
      <c r="L313" s="586"/>
    </row>
    <row r="314" spans="1:12" s="585" customFormat="1" ht="32.25" customHeight="1">
      <c r="A314" s="1396"/>
      <c r="B314" s="1383"/>
      <c r="C314" s="1383"/>
      <c r="D314" s="1397"/>
      <c r="E314" s="1398"/>
      <c r="F314" s="1399"/>
      <c r="G314" s="1399"/>
      <c r="H314" s="1399"/>
      <c r="I314" s="157"/>
      <c r="J314" s="157"/>
      <c r="L314" s="586"/>
    </row>
    <row r="315" spans="1:12" ht="21" customHeight="1">
      <c r="A315" s="73">
        <v>900</v>
      </c>
      <c r="B315" s="73"/>
      <c r="C315" s="73"/>
      <c r="D315" s="73" t="s">
        <v>228</v>
      </c>
      <c r="E315" s="74">
        <v>63857379</v>
      </c>
      <c r="F315" s="75">
        <f>F316+F327+F331+F334+F340</f>
        <v>2325000</v>
      </c>
      <c r="G315" s="75">
        <f>G316+G327+G331+G334+G340</f>
        <v>2325000</v>
      </c>
      <c r="H315" s="75">
        <f t="shared" si="4"/>
        <v>63857379</v>
      </c>
      <c r="I315" s="47"/>
      <c r="J315" s="47"/>
      <c r="L315" s="47"/>
    </row>
    <row r="316" spans="1:12" s="95" customFormat="1" ht="19.5" customHeight="1">
      <c r="A316" s="76"/>
      <c r="B316" s="78">
        <v>90001</v>
      </c>
      <c r="C316" s="78"/>
      <c r="D316" s="78" t="s">
        <v>124</v>
      </c>
      <c r="E316" s="583">
        <v>10912000</v>
      </c>
      <c r="F316" s="543">
        <f>F317</f>
        <v>1725000</v>
      </c>
      <c r="G316" s="543">
        <f>G317</f>
        <v>500000</v>
      </c>
      <c r="H316" s="543">
        <f t="shared" si="4"/>
        <v>9687000</v>
      </c>
      <c r="I316" s="138"/>
      <c r="J316" s="138"/>
      <c r="L316" s="94"/>
    </row>
    <row r="317" spans="1:12" s="130" customFormat="1" ht="21" customHeight="1">
      <c r="A317" s="80"/>
      <c r="B317" s="66"/>
      <c r="C317" s="66"/>
      <c r="D317" s="592" t="s">
        <v>768</v>
      </c>
      <c r="E317" s="943">
        <v>8495000</v>
      </c>
      <c r="F317" s="143">
        <f>F326</f>
        <v>1725000</v>
      </c>
      <c r="G317" s="143">
        <f>G326</f>
        <v>500000</v>
      </c>
      <c r="H317" s="143">
        <f t="shared" si="4"/>
        <v>7270000</v>
      </c>
      <c r="I317" s="138"/>
      <c r="J317" s="138"/>
      <c r="L317" s="138"/>
    </row>
    <row r="318" spans="1:12" s="156" customFormat="1" ht="21" customHeight="1">
      <c r="A318" s="205"/>
      <c r="B318" s="169"/>
      <c r="C318" s="169"/>
      <c r="D318" s="774" t="s">
        <v>252</v>
      </c>
      <c r="E318" s="467">
        <v>1600000</v>
      </c>
      <c r="F318" s="467"/>
      <c r="G318" s="467">
        <v>500000</v>
      </c>
      <c r="H318" s="467">
        <f t="shared" si="4"/>
        <v>2100000</v>
      </c>
      <c r="I318" s="155"/>
      <c r="J318" s="155"/>
      <c r="L318" s="155"/>
    </row>
    <row r="319" spans="1:12" s="156" customFormat="1" ht="18.75" customHeight="1">
      <c r="A319" s="205"/>
      <c r="B319" s="169"/>
      <c r="C319" s="169"/>
      <c r="D319" s="1190" t="s">
        <v>374</v>
      </c>
      <c r="E319" s="1194">
        <v>1460000</v>
      </c>
      <c r="F319" s="1194">
        <v>300000</v>
      </c>
      <c r="G319" s="1194"/>
      <c r="H319" s="1194">
        <f t="shared" si="4"/>
        <v>1160000</v>
      </c>
      <c r="I319" s="155"/>
      <c r="J319" s="155"/>
      <c r="L319" s="155"/>
    </row>
    <row r="320" spans="1:12" s="156" customFormat="1" ht="20.25" customHeight="1">
      <c r="A320" s="205"/>
      <c r="B320" s="169"/>
      <c r="C320" s="169"/>
      <c r="D320" s="1190" t="s">
        <v>250</v>
      </c>
      <c r="E320" s="1194">
        <v>200000</v>
      </c>
      <c r="F320" s="1194">
        <v>40000</v>
      </c>
      <c r="G320" s="1194"/>
      <c r="H320" s="1194">
        <f t="shared" si="4"/>
        <v>160000</v>
      </c>
      <c r="I320" s="155"/>
      <c r="J320" s="155"/>
      <c r="L320" s="155"/>
    </row>
    <row r="321" spans="1:12" s="156" customFormat="1" ht="21" customHeight="1">
      <c r="A321" s="205"/>
      <c r="B321" s="169"/>
      <c r="C321" s="169"/>
      <c r="D321" s="1190" t="s">
        <v>375</v>
      </c>
      <c r="E321" s="1194">
        <v>570000</v>
      </c>
      <c r="F321" s="1194">
        <v>300000</v>
      </c>
      <c r="G321" s="1194"/>
      <c r="H321" s="1194">
        <f t="shared" si="4"/>
        <v>270000</v>
      </c>
      <c r="I321" s="155"/>
      <c r="J321" s="155"/>
      <c r="L321" s="155"/>
    </row>
    <row r="322" spans="1:12" s="156" customFormat="1" ht="25.5">
      <c r="A322" s="205"/>
      <c r="B322" s="169"/>
      <c r="C322" s="169"/>
      <c r="D322" s="1190" t="s">
        <v>376</v>
      </c>
      <c r="E322" s="1194">
        <v>800000</v>
      </c>
      <c r="F322" s="1194">
        <v>600000</v>
      </c>
      <c r="G322" s="1194"/>
      <c r="H322" s="1194">
        <f t="shared" si="4"/>
        <v>200000</v>
      </c>
      <c r="I322" s="155"/>
      <c r="J322" s="155"/>
      <c r="L322" s="155"/>
    </row>
    <row r="323" spans="1:12" s="156" customFormat="1" ht="21" customHeight="1">
      <c r="A323" s="205"/>
      <c r="B323" s="169"/>
      <c r="C323" s="169"/>
      <c r="D323" s="1190" t="s">
        <v>377</v>
      </c>
      <c r="E323" s="1194">
        <v>200000</v>
      </c>
      <c r="F323" s="1194">
        <v>170000</v>
      </c>
      <c r="G323" s="1194"/>
      <c r="H323" s="1194">
        <f t="shared" si="4"/>
        <v>30000</v>
      </c>
      <c r="I323" s="155"/>
      <c r="J323" s="155"/>
      <c r="L323" s="155"/>
    </row>
    <row r="324" spans="1:12" s="156" customFormat="1" ht="21" customHeight="1">
      <c r="A324" s="205"/>
      <c r="B324" s="169"/>
      <c r="C324" s="169"/>
      <c r="D324" s="1034" t="s">
        <v>251</v>
      </c>
      <c r="E324" s="1194">
        <v>520000</v>
      </c>
      <c r="F324" s="1194">
        <v>300000</v>
      </c>
      <c r="G324" s="1194"/>
      <c r="H324" s="1194">
        <f t="shared" si="4"/>
        <v>220000</v>
      </c>
      <c r="I324" s="155"/>
      <c r="J324" s="155"/>
      <c r="L324" s="155"/>
    </row>
    <row r="325" spans="1:12" s="156" customFormat="1" ht="25.5">
      <c r="A325" s="205"/>
      <c r="B325" s="169"/>
      <c r="C325" s="169"/>
      <c r="D325" s="1190" t="s">
        <v>378</v>
      </c>
      <c r="E325" s="469">
        <v>65000</v>
      </c>
      <c r="F325" s="469">
        <v>15000</v>
      </c>
      <c r="G325" s="469"/>
      <c r="H325" s="469">
        <f t="shared" si="4"/>
        <v>50000</v>
      </c>
      <c r="I325" s="155"/>
      <c r="J325" s="155"/>
      <c r="L325" s="155"/>
    </row>
    <row r="326" spans="1:12" s="158" customFormat="1" ht="21" customHeight="1">
      <c r="A326" s="204"/>
      <c r="B326" s="82"/>
      <c r="C326" s="82">
        <v>6050</v>
      </c>
      <c r="D326" s="549" t="s">
        <v>762</v>
      </c>
      <c r="E326" s="152">
        <v>8495000</v>
      </c>
      <c r="F326" s="152">
        <f>SUM(F318:F325)</f>
        <v>1725000</v>
      </c>
      <c r="G326" s="152">
        <f>SUM(G318:G325)</f>
        <v>500000</v>
      </c>
      <c r="H326" s="152">
        <f t="shared" si="4"/>
        <v>7270000</v>
      </c>
      <c r="I326" s="157"/>
      <c r="J326" s="157"/>
      <c r="L326" s="157"/>
    </row>
    <row r="327" spans="1:12" s="95" customFormat="1" ht="19.5" customHeight="1">
      <c r="A327" s="76"/>
      <c r="B327" s="78">
        <v>90002</v>
      </c>
      <c r="C327" s="78"/>
      <c r="D327" s="78" t="s">
        <v>125</v>
      </c>
      <c r="E327" s="583">
        <v>16172379</v>
      </c>
      <c r="F327" s="543">
        <f>F328</f>
        <v>200000</v>
      </c>
      <c r="G327" s="543"/>
      <c r="H327" s="543">
        <f t="shared" si="4"/>
        <v>15972379</v>
      </c>
      <c r="I327" s="138"/>
      <c r="J327" s="138"/>
      <c r="L327" s="94"/>
    </row>
    <row r="328" spans="1:12" s="130" customFormat="1" ht="19.5" customHeight="1">
      <c r="A328" s="80"/>
      <c r="B328" s="66"/>
      <c r="C328" s="66"/>
      <c r="D328" s="819" t="s">
        <v>723</v>
      </c>
      <c r="E328" s="943">
        <v>11752379</v>
      </c>
      <c r="F328" s="143">
        <f>F330</f>
        <v>200000</v>
      </c>
      <c r="G328" s="143"/>
      <c r="H328" s="143">
        <f t="shared" si="4"/>
        <v>11552379</v>
      </c>
      <c r="I328" s="138"/>
      <c r="J328" s="138"/>
      <c r="L328" s="138"/>
    </row>
    <row r="329" spans="1:12" s="156" customFormat="1" ht="25.5" customHeight="1">
      <c r="A329" s="205"/>
      <c r="B329" s="169"/>
      <c r="C329" s="169"/>
      <c r="D329" s="864" t="s">
        <v>379</v>
      </c>
      <c r="E329" s="467">
        <v>200000</v>
      </c>
      <c r="F329" s="467">
        <v>200000</v>
      </c>
      <c r="G329" s="467"/>
      <c r="H329" s="467">
        <f>E329+G329-F329</f>
        <v>0</v>
      </c>
      <c r="I329" s="155"/>
      <c r="J329" s="155"/>
      <c r="L329" s="155"/>
    </row>
    <row r="330" spans="1:12" s="158" customFormat="1" ht="21" customHeight="1">
      <c r="A330" s="204"/>
      <c r="B330" s="82"/>
      <c r="C330" s="82">
        <v>6050</v>
      </c>
      <c r="D330" s="549" t="s">
        <v>762</v>
      </c>
      <c r="E330" s="152">
        <v>3224400</v>
      </c>
      <c r="F330" s="152">
        <v>200000</v>
      </c>
      <c r="G330" s="152"/>
      <c r="H330" s="152">
        <f t="shared" si="4"/>
        <v>3024400</v>
      </c>
      <c r="I330" s="157"/>
      <c r="J330" s="157"/>
      <c r="L330" s="157"/>
    </row>
    <row r="331" spans="1:12" s="95" customFormat="1" ht="15.75" customHeight="1">
      <c r="A331" s="76"/>
      <c r="B331" s="78">
        <v>90003</v>
      </c>
      <c r="C331" s="78"/>
      <c r="D331" s="78" t="s">
        <v>126</v>
      </c>
      <c r="E331" s="583">
        <v>9217000</v>
      </c>
      <c r="F331" s="543">
        <f>F332</f>
        <v>100000</v>
      </c>
      <c r="G331" s="543"/>
      <c r="H331" s="543">
        <f t="shared" si="4"/>
        <v>9117000</v>
      </c>
      <c r="I331" s="138"/>
      <c r="J331" s="138"/>
      <c r="L331" s="94"/>
    </row>
    <row r="332" spans="1:12" s="130" customFormat="1" ht="21" customHeight="1">
      <c r="A332" s="80"/>
      <c r="B332" s="66"/>
      <c r="C332" s="66"/>
      <c r="D332" s="592" t="s">
        <v>380</v>
      </c>
      <c r="E332" s="943">
        <v>100000</v>
      </c>
      <c r="F332" s="143">
        <f>F333</f>
        <v>100000</v>
      </c>
      <c r="G332" s="143"/>
      <c r="H332" s="143">
        <f t="shared" si="4"/>
        <v>0</v>
      </c>
      <c r="I332" s="138"/>
      <c r="J332" s="138"/>
      <c r="L332" s="138"/>
    </row>
    <row r="333" spans="1:12" s="158" customFormat="1" ht="21" customHeight="1">
      <c r="A333" s="204"/>
      <c r="B333" s="82"/>
      <c r="C333" s="82">
        <v>6050</v>
      </c>
      <c r="D333" s="549" t="s">
        <v>762</v>
      </c>
      <c r="E333" s="152">
        <v>100000</v>
      </c>
      <c r="F333" s="152">
        <v>100000</v>
      </c>
      <c r="G333" s="152"/>
      <c r="H333" s="152">
        <f t="shared" si="4"/>
        <v>0</v>
      </c>
      <c r="I333" s="157"/>
      <c r="J333" s="157"/>
      <c r="L333" s="157"/>
    </row>
    <row r="334" spans="1:12" s="585" customFormat="1" ht="16.5" customHeight="1">
      <c r="A334" s="81"/>
      <c r="B334" s="78">
        <v>90004</v>
      </c>
      <c r="C334" s="78"/>
      <c r="D334" s="78" t="s">
        <v>226</v>
      </c>
      <c r="E334" s="137">
        <v>3640000</v>
      </c>
      <c r="F334" s="137">
        <f>F335+F337</f>
        <v>300000</v>
      </c>
      <c r="G334" s="137">
        <f>G335+G337</f>
        <v>300000</v>
      </c>
      <c r="H334" s="137">
        <f t="shared" si="4"/>
        <v>3640000</v>
      </c>
      <c r="I334" s="157"/>
      <c r="J334" s="157"/>
      <c r="L334" s="586"/>
    </row>
    <row r="335" spans="1:12" s="585" customFormat="1" ht="18.75" customHeight="1">
      <c r="A335" s="206"/>
      <c r="B335" s="215"/>
      <c r="C335" s="66"/>
      <c r="D335" s="557" t="s">
        <v>227</v>
      </c>
      <c r="E335" s="268">
        <v>2500000</v>
      </c>
      <c r="F335" s="268"/>
      <c r="G335" s="268">
        <f>G336</f>
        <v>300000</v>
      </c>
      <c r="H335" s="144">
        <f t="shared" si="4"/>
        <v>2800000</v>
      </c>
      <c r="I335" s="157"/>
      <c r="J335" s="157"/>
      <c r="L335" s="586"/>
    </row>
    <row r="336" spans="1:12" s="585" customFormat="1" ht="18.75" customHeight="1">
      <c r="A336" s="205"/>
      <c r="B336" s="169"/>
      <c r="C336" s="82">
        <v>4300</v>
      </c>
      <c r="D336" s="549" t="s">
        <v>571</v>
      </c>
      <c r="E336" s="154">
        <v>2482739</v>
      </c>
      <c r="F336" s="154"/>
      <c r="G336" s="154">
        <v>300000</v>
      </c>
      <c r="H336" s="154">
        <f t="shared" si="4"/>
        <v>2782739</v>
      </c>
      <c r="I336" s="157"/>
      <c r="J336" s="157"/>
      <c r="L336" s="586"/>
    </row>
    <row r="337" spans="1:12" s="579" customFormat="1" ht="18.75" customHeight="1">
      <c r="A337" s="206"/>
      <c r="B337" s="215"/>
      <c r="C337" s="215"/>
      <c r="D337" s="1065" t="s">
        <v>723</v>
      </c>
      <c r="E337" s="1066">
        <v>800000</v>
      </c>
      <c r="F337" s="1066">
        <f>F339</f>
        <v>300000</v>
      </c>
      <c r="G337" s="1066"/>
      <c r="H337" s="871">
        <f t="shared" si="4"/>
        <v>500000</v>
      </c>
      <c r="I337" s="210"/>
      <c r="J337" s="210"/>
      <c r="L337" s="580"/>
    </row>
    <row r="338" spans="1:12" s="581" customFormat="1" ht="18.75" customHeight="1">
      <c r="A338" s="205"/>
      <c r="B338" s="169"/>
      <c r="C338" s="169"/>
      <c r="D338" s="864" t="s">
        <v>341</v>
      </c>
      <c r="E338" s="467">
        <v>300000</v>
      </c>
      <c r="F338" s="467">
        <v>300000</v>
      </c>
      <c r="G338" s="467"/>
      <c r="H338" s="467">
        <f>E338+G338-F338</f>
        <v>0</v>
      </c>
      <c r="I338" s="155"/>
      <c r="J338" s="155"/>
      <c r="L338" s="582"/>
    </row>
    <row r="339" spans="1:12" s="585" customFormat="1" ht="18.75" customHeight="1">
      <c r="A339" s="205"/>
      <c r="B339" s="321"/>
      <c r="C339" s="82">
        <v>6050</v>
      </c>
      <c r="D339" s="549" t="s">
        <v>762</v>
      </c>
      <c r="E339" s="426">
        <v>800000</v>
      </c>
      <c r="F339" s="426">
        <v>300000</v>
      </c>
      <c r="G339" s="426"/>
      <c r="H339" s="426">
        <f t="shared" si="4"/>
        <v>500000</v>
      </c>
      <c r="I339" s="157"/>
      <c r="J339" s="157"/>
      <c r="L339" s="586"/>
    </row>
    <row r="340" spans="1:12" s="95" customFormat="1" ht="19.5" customHeight="1">
      <c r="A340" s="76"/>
      <c r="B340" s="78">
        <v>90095</v>
      </c>
      <c r="C340" s="78"/>
      <c r="D340" s="78" t="s">
        <v>553</v>
      </c>
      <c r="E340" s="583">
        <v>15656000</v>
      </c>
      <c r="F340" s="543"/>
      <c r="G340" s="543">
        <f>G341</f>
        <v>1525000</v>
      </c>
      <c r="H340" s="543">
        <f t="shared" si="4"/>
        <v>17181000</v>
      </c>
      <c r="I340" s="138"/>
      <c r="J340" s="138"/>
      <c r="L340" s="94"/>
    </row>
    <row r="341" spans="1:12" s="130" customFormat="1" ht="21" customHeight="1">
      <c r="A341" s="80"/>
      <c r="B341" s="66"/>
      <c r="C341" s="66"/>
      <c r="D341" s="592" t="s">
        <v>768</v>
      </c>
      <c r="E341" s="943">
        <v>15546000</v>
      </c>
      <c r="F341" s="143"/>
      <c r="G341" s="143">
        <f>G344</f>
        <v>1525000</v>
      </c>
      <c r="H341" s="143">
        <f t="shared" si="4"/>
        <v>17071000</v>
      </c>
      <c r="I341" s="138"/>
      <c r="J341" s="138"/>
      <c r="L341" s="138"/>
    </row>
    <row r="342" spans="1:12" s="156" customFormat="1" ht="13.5" customHeight="1">
      <c r="A342" s="205"/>
      <c r="B342" s="169"/>
      <c r="C342" s="169"/>
      <c r="D342" s="1188" t="s">
        <v>253</v>
      </c>
      <c r="E342" s="467">
        <v>5346000</v>
      </c>
      <c r="F342" s="467"/>
      <c r="G342" s="467">
        <v>1000000</v>
      </c>
      <c r="H342" s="467">
        <f t="shared" si="4"/>
        <v>6346000</v>
      </c>
      <c r="I342" s="155"/>
      <c r="J342" s="155"/>
      <c r="L342" s="155"/>
    </row>
    <row r="343" spans="1:12" s="156" customFormat="1" ht="16.5" customHeight="1">
      <c r="A343" s="205"/>
      <c r="B343" s="169"/>
      <c r="C343" s="169"/>
      <c r="D343" s="1189" t="s">
        <v>381</v>
      </c>
      <c r="E343" s="1388">
        <v>2050000</v>
      </c>
      <c r="F343" s="469"/>
      <c r="G343" s="469">
        <v>525000</v>
      </c>
      <c r="H343" s="469">
        <f aca="true" t="shared" si="5" ref="H343:H407">E343+G343-F343</f>
        <v>2575000</v>
      </c>
      <c r="I343" s="155"/>
      <c r="J343" s="155"/>
      <c r="L343" s="155"/>
    </row>
    <row r="344" spans="1:12" s="158" customFormat="1" ht="21" customHeight="1">
      <c r="A344" s="561"/>
      <c r="B344" s="82"/>
      <c r="C344" s="82">
        <v>6050</v>
      </c>
      <c r="D344" s="1013" t="s">
        <v>762</v>
      </c>
      <c r="E344" s="987">
        <v>13496000</v>
      </c>
      <c r="F344" s="152"/>
      <c r="G344" s="152">
        <f>SUM(G342:G343)</f>
        <v>1525000</v>
      </c>
      <c r="H344" s="152">
        <f t="shared" si="5"/>
        <v>15021000</v>
      </c>
      <c r="I344" s="157"/>
      <c r="J344" s="157"/>
      <c r="L344" s="157"/>
    </row>
    <row r="345" spans="1:12" ht="21" customHeight="1">
      <c r="A345" s="72">
        <v>921</v>
      </c>
      <c r="B345" s="89"/>
      <c r="C345" s="73"/>
      <c r="D345" s="73" t="s">
        <v>127</v>
      </c>
      <c r="E345" s="74">
        <v>15379212</v>
      </c>
      <c r="F345" s="75">
        <f>F346</f>
        <v>14623</v>
      </c>
      <c r="G345" s="75">
        <f>G346</f>
        <v>14623</v>
      </c>
      <c r="H345" s="75">
        <f t="shared" si="5"/>
        <v>15379212</v>
      </c>
      <c r="I345" s="47"/>
      <c r="J345" s="47"/>
      <c r="L345" s="47"/>
    </row>
    <row r="346" spans="1:12" s="130" customFormat="1" ht="18.75" customHeight="1">
      <c r="A346" s="76"/>
      <c r="B346" s="78">
        <v>92105</v>
      </c>
      <c r="C346" s="78"/>
      <c r="D346" s="78" t="s">
        <v>328</v>
      </c>
      <c r="E346" s="583">
        <v>826586</v>
      </c>
      <c r="F346" s="583">
        <f>F347+F351</f>
        <v>14623</v>
      </c>
      <c r="G346" s="583">
        <f>G347+G351</f>
        <v>14623</v>
      </c>
      <c r="H346" s="583">
        <f t="shared" si="5"/>
        <v>826586</v>
      </c>
      <c r="I346" s="138"/>
      <c r="J346" s="138"/>
      <c r="L346" s="138"/>
    </row>
    <row r="347" spans="1:12" s="130" customFormat="1" ht="18.75" customHeight="1">
      <c r="A347" s="80"/>
      <c r="B347" s="66"/>
      <c r="C347" s="601"/>
      <c r="D347" s="954" t="s">
        <v>329</v>
      </c>
      <c r="E347" s="268">
        <v>721000</v>
      </c>
      <c r="F347" s="268">
        <f>F348</f>
        <v>8000</v>
      </c>
      <c r="G347" s="268">
        <f>G348</f>
        <v>8000</v>
      </c>
      <c r="H347" s="268">
        <f t="shared" si="5"/>
        <v>721000</v>
      </c>
      <c r="I347" s="138"/>
      <c r="J347" s="138"/>
      <c r="L347" s="138"/>
    </row>
    <row r="348" spans="1:12" s="130" customFormat="1" ht="18.75" customHeight="1">
      <c r="A348" s="80"/>
      <c r="B348" s="66"/>
      <c r="C348" s="601"/>
      <c r="D348" s="1160" t="s">
        <v>664</v>
      </c>
      <c r="E348" s="866">
        <v>264000</v>
      </c>
      <c r="F348" s="866">
        <f>SUM(F349:F350)</f>
        <v>8000</v>
      </c>
      <c r="G348" s="866">
        <f>SUM(G349:G350)</f>
        <v>8000</v>
      </c>
      <c r="H348" s="866">
        <f t="shared" si="5"/>
        <v>264000</v>
      </c>
      <c r="I348" s="138"/>
      <c r="J348" s="138"/>
      <c r="L348" s="138"/>
    </row>
    <row r="349" spans="1:12" s="158" customFormat="1" ht="18.75" customHeight="1">
      <c r="A349" s="204"/>
      <c r="B349" s="81"/>
      <c r="C349" s="82">
        <v>3040</v>
      </c>
      <c r="D349" s="602" t="s">
        <v>665</v>
      </c>
      <c r="E349" s="145">
        <v>40000</v>
      </c>
      <c r="F349" s="145"/>
      <c r="G349" s="145">
        <v>8000</v>
      </c>
      <c r="H349" s="145">
        <f t="shared" si="5"/>
        <v>48000</v>
      </c>
      <c r="I349" s="157"/>
      <c r="J349" s="157"/>
      <c r="L349" s="157"/>
    </row>
    <row r="350" spans="1:12" s="158" customFormat="1" ht="18.75" customHeight="1">
      <c r="A350" s="204"/>
      <c r="B350" s="81"/>
      <c r="C350" s="555">
        <v>4210</v>
      </c>
      <c r="D350" s="549" t="s">
        <v>570</v>
      </c>
      <c r="E350" s="152">
        <v>14000</v>
      </c>
      <c r="F350" s="152">
        <v>8000</v>
      </c>
      <c r="G350" s="152"/>
      <c r="H350" s="145">
        <f t="shared" si="5"/>
        <v>6000</v>
      </c>
      <c r="I350" s="157"/>
      <c r="J350" s="157"/>
      <c r="L350" s="157"/>
    </row>
    <row r="351" spans="1:12" s="130" customFormat="1" ht="18.75" customHeight="1">
      <c r="A351" s="80"/>
      <c r="B351" s="66"/>
      <c r="C351" s="601"/>
      <c r="D351" s="954" t="s">
        <v>662</v>
      </c>
      <c r="E351" s="268">
        <v>25586</v>
      </c>
      <c r="F351" s="268">
        <f>SUM(F352:F354)</f>
        <v>6623</v>
      </c>
      <c r="G351" s="268">
        <f>SUM(G352:G354)</f>
        <v>6623</v>
      </c>
      <c r="H351" s="268">
        <f t="shared" si="5"/>
        <v>25586</v>
      </c>
      <c r="I351" s="138"/>
      <c r="J351" s="138"/>
      <c r="L351" s="138"/>
    </row>
    <row r="352" spans="1:12" s="156" customFormat="1" ht="21" customHeight="1">
      <c r="A352" s="205"/>
      <c r="B352" s="169"/>
      <c r="C352" s="229">
        <v>4307</v>
      </c>
      <c r="D352" s="1161" t="s">
        <v>571</v>
      </c>
      <c r="E352" s="1241">
        <v>5806</v>
      </c>
      <c r="F352" s="1241">
        <v>76</v>
      </c>
      <c r="G352" s="1241"/>
      <c r="H352" s="1241">
        <f t="shared" si="5"/>
        <v>5730</v>
      </c>
      <c r="I352" s="155"/>
      <c r="J352" s="155"/>
      <c r="L352" s="155"/>
    </row>
    <row r="353" spans="1:12" s="158" customFormat="1" ht="18.75" customHeight="1">
      <c r="A353" s="204"/>
      <c r="B353" s="81"/>
      <c r="C353" s="82">
        <v>4427</v>
      </c>
      <c r="D353" s="320" t="s">
        <v>622</v>
      </c>
      <c r="E353" s="152">
        <v>6547</v>
      </c>
      <c r="F353" s="152">
        <v>6547</v>
      </c>
      <c r="G353" s="152"/>
      <c r="H353" s="152">
        <f t="shared" si="5"/>
        <v>0</v>
      </c>
      <c r="I353" s="157"/>
      <c r="J353" s="157"/>
      <c r="L353" s="157"/>
    </row>
    <row r="354" spans="1:12" s="158" customFormat="1" ht="18.75" customHeight="1">
      <c r="A354" s="204"/>
      <c r="B354" s="81"/>
      <c r="C354" s="555">
        <v>8557</v>
      </c>
      <c r="D354" s="998" t="s">
        <v>663</v>
      </c>
      <c r="E354" s="152"/>
      <c r="F354" s="152"/>
      <c r="G354" s="152">
        <f>6547+76</f>
        <v>6623</v>
      </c>
      <c r="H354" s="145">
        <f t="shared" si="5"/>
        <v>6623</v>
      </c>
      <c r="I354" s="157"/>
      <c r="J354" s="157"/>
      <c r="L354" s="157"/>
    </row>
    <row r="355" spans="1:12" ht="21" customHeight="1">
      <c r="A355" s="72">
        <v>926</v>
      </c>
      <c r="B355" s="89"/>
      <c r="C355" s="73"/>
      <c r="D355" s="92" t="s">
        <v>128</v>
      </c>
      <c r="E355" s="74">
        <v>19758114</v>
      </c>
      <c r="F355" s="75">
        <f>F356</f>
        <v>51663</v>
      </c>
      <c r="G355" s="75">
        <f>G356</f>
        <v>51663</v>
      </c>
      <c r="H355" s="75">
        <f t="shared" si="5"/>
        <v>19758114</v>
      </c>
      <c r="I355" s="47"/>
      <c r="J355" s="47"/>
      <c r="L355" s="47"/>
    </row>
    <row r="356" spans="1:12" s="130" customFormat="1" ht="18.75" customHeight="1">
      <c r="A356" s="76"/>
      <c r="B356" s="78">
        <v>92605</v>
      </c>
      <c r="C356" s="78"/>
      <c r="D356" s="78" t="s">
        <v>181</v>
      </c>
      <c r="E356" s="583">
        <v>3240000</v>
      </c>
      <c r="F356" s="583">
        <f>F357</f>
        <v>51663</v>
      </c>
      <c r="G356" s="583">
        <f>G357</f>
        <v>51663</v>
      </c>
      <c r="H356" s="583">
        <f t="shared" si="5"/>
        <v>3240000</v>
      </c>
      <c r="I356" s="138"/>
      <c r="J356" s="138"/>
      <c r="L356" s="138"/>
    </row>
    <row r="357" spans="1:12" s="130" customFormat="1" ht="18.75" customHeight="1">
      <c r="A357" s="80"/>
      <c r="B357" s="66"/>
      <c r="C357" s="601"/>
      <c r="D357" s="673" t="s">
        <v>623</v>
      </c>
      <c r="E357" s="268">
        <v>800000</v>
      </c>
      <c r="F357" s="268">
        <f>SUM(F358:F361)</f>
        <v>51663</v>
      </c>
      <c r="G357" s="268">
        <f>SUM(G358:G361)</f>
        <v>51663</v>
      </c>
      <c r="H357" s="268">
        <f t="shared" si="5"/>
        <v>800000</v>
      </c>
      <c r="I357" s="138"/>
      <c r="J357" s="138"/>
      <c r="L357" s="138"/>
    </row>
    <row r="358" spans="1:12" s="158" customFormat="1" ht="18.75" customHeight="1">
      <c r="A358" s="204"/>
      <c r="B358" s="81"/>
      <c r="C358" s="82">
        <v>4110</v>
      </c>
      <c r="D358" s="549" t="s">
        <v>653</v>
      </c>
      <c r="E358" s="145">
        <v>107365</v>
      </c>
      <c r="F358" s="145"/>
      <c r="G358" s="145">
        <f>50953-40614</f>
        <v>10339</v>
      </c>
      <c r="H358" s="145">
        <f t="shared" si="5"/>
        <v>117704</v>
      </c>
      <c r="I358" s="157"/>
      <c r="J358" s="157"/>
      <c r="L358" s="157"/>
    </row>
    <row r="359" spans="1:12" s="158" customFormat="1" ht="18.75" customHeight="1">
      <c r="A359" s="204"/>
      <c r="B359" s="81"/>
      <c r="C359" s="555">
        <v>4120</v>
      </c>
      <c r="D359" s="549" t="s">
        <v>654</v>
      </c>
      <c r="E359" s="152">
        <v>17982</v>
      </c>
      <c r="F359" s="152">
        <v>1663</v>
      </c>
      <c r="G359" s="152"/>
      <c r="H359" s="145">
        <f t="shared" si="5"/>
        <v>16319</v>
      </c>
      <c r="I359" s="157"/>
      <c r="J359" s="157"/>
      <c r="L359" s="157"/>
    </row>
    <row r="360" spans="1:12" s="158" customFormat="1" ht="18.75" customHeight="1">
      <c r="A360" s="204"/>
      <c r="B360" s="81"/>
      <c r="C360" s="496">
        <v>4170</v>
      </c>
      <c r="D360" s="496" t="s">
        <v>581</v>
      </c>
      <c r="E360" s="152">
        <v>624653</v>
      </c>
      <c r="F360" s="152"/>
      <c r="G360" s="152">
        <v>41324</v>
      </c>
      <c r="H360" s="145">
        <f t="shared" si="5"/>
        <v>665977</v>
      </c>
      <c r="I360" s="157"/>
      <c r="J360" s="157"/>
      <c r="L360" s="157"/>
    </row>
    <row r="361" spans="1:12" s="158" customFormat="1" ht="18.75" customHeight="1">
      <c r="A361" s="204"/>
      <c r="B361" s="81"/>
      <c r="C361" s="496">
        <v>4300</v>
      </c>
      <c r="D361" s="496" t="s">
        <v>571</v>
      </c>
      <c r="E361" s="605">
        <v>50000</v>
      </c>
      <c r="F361" s="605">
        <v>50000</v>
      </c>
      <c r="G361" s="605"/>
      <c r="H361" s="605">
        <f t="shared" si="5"/>
        <v>0</v>
      </c>
      <c r="I361" s="157"/>
      <c r="J361" s="157"/>
      <c r="L361" s="157"/>
    </row>
    <row r="362" spans="1:12" ht="27.75" customHeight="1" thickBot="1">
      <c r="A362" s="66"/>
      <c r="B362" s="66"/>
      <c r="C362" s="635"/>
      <c r="D362" s="665" t="s">
        <v>520</v>
      </c>
      <c r="E362" s="850">
        <v>5163548</v>
      </c>
      <c r="F362" s="850">
        <f>F363+F367+F373</f>
        <v>70490</v>
      </c>
      <c r="G362" s="850">
        <f>G363+G367+G373</f>
        <v>77490</v>
      </c>
      <c r="H362" s="850">
        <f t="shared" si="5"/>
        <v>5170548</v>
      </c>
      <c r="I362" s="47"/>
      <c r="J362" s="47"/>
      <c r="L362" s="47"/>
    </row>
    <row r="363" spans="1:12" ht="21" customHeight="1" thickTop="1">
      <c r="A363" s="72">
        <v>754</v>
      </c>
      <c r="B363" s="89"/>
      <c r="C363" s="73"/>
      <c r="D363" s="92" t="s">
        <v>548</v>
      </c>
      <c r="E363" s="74"/>
      <c r="F363" s="75"/>
      <c r="G363" s="75">
        <f>G364</f>
        <v>7000</v>
      </c>
      <c r="H363" s="75">
        <f t="shared" si="5"/>
        <v>7000</v>
      </c>
      <c r="I363" s="47"/>
      <c r="J363" s="47"/>
      <c r="L363" s="47"/>
    </row>
    <row r="364" spans="1:12" s="130" customFormat="1" ht="18.75" customHeight="1">
      <c r="A364" s="76"/>
      <c r="B364" s="77">
        <v>75411</v>
      </c>
      <c r="C364" s="77"/>
      <c r="D364" s="77" t="s">
        <v>284</v>
      </c>
      <c r="E364" s="137"/>
      <c r="F364" s="137"/>
      <c r="G364" s="137">
        <f>G365</f>
        <v>7000</v>
      </c>
      <c r="H364" s="137">
        <f t="shared" si="5"/>
        <v>7000</v>
      </c>
      <c r="I364" s="138"/>
      <c r="J364" s="138"/>
      <c r="L364" s="138"/>
    </row>
    <row r="365" spans="1:12" s="130" customFormat="1" ht="18.75" customHeight="1">
      <c r="A365" s="80"/>
      <c r="B365" s="474"/>
      <c r="C365" s="66"/>
      <c r="D365" s="862" t="s">
        <v>574</v>
      </c>
      <c r="E365" s="143"/>
      <c r="F365" s="143"/>
      <c r="G365" s="143">
        <f>G366</f>
        <v>7000</v>
      </c>
      <c r="H365" s="143">
        <f t="shared" si="5"/>
        <v>7000</v>
      </c>
      <c r="I365" s="138"/>
      <c r="J365" s="138"/>
      <c r="L365" s="138"/>
    </row>
    <row r="366" spans="1:12" s="158" customFormat="1" ht="25.5">
      <c r="A366" s="204"/>
      <c r="B366" s="81"/>
      <c r="C366" s="82">
        <v>4270</v>
      </c>
      <c r="D366" s="549" t="s">
        <v>493</v>
      </c>
      <c r="E366" s="152"/>
      <c r="F366" s="152"/>
      <c r="G366" s="152">
        <v>7000</v>
      </c>
      <c r="H366" s="152">
        <f t="shared" si="5"/>
        <v>7000</v>
      </c>
      <c r="I366" s="157"/>
      <c r="J366" s="157"/>
      <c r="L366" s="157"/>
    </row>
    <row r="367" spans="1:12" ht="21" customHeight="1">
      <c r="A367" s="72">
        <v>801</v>
      </c>
      <c r="B367" s="89"/>
      <c r="C367" s="73"/>
      <c r="D367" s="92" t="s">
        <v>554</v>
      </c>
      <c r="E367" s="74">
        <v>377000</v>
      </c>
      <c r="F367" s="75">
        <f>F368</f>
        <v>7000</v>
      </c>
      <c r="G367" s="75">
        <f>G368</f>
        <v>7000</v>
      </c>
      <c r="H367" s="75">
        <f t="shared" si="5"/>
        <v>377000</v>
      </c>
      <c r="I367" s="47"/>
      <c r="J367" s="47"/>
      <c r="L367" s="47"/>
    </row>
    <row r="368" spans="1:12" s="130" customFormat="1" ht="18.75" customHeight="1">
      <c r="A368" s="76"/>
      <c r="B368" s="77">
        <v>80104</v>
      </c>
      <c r="C368" s="77"/>
      <c r="D368" s="77" t="s">
        <v>601</v>
      </c>
      <c r="E368" s="137">
        <v>377000</v>
      </c>
      <c r="F368" s="137">
        <f>F369</f>
        <v>7000</v>
      </c>
      <c r="G368" s="137">
        <f>G369</f>
        <v>7000</v>
      </c>
      <c r="H368" s="137">
        <f t="shared" si="5"/>
        <v>377000</v>
      </c>
      <c r="I368" s="138"/>
      <c r="J368" s="138"/>
      <c r="L368" s="138"/>
    </row>
    <row r="369" spans="1:12" s="130" customFormat="1" ht="21.75" customHeight="1">
      <c r="A369" s="80"/>
      <c r="B369" s="474"/>
      <c r="C369" s="66"/>
      <c r="D369" s="556" t="s">
        <v>480</v>
      </c>
      <c r="E369" s="143">
        <v>377000</v>
      </c>
      <c r="F369" s="143">
        <f>F370+F371</f>
        <v>7000</v>
      </c>
      <c r="G369" s="143">
        <f>G370+G371</f>
        <v>7000</v>
      </c>
      <c r="H369" s="143">
        <f t="shared" si="5"/>
        <v>377000</v>
      </c>
      <c r="I369" s="138"/>
      <c r="J369" s="138"/>
      <c r="L369" s="138"/>
    </row>
    <row r="370" spans="1:12" s="158" customFormat="1" ht="25.5">
      <c r="A370" s="204"/>
      <c r="B370" s="81"/>
      <c r="C370" s="82">
        <v>2540</v>
      </c>
      <c r="D370" s="549" t="s">
        <v>620</v>
      </c>
      <c r="E370" s="152">
        <v>210555</v>
      </c>
      <c r="F370" s="152"/>
      <c r="G370" s="152">
        <v>7000</v>
      </c>
      <c r="H370" s="152">
        <f t="shared" si="5"/>
        <v>217555</v>
      </c>
      <c r="I370" s="157"/>
      <c r="J370" s="157"/>
      <c r="L370" s="157"/>
    </row>
    <row r="371" spans="1:12" s="158" customFormat="1" ht="38.25">
      <c r="A371" s="561"/>
      <c r="B371" s="82"/>
      <c r="C371" s="82">
        <v>2590</v>
      </c>
      <c r="D371" s="549" t="s">
        <v>481</v>
      </c>
      <c r="E371" s="605">
        <v>166445</v>
      </c>
      <c r="F371" s="605">
        <v>7000</v>
      </c>
      <c r="G371" s="605"/>
      <c r="H371" s="605">
        <f t="shared" si="5"/>
        <v>159445</v>
      </c>
      <c r="I371" s="157"/>
      <c r="J371" s="157"/>
      <c r="L371" s="157"/>
    </row>
    <row r="372" spans="1:12" s="158" customFormat="1" ht="25.5" customHeight="1">
      <c r="A372" s="1364"/>
      <c r="B372" s="1365"/>
      <c r="C372" s="1365"/>
      <c r="D372" s="1400"/>
      <c r="E372" s="1367"/>
      <c r="F372" s="1367"/>
      <c r="G372" s="1367"/>
      <c r="H372" s="1367"/>
      <c r="I372" s="157"/>
      <c r="J372" s="157"/>
      <c r="L372" s="157"/>
    </row>
    <row r="373" spans="1:12" s="194" customFormat="1" ht="18.75" customHeight="1">
      <c r="A373" s="439">
        <v>852</v>
      </c>
      <c r="B373" s="73"/>
      <c r="C373" s="73"/>
      <c r="D373" s="92" t="s">
        <v>555</v>
      </c>
      <c r="E373" s="623">
        <v>3547310</v>
      </c>
      <c r="F373" s="623">
        <f>F374</f>
        <v>63490</v>
      </c>
      <c r="G373" s="623">
        <f>G374</f>
        <v>63490</v>
      </c>
      <c r="H373" s="623">
        <f t="shared" si="5"/>
        <v>3547310</v>
      </c>
      <c r="I373" s="195"/>
      <c r="J373" s="195"/>
      <c r="L373" s="195"/>
    </row>
    <row r="374" spans="1:12" s="194" customFormat="1" ht="18.75" customHeight="1">
      <c r="A374" s="141"/>
      <c r="B374" s="136">
        <v>85201</v>
      </c>
      <c r="C374" s="78"/>
      <c r="D374" s="77" t="s">
        <v>190</v>
      </c>
      <c r="E374" s="316">
        <v>2160000</v>
      </c>
      <c r="F374" s="316">
        <f>F375+F378+F385</f>
        <v>63490</v>
      </c>
      <c r="G374" s="316">
        <f>G375+G378+G385</f>
        <v>63490</v>
      </c>
      <c r="H374" s="316">
        <f t="shared" si="5"/>
        <v>2160000</v>
      </c>
      <c r="I374" s="195"/>
      <c r="J374" s="195"/>
      <c r="L374" s="195"/>
    </row>
    <row r="375" spans="1:12" s="274" customFormat="1" ht="18.75" customHeight="1">
      <c r="A375" s="215"/>
      <c r="B375" s="215"/>
      <c r="C375" s="207"/>
      <c r="D375" s="474" t="s">
        <v>765</v>
      </c>
      <c r="E375" s="1006">
        <v>988400</v>
      </c>
      <c r="F375" s="1006"/>
      <c r="G375" s="1006">
        <f>SUM(G376:G377)</f>
        <v>51590</v>
      </c>
      <c r="H375" s="1006">
        <f t="shared" si="5"/>
        <v>1039990</v>
      </c>
      <c r="I375" s="414"/>
      <c r="J375" s="414"/>
      <c r="L375" s="414"/>
    </row>
    <row r="376" spans="1:12" s="194" customFormat="1" ht="18.75" customHeight="1">
      <c r="A376" s="169"/>
      <c r="B376" s="169"/>
      <c r="C376" s="321">
        <v>4010</v>
      </c>
      <c r="D376" s="984" t="s">
        <v>521</v>
      </c>
      <c r="E376" s="941">
        <v>908376</v>
      </c>
      <c r="F376" s="941"/>
      <c r="G376" s="941">
        <v>37590</v>
      </c>
      <c r="H376" s="941">
        <f t="shared" si="5"/>
        <v>945966</v>
      </c>
      <c r="I376" s="195"/>
      <c r="J376" s="195"/>
      <c r="L376" s="195"/>
    </row>
    <row r="377" spans="1:12" s="156" customFormat="1" ht="18.75" customHeight="1">
      <c r="A377" s="153"/>
      <c r="B377" s="153"/>
      <c r="C377" s="169">
        <v>4170</v>
      </c>
      <c r="D377" s="321" t="s">
        <v>581</v>
      </c>
      <c r="E377" s="420"/>
      <c r="F377" s="420"/>
      <c r="G377" s="420">
        <v>14000</v>
      </c>
      <c r="H377" s="420">
        <f t="shared" si="5"/>
        <v>14000</v>
      </c>
      <c r="I377" s="155"/>
      <c r="J377" s="155"/>
      <c r="L377" s="155"/>
    </row>
    <row r="378" spans="1:12" s="274" customFormat="1" ht="18.75" customHeight="1">
      <c r="A378" s="215"/>
      <c r="B378" s="1386"/>
      <c r="C378" s="207"/>
      <c r="D378" s="215" t="s">
        <v>574</v>
      </c>
      <c r="E378" s="1006">
        <v>415100</v>
      </c>
      <c r="F378" s="1006">
        <f>SUM(F379:F384)</f>
        <v>39890</v>
      </c>
      <c r="G378" s="1006">
        <f>SUM(G379:G384)</f>
        <v>11500</v>
      </c>
      <c r="H378" s="1006">
        <f t="shared" si="5"/>
        <v>386710</v>
      </c>
      <c r="I378" s="414"/>
      <c r="J378" s="414"/>
      <c r="L378" s="414"/>
    </row>
    <row r="379" spans="1:12" s="194" customFormat="1" ht="18.75" customHeight="1">
      <c r="A379" s="169"/>
      <c r="B379" s="990"/>
      <c r="C379" s="321">
        <v>4210</v>
      </c>
      <c r="D379" s="984" t="s">
        <v>570</v>
      </c>
      <c r="E379" s="425">
        <v>64000</v>
      </c>
      <c r="F379" s="425">
        <v>6890</v>
      </c>
      <c r="G379" s="425"/>
      <c r="H379" s="425">
        <f t="shared" si="5"/>
        <v>57110</v>
      </c>
      <c r="I379" s="195"/>
      <c r="J379" s="195"/>
      <c r="L379" s="195"/>
    </row>
    <row r="380" spans="1:12" s="194" customFormat="1" ht="18.75" customHeight="1">
      <c r="A380" s="169"/>
      <c r="B380" s="990"/>
      <c r="C380" s="161">
        <v>4220</v>
      </c>
      <c r="D380" s="321" t="s">
        <v>670</v>
      </c>
      <c r="E380" s="1005">
        <v>96400</v>
      </c>
      <c r="F380" s="1005">
        <v>5000</v>
      </c>
      <c r="G380" s="1005"/>
      <c r="H380" s="1005">
        <f t="shared" si="5"/>
        <v>91400</v>
      </c>
      <c r="I380" s="195"/>
      <c r="J380" s="195"/>
      <c r="L380" s="195"/>
    </row>
    <row r="381" spans="1:12" s="194" customFormat="1" ht="18.75" customHeight="1">
      <c r="A381" s="169"/>
      <c r="B381" s="990"/>
      <c r="C381" s="542">
        <v>4230</v>
      </c>
      <c r="D381" s="169" t="s">
        <v>464</v>
      </c>
      <c r="E381" s="1078">
        <v>4610</v>
      </c>
      <c r="F381" s="1078"/>
      <c r="G381" s="1078">
        <v>1500</v>
      </c>
      <c r="H381" s="1078">
        <f t="shared" si="5"/>
        <v>6110</v>
      </c>
      <c r="I381" s="195"/>
      <c r="J381" s="195"/>
      <c r="L381" s="195"/>
    </row>
    <row r="382" spans="1:12" s="194" customFormat="1" ht="18.75" customHeight="1">
      <c r="A382" s="169"/>
      <c r="B382" s="990"/>
      <c r="C382" s="161">
        <v>4240</v>
      </c>
      <c r="D382" s="161" t="s">
        <v>69</v>
      </c>
      <c r="E382" s="1078">
        <v>8500</v>
      </c>
      <c r="F382" s="1078">
        <v>3000</v>
      </c>
      <c r="G382" s="1078"/>
      <c r="H382" s="1078">
        <f t="shared" si="5"/>
        <v>5500</v>
      </c>
      <c r="I382" s="195"/>
      <c r="J382" s="195"/>
      <c r="L382" s="195"/>
    </row>
    <row r="383" spans="1:12" s="194" customFormat="1" ht="18.75" customHeight="1">
      <c r="A383" s="169"/>
      <c r="B383" s="990"/>
      <c r="C383" s="161">
        <v>4260</v>
      </c>
      <c r="D383" s="161" t="s">
        <v>656</v>
      </c>
      <c r="E383" s="1078">
        <v>68400</v>
      </c>
      <c r="F383" s="1078"/>
      <c r="G383" s="1078">
        <v>10000</v>
      </c>
      <c r="H383" s="1078">
        <f t="shared" si="5"/>
        <v>78400</v>
      </c>
      <c r="I383" s="195"/>
      <c r="J383" s="195"/>
      <c r="L383" s="195"/>
    </row>
    <row r="384" spans="1:12" s="194" customFormat="1" ht="18.75" customHeight="1">
      <c r="A384" s="169"/>
      <c r="B384" s="990"/>
      <c r="C384" s="161">
        <v>4300</v>
      </c>
      <c r="D384" s="161" t="s">
        <v>571</v>
      </c>
      <c r="E384" s="1078">
        <v>91350</v>
      </c>
      <c r="F384" s="1078">
        <v>25000</v>
      </c>
      <c r="G384" s="1078"/>
      <c r="H384" s="1078">
        <f t="shared" si="5"/>
        <v>66350</v>
      </c>
      <c r="I384" s="195"/>
      <c r="J384" s="195"/>
      <c r="L384" s="195"/>
    </row>
    <row r="385" spans="1:12" s="274" customFormat="1" ht="18.75" customHeight="1">
      <c r="A385" s="215"/>
      <c r="B385" s="1386"/>
      <c r="C385" s="215"/>
      <c r="D385" s="215" t="s">
        <v>599</v>
      </c>
      <c r="E385" s="1387">
        <v>196500</v>
      </c>
      <c r="F385" s="1387">
        <f>SUM(F386:F387)</f>
        <v>23600</v>
      </c>
      <c r="G385" s="1387">
        <f>SUM(G386:G387)</f>
        <v>400</v>
      </c>
      <c r="H385" s="1387">
        <f t="shared" si="5"/>
        <v>173300</v>
      </c>
      <c r="I385" s="414"/>
      <c r="J385" s="414"/>
      <c r="L385" s="414"/>
    </row>
    <row r="386" spans="1:12" s="194" customFormat="1" ht="18.75" customHeight="1">
      <c r="A386" s="169"/>
      <c r="B386" s="990"/>
      <c r="C386" s="321">
        <v>4110</v>
      </c>
      <c r="D386" s="984" t="s">
        <v>653</v>
      </c>
      <c r="E386" s="425">
        <v>167850</v>
      </c>
      <c r="F386" s="425">
        <v>23600</v>
      </c>
      <c r="G386" s="425"/>
      <c r="H386" s="425">
        <f t="shared" si="5"/>
        <v>144250</v>
      </c>
      <c r="I386" s="195"/>
      <c r="J386" s="195"/>
      <c r="L386" s="195"/>
    </row>
    <row r="387" spans="1:12" s="194" customFormat="1" ht="18.75" customHeight="1">
      <c r="A387" s="169"/>
      <c r="B387" s="990"/>
      <c r="C387" s="161">
        <v>4120</v>
      </c>
      <c r="D387" s="161" t="s">
        <v>654</v>
      </c>
      <c r="E387" s="1004">
        <v>28650</v>
      </c>
      <c r="F387" s="1004"/>
      <c r="G387" s="1004">
        <v>400</v>
      </c>
      <c r="H387" s="1004">
        <f t="shared" si="5"/>
        <v>29050</v>
      </c>
      <c r="I387" s="195"/>
      <c r="J387" s="195"/>
      <c r="L387" s="195"/>
    </row>
    <row r="388" spans="1:12" ht="20.25" customHeight="1" thickBot="1">
      <c r="A388" s="66"/>
      <c r="B388" s="66"/>
      <c r="C388" s="66"/>
      <c r="D388" s="1076" t="s">
        <v>583</v>
      </c>
      <c r="E388" s="1077">
        <v>99432206</v>
      </c>
      <c r="F388" s="1077">
        <f>F389+F403</f>
        <v>639300</v>
      </c>
      <c r="G388" s="1077">
        <f>G389+G403</f>
        <v>147243</v>
      </c>
      <c r="H388" s="1077">
        <f t="shared" si="5"/>
        <v>98940149</v>
      </c>
      <c r="I388" s="47">
        <f>G388-F388</f>
        <v>-492057</v>
      </c>
      <c r="J388" s="47"/>
      <c r="L388" s="47"/>
    </row>
    <row r="389" spans="1:12" s="194" customFormat="1" ht="21" customHeight="1" thickBot="1">
      <c r="A389" s="169"/>
      <c r="B389" s="169"/>
      <c r="C389" s="169"/>
      <c r="D389" s="162" t="s">
        <v>584</v>
      </c>
      <c r="E389" s="471">
        <v>77259529</v>
      </c>
      <c r="F389" s="471">
        <f>F390+F396</f>
        <v>639300</v>
      </c>
      <c r="G389" s="471">
        <f>G390+G396</f>
        <v>2149</v>
      </c>
      <c r="H389" s="471">
        <f t="shared" si="5"/>
        <v>76622378</v>
      </c>
      <c r="I389" s="195"/>
      <c r="J389" s="195"/>
      <c r="L389" s="195"/>
    </row>
    <row r="390" spans="1:12" s="194" customFormat="1" ht="21" customHeight="1" thickTop="1">
      <c r="A390" s="184">
        <v>851</v>
      </c>
      <c r="B390" s="72"/>
      <c r="C390" s="256"/>
      <c r="D390" s="658" t="s">
        <v>557</v>
      </c>
      <c r="E390" s="315">
        <v>1533</v>
      </c>
      <c r="F390" s="315"/>
      <c r="G390" s="315">
        <f>G391</f>
        <v>2149</v>
      </c>
      <c r="H390" s="315">
        <f t="shared" si="5"/>
        <v>3682</v>
      </c>
      <c r="I390" s="195"/>
      <c r="J390" s="195"/>
      <c r="L390" s="195"/>
    </row>
    <row r="391" spans="1:12" s="194" customFormat="1" ht="21" customHeight="1">
      <c r="A391" s="258"/>
      <c r="B391" s="227">
        <v>85195</v>
      </c>
      <c r="C391" s="259"/>
      <c r="D391" s="232" t="s">
        <v>553</v>
      </c>
      <c r="E391" s="749">
        <v>1533</v>
      </c>
      <c r="F391" s="749"/>
      <c r="G391" s="749">
        <f>G392</f>
        <v>2149</v>
      </c>
      <c r="H391" s="316">
        <f t="shared" si="5"/>
        <v>3682</v>
      </c>
      <c r="I391" s="195"/>
      <c r="J391" s="195"/>
      <c r="L391" s="195"/>
    </row>
    <row r="392" spans="1:12" s="194" customFormat="1" ht="19.5" customHeight="1">
      <c r="A392" s="169"/>
      <c r="B392" s="169"/>
      <c r="C392" s="747"/>
      <c r="D392" s="748" t="s">
        <v>326</v>
      </c>
      <c r="E392" s="440">
        <v>1533</v>
      </c>
      <c r="F392" s="440"/>
      <c r="G392" s="440">
        <f>SUM(G393:G395)</f>
        <v>2149</v>
      </c>
      <c r="H392" s="440">
        <f t="shared" si="5"/>
        <v>3682</v>
      </c>
      <c r="I392" s="195"/>
      <c r="J392" s="195"/>
      <c r="L392" s="195"/>
    </row>
    <row r="393" spans="1:12" s="156" customFormat="1" ht="21" customHeight="1">
      <c r="A393" s="153"/>
      <c r="B393" s="153"/>
      <c r="C393" s="321">
        <v>4010</v>
      </c>
      <c r="D393" s="320" t="s">
        <v>521</v>
      </c>
      <c r="E393" s="160">
        <v>1278</v>
      </c>
      <c r="F393" s="160"/>
      <c r="G393" s="160">
        <v>1792</v>
      </c>
      <c r="H393" s="160">
        <f t="shared" si="5"/>
        <v>3070</v>
      </c>
      <c r="I393" s="155"/>
      <c r="J393" s="155"/>
      <c r="L393" s="155"/>
    </row>
    <row r="394" spans="1:12" s="459" customFormat="1" ht="20.25" customHeight="1">
      <c r="A394" s="438"/>
      <c r="B394" s="438"/>
      <c r="C394" s="321">
        <v>4110</v>
      </c>
      <c r="D394" s="320" t="s">
        <v>653</v>
      </c>
      <c r="E394" s="160">
        <v>224</v>
      </c>
      <c r="F394" s="160"/>
      <c r="G394" s="160">
        <v>314</v>
      </c>
      <c r="H394" s="160">
        <f t="shared" si="5"/>
        <v>538</v>
      </c>
      <c r="I394" s="458"/>
      <c r="J394" s="458"/>
      <c r="L394" s="458"/>
    </row>
    <row r="395" spans="1:12" s="459" customFormat="1" ht="20.25" customHeight="1">
      <c r="A395" s="438"/>
      <c r="B395" s="438"/>
      <c r="C395" s="321">
        <v>4120</v>
      </c>
      <c r="D395" s="468" t="s">
        <v>654</v>
      </c>
      <c r="E395" s="422">
        <v>31</v>
      </c>
      <c r="F395" s="422"/>
      <c r="G395" s="422">
        <v>43</v>
      </c>
      <c r="H395" s="422">
        <f t="shared" si="5"/>
        <v>74</v>
      </c>
      <c r="I395" s="458"/>
      <c r="J395" s="458"/>
      <c r="L395" s="458"/>
    </row>
    <row r="396" spans="1:12" s="194" customFormat="1" ht="21" customHeight="1">
      <c r="A396" s="184">
        <v>852</v>
      </c>
      <c r="B396" s="72"/>
      <c r="C396" s="256"/>
      <c r="D396" s="233" t="s">
        <v>555</v>
      </c>
      <c r="E396" s="623">
        <v>75654900</v>
      </c>
      <c r="F396" s="623">
        <f>F397+F400</f>
        <v>639300</v>
      </c>
      <c r="G396" s="623"/>
      <c r="H396" s="623">
        <f t="shared" si="5"/>
        <v>75015600</v>
      </c>
      <c r="I396" s="195"/>
      <c r="J396" s="195"/>
      <c r="L396" s="195"/>
    </row>
    <row r="397" spans="1:12" s="194" customFormat="1" ht="23.25" customHeight="1">
      <c r="A397" s="258"/>
      <c r="B397" s="227">
        <v>85212</v>
      </c>
      <c r="C397" s="259"/>
      <c r="D397" s="232" t="s">
        <v>144</v>
      </c>
      <c r="E397" s="316">
        <v>64522000</v>
      </c>
      <c r="F397" s="316">
        <f>F398</f>
        <v>600000</v>
      </c>
      <c r="G397" s="316"/>
      <c r="H397" s="316">
        <f t="shared" si="5"/>
        <v>63922000</v>
      </c>
      <c r="I397" s="195"/>
      <c r="J397" s="195"/>
      <c r="L397" s="195"/>
    </row>
    <row r="398" spans="1:12" s="194" customFormat="1" ht="21" customHeight="1">
      <c r="A398" s="169"/>
      <c r="B398" s="169"/>
      <c r="C398" s="542"/>
      <c r="D398" s="592" t="s">
        <v>146</v>
      </c>
      <c r="E398" s="540">
        <v>62644000</v>
      </c>
      <c r="F398" s="540">
        <f>F399</f>
        <v>600000</v>
      </c>
      <c r="G398" s="540"/>
      <c r="H398" s="540">
        <f t="shared" si="5"/>
        <v>62044000</v>
      </c>
      <c r="I398" s="195"/>
      <c r="J398" s="195"/>
      <c r="L398" s="195"/>
    </row>
    <row r="399" spans="1:12" s="156" customFormat="1" ht="21" customHeight="1">
      <c r="A399" s="153"/>
      <c r="B399" s="318"/>
      <c r="C399" s="321">
        <v>3110</v>
      </c>
      <c r="D399" s="1123" t="s">
        <v>225</v>
      </c>
      <c r="E399" s="425">
        <v>62008000</v>
      </c>
      <c r="F399" s="425">
        <v>600000</v>
      </c>
      <c r="G399" s="425"/>
      <c r="H399" s="425">
        <f t="shared" si="5"/>
        <v>61408000</v>
      </c>
      <c r="I399" s="155"/>
      <c r="J399" s="155"/>
      <c r="L399" s="155"/>
    </row>
    <row r="400" spans="1:12" s="194" customFormat="1" ht="21" customHeight="1">
      <c r="A400" s="185"/>
      <c r="B400" s="227">
        <v>85228</v>
      </c>
      <c r="C400" s="259"/>
      <c r="D400" s="232" t="s">
        <v>142</v>
      </c>
      <c r="E400" s="316">
        <v>1317800</v>
      </c>
      <c r="F400" s="316">
        <f>F401</f>
        <v>39300</v>
      </c>
      <c r="G400" s="316"/>
      <c r="H400" s="316">
        <f t="shared" si="5"/>
        <v>1278500</v>
      </c>
      <c r="I400" s="195"/>
      <c r="J400" s="195"/>
      <c r="L400" s="195"/>
    </row>
    <row r="401" spans="1:12" s="194" customFormat="1" ht="21" customHeight="1">
      <c r="A401" s="169"/>
      <c r="B401" s="169"/>
      <c r="C401" s="542"/>
      <c r="D401" s="541" t="s">
        <v>147</v>
      </c>
      <c r="E401" s="540">
        <v>1317800</v>
      </c>
      <c r="F401" s="540">
        <f>F402</f>
        <v>39300</v>
      </c>
      <c r="G401" s="540"/>
      <c r="H401" s="540">
        <f t="shared" si="5"/>
        <v>1278500</v>
      </c>
      <c r="I401" s="195"/>
      <c r="J401" s="195"/>
      <c r="L401" s="195"/>
    </row>
    <row r="402" spans="1:12" s="156" customFormat="1" ht="21" customHeight="1">
      <c r="A402" s="318"/>
      <c r="B402" s="318"/>
      <c r="C402" s="321">
        <v>4300</v>
      </c>
      <c r="D402" s="817" t="s">
        <v>571</v>
      </c>
      <c r="E402" s="425">
        <v>1317800</v>
      </c>
      <c r="F402" s="425">
        <v>39300</v>
      </c>
      <c r="G402" s="425"/>
      <c r="H402" s="425">
        <f t="shared" si="5"/>
        <v>1278500</v>
      </c>
      <c r="I402" s="155"/>
      <c r="J402" s="155"/>
      <c r="L402" s="155"/>
    </row>
    <row r="403" spans="1:12" s="194" customFormat="1" ht="29.25" customHeight="1" thickBot="1">
      <c r="A403" s="321"/>
      <c r="B403" s="321"/>
      <c r="C403" s="321"/>
      <c r="D403" s="163" t="s">
        <v>585</v>
      </c>
      <c r="E403" s="1401">
        <v>22172677</v>
      </c>
      <c r="F403" s="1401"/>
      <c r="G403" s="1401">
        <f>G404+G413</f>
        <v>145094</v>
      </c>
      <c r="H403" s="1401">
        <f t="shared" si="5"/>
        <v>22317771</v>
      </c>
      <c r="I403" s="195"/>
      <c r="J403" s="195"/>
      <c r="L403" s="195"/>
    </row>
    <row r="404" spans="1:12" s="194" customFormat="1" ht="18.75" customHeight="1" thickTop="1">
      <c r="A404" s="72">
        <v>851</v>
      </c>
      <c r="B404" s="89"/>
      <c r="C404" s="89"/>
      <c r="D404" s="658" t="s">
        <v>557</v>
      </c>
      <c r="E404" s="315">
        <v>3187000</v>
      </c>
      <c r="F404" s="315"/>
      <c r="G404" s="315">
        <f>G405</f>
        <v>120000</v>
      </c>
      <c r="H404" s="315">
        <f t="shared" si="5"/>
        <v>3307000</v>
      </c>
      <c r="I404" s="195"/>
      <c r="J404" s="195"/>
      <c r="L404" s="195"/>
    </row>
    <row r="405" spans="1:12" s="194" customFormat="1" ht="18.75" customHeight="1">
      <c r="A405" s="141"/>
      <c r="B405" s="136">
        <v>85141</v>
      </c>
      <c r="C405" s="78"/>
      <c r="D405" s="991" t="s">
        <v>451</v>
      </c>
      <c r="E405" s="316"/>
      <c r="F405" s="316"/>
      <c r="G405" s="316">
        <f>G406</f>
        <v>120000</v>
      </c>
      <c r="H405" s="316">
        <f t="shared" si="5"/>
        <v>120000</v>
      </c>
      <c r="I405" s="195"/>
      <c r="J405" s="195"/>
      <c r="L405" s="195"/>
    </row>
    <row r="406" spans="1:12" s="274" customFormat="1" ht="18.75" customHeight="1">
      <c r="A406" s="215"/>
      <c r="B406" s="215"/>
      <c r="C406" s="207"/>
      <c r="D406" s="992" t="s">
        <v>694</v>
      </c>
      <c r="E406" s="1006"/>
      <c r="F406" s="1006"/>
      <c r="G406" s="1006">
        <f>SUM(G407:G412)</f>
        <v>120000</v>
      </c>
      <c r="H406" s="1006">
        <f t="shared" si="5"/>
        <v>120000</v>
      </c>
      <c r="I406" s="414"/>
      <c r="J406" s="414"/>
      <c r="L406" s="414"/>
    </row>
    <row r="407" spans="1:12" s="156" customFormat="1" ht="18.75" customHeight="1">
      <c r="A407" s="153"/>
      <c r="B407" s="153"/>
      <c r="C407" s="321">
        <v>4210</v>
      </c>
      <c r="D407" s="229" t="s">
        <v>570</v>
      </c>
      <c r="E407" s="425"/>
      <c r="F407" s="425"/>
      <c r="G407" s="425">
        <f>13472-7800</f>
        <v>5672</v>
      </c>
      <c r="H407" s="425">
        <f t="shared" si="5"/>
        <v>5672</v>
      </c>
      <c r="I407" s="155"/>
      <c r="J407" s="155"/>
      <c r="L407" s="155"/>
    </row>
    <row r="408" spans="1:12" s="156" customFormat="1" ht="18.75" customHeight="1">
      <c r="A408" s="153"/>
      <c r="B408" s="153"/>
      <c r="C408" s="169">
        <v>4210</v>
      </c>
      <c r="D408" s="990" t="s">
        <v>695</v>
      </c>
      <c r="E408" s="420"/>
      <c r="F408" s="420"/>
      <c r="G408" s="420">
        <v>7800</v>
      </c>
      <c r="H408" s="420">
        <f>E408+G408-F408</f>
        <v>7800</v>
      </c>
      <c r="I408" s="155"/>
      <c r="J408" s="155"/>
      <c r="L408" s="155"/>
    </row>
    <row r="409" spans="1:12" s="194" customFormat="1" ht="18.75" customHeight="1">
      <c r="A409" s="169"/>
      <c r="B409" s="990"/>
      <c r="C409" s="161">
        <v>4250</v>
      </c>
      <c r="D409" s="997" t="s">
        <v>452</v>
      </c>
      <c r="E409" s="1005"/>
      <c r="F409" s="1005"/>
      <c r="G409" s="1005">
        <v>47273</v>
      </c>
      <c r="H409" s="1005">
        <f aca="true" t="shared" si="6" ref="H409:H416">E409+G409-F409</f>
        <v>47273</v>
      </c>
      <c r="I409" s="195"/>
      <c r="J409" s="195"/>
      <c r="L409" s="195"/>
    </row>
    <row r="410" spans="1:12" s="194" customFormat="1" ht="18.75" customHeight="1">
      <c r="A410" s="169"/>
      <c r="B410" s="990"/>
      <c r="C410" s="161">
        <v>4260</v>
      </c>
      <c r="D410" s="997" t="s">
        <v>656</v>
      </c>
      <c r="E410" s="1004"/>
      <c r="F410" s="1004"/>
      <c r="G410" s="1004">
        <v>21100</v>
      </c>
      <c r="H410" s="1004">
        <f t="shared" si="6"/>
        <v>21100</v>
      </c>
      <c r="I410" s="195"/>
      <c r="J410" s="195"/>
      <c r="L410" s="195"/>
    </row>
    <row r="411" spans="1:12" s="194" customFormat="1" ht="18.75" customHeight="1">
      <c r="A411" s="169"/>
      <c r="B411" s="990"/>
      <c r="C411" s="161">
        <v>4270</v>
      </c>
      <c r="D411" s="997" t="s">
        <v>447</v>
      </c>
      <c r="E411" s="1005"/>
      <c r="F411" s="1005"/>
      <c r="G411" s="1005">
        <v>12093</v>
      </c>
      <c r="H411" s="1005">
        <f t="shared" si="6"/>
        <v>12093</v>
      </c>
      <c r="I411" s="195"/>
      <c r="J411" s="195"/>
      <c r="L411" s="195"/>
    </row>
    <row r="412" spans="1:12" s="194" customFormat="1" ht="18.75" customHeight="1">
      <c r="A412" s="169"/>
      <c r="B412" s="990"/>
      <c r="C412" s="161">
        <v>4300</v>
      </c>
      <c r="D412" s="998" t="s">
        <v>571</v>
      </c>
      <c r="E412" s="1004"/>
      <c r="F412" s="1004"/>
      <c r="G412" s="1004">
        <v>26062</v>
      </c>
      <c r="H412" s="1004">
        <f t="shared" si="6"/>
        <v>26062</v>
      </c>
      <c r="I412" s="195"/>
      <c r="J412" s="195"/>
      <c r="L412" s="195"/>
    </row>
    <row r="413" spans="1:12" s="194" customFormat="1" ht="21" customHeight="1">
      <c r="A413" s="72">
        <v>853</v>
      </c>
      <c r="B413" s="89"/>
      <c r="C413" s="89"/>
      <c r="D413" s="92" t="s">
        <v>598</v>
      </c>
      <c r="E413" s="623">
        <v>591560</v>
      </c>
      <c r="F413" s="623"/>
      <c r="G413" s="623">
        <f>G414</f>
        <v>25094</v>
      </c>
      <c r="H413" s="623">
        <f t="shared" si="6"/>
        <v>616654</v>
      </c>
      <c r="I413" s="195"/>
      <c r="J413" s="195"/>
      <c r="L413" s="195"/>
    </row>
    <row r="414" spans="1:12" s="194" customFormat="1" ht="21" customHeight="1">
      <c r="A414" s="141"/>
      <c r="B414" s="136">
        <v>85334</v>
      </c>
      <c r="C414" s="161"/>
      <c r="D414" s="314" t="s">
        <v>222</v>
      </c>
      <c r="E414" s="316">
        <v>39560</v>
      </c>
      <c r="F414" s="316"/>
      <c r="G414" s="316">
        <f>G415</f>
        <v>25094</v>
      </c>
      <c r="H414" s="316">
        <f t="shared" si="6"/>
        <v>64654</v>
      </c>
      <c r="I414" s="195"/>
      <c r="J414" s="195"/>
      <c r="L414" s="195"/>
    </row>
    <row r="415" spans="1:12" s="194" customFormat="1" ht="21" customHeight="1">
      <c r="A415" s="169"/>
      <c r="B415" s="169"/>
      <c r="C415" s="542"/>
      <c r="D415" s="541" t="s">
        <v>223</v>
      </c>
      <c r="E415" s="540">
        <v>39560</v>
      </c>
      <c r="F415" s="540"/>
      <c r="G415" s="540">
        <f>G416</f>
        <v>25094</v>
      </c>
      <c r="H415" s="540">
        <f t="shared" si="6"/>
        <v>64654</v>
      </c>
      <c r="I415" s="195"/>
      <c r="J415" s="195"/>
      <c r="L415" s="195"/>
    </row>
    <row r="416" spans="1:12" s="459" customFormat="1" ht="20.25" customHeight="1">
      <c r="A416" s="738"/>
      <c r="B416" s="738"/>
      <c r="C416" s="321">
        <v>4300</v>
      </c>
      <c r="D416" s="320" t="s">
        <v>571</v>
      </c>
      <c r="E416" s="941">
        <v>21792</v>
      </c>
      <c r="F416" s="985"/>
      <c r="G416" s="672">
        <v>25094</v>
      </c>
      <c r="H416" s="425">
        <f t="shared" si="6"/>
        <v>46886</v>
      </c>
      <c r="I416" s="458"/>
      <c r="J416" s="458"/>
      <c r="L416" s="458"/>
    </row>
    <row r="417" ht="30" customHeight="1"/>
    <row r="418" ht="49.5" customHeight="1"/>
    <row r="419" ht="27.75" customHeight="1"/>
    <row r="420" spans="4:5" ht="18" customHeight="1">
      <c r="D420" s="1475" t="s">
        <v>117</v>
      </c>
      <c r="E420" s="1478" t="s">
        <v>118</v>
      </c>
    </row>
    <row r="421" spans="1:12" s="95" customFormat="1" ht="18.75" customHeight="1">
      <c r="A421" s="22"/>
      <c r="B421" s="22"/>
      <c r="C421" s="22"/>
      <c r="D421" s="1475" t="s">
        <v>119</v>
      </c>
      <c r="E421" s="1477" t="s">
        <v>120</v>
      </c>
      <c r="F421" s="22"/>
      <c r="G421" s="22"/>
      <c r="H421" s="22"/>
      <c r="I421" s="94"/>
      <c r="J421" s="94"/>
      <c r="L421" s="94"/>
    </row>
    <row r="422" spans="1:12" s="45" customFormat="1" ht="18.75" customHeight="1">
      <c r="A422" s="22"/>
      <c r="B422" s="22"/>
      <c r="C422" s="22"/>
      <c r="D422" s="1476"/>
      <c r="E422" s="1477" t="s">
        <v>121</v>
      </c>
      <c r="F422" s="22"/>
      <c r="G422" s="22"/>
      <c r="H422" s="22"/>
      <c r="I422" s="126"/>
      <c r="J422" s="126"/>
      <c r="L422" s="126"/>
    </row>
    <row r="423" spans="1:12" s="45" customFormat="1" ht="18.75" customHeight="1">
      <c r="A423" s="22"/>
      <c r="B423" s="22"/>
      <c r="C423" s="22"/>
      <c r="D423" s="22"/>
      <c r="E423" s="22"/>
      <c r="F423" s="22"/>
      <c r="G423" s="22"/>
      <c r="H423" s="22"/>
      <c r="I423" s="126"/>
      <c r="J423" s="126"/>
      <c r="L423" s="126"/>
    </row>
    <row r="424" spans="9:12" ht="21" customHeight="1">
      <c r="I424" s="47"/>
      <c r="J424" s="47"/>
      <c r="L424" s="47"/>
    </row>
    <row r="425" spans="9:12" ht="21" customHeight="1">
      <c r="I425" s="47"/>
      <c r="J425" s="47"/>
      <c r="L425" s="47"/>
    </row>
    <row r="426" ht="18.75" customHeight="1"/>
    <row r="427" ht="18.75" customHeight="1"/>
    <row r="428" spans="9:12" ht="21" customHeight="1">
      <c r="I428" s="47"/>
      <c r="J428" s="47"/>
      <c r="L428" s="47"/>
    </row>
    <row r="429" ht="18.75" customHeight="1"/>
    <row r="430" ht="19.5" customHeight="1"/>
    <row r="431" ht="19.5" customHeight="1"/>
    <row r="432" ht="19.5" customHeight="1"/>
    <row r="433" ht="18.75" customHeight="1"/>
    <row r="434" ht="18.75" customHeight="1"/>
    <row r="435" ht="28.5" customHeight="1"/>
    <row r="436" spans="1:9" s="33" customFormat="1" ht="18.75" customHeight="1">
      <c r="A436" s="22"/>
      <c r="B436" s="22"/>
      <c r="C436" s="22"/>
      <c r="D436" s="22"/>
      <c r="E436" s="22"/>
      <c r="F436" s="22"/>
      <c r="G436" s="22"/>
      <c r="H436" s="22"/>
      <c r="I436" s="127"/>
    </row>
    <row r="437" spans="1:9" s="33" customFormat="1" ht="18.75" customHeight="1">
      <c r="A437" s="22"/>
      <c r="B437" s="22"/>
      <c r="C437" s="22"/>
      <c r="D437" s="22"/>
      <c r="E437" s="22"/>
      <c r="F437" s="22"/>
      <c r="G437" s="22"/>
      <c r="H437" s="22"/>
      <c r="I437" s="127"/>
    </row>
    <row r="438" spans="1:9" s="33" customFormat="1" ht="18.75" customHeight="1">
      <c r="A438" s="22"/>
      <c r="B438" s="22"/>
      <c r="C438" s="22"/>
      <c r="D438" s="22"/>
      <c r="E438" s="22"/>
      <c r="F438" s="22"/>
      <c r="G438" s="22"/>
      <c r="H438" s="22"/>
      <c r="I438" s="127"/>
    </row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spans="1:9" s="33" customFormat="1" ht="19.5" customHeight="1">
      <c r="A447" s="22"/>
      <c r="B447" s="22"/>
      <c r="C447" s="22"/>
      <c r="D447" s="22"/>
      <c r="E447" s="22"/>
      <c r="F447" s="22"/>
      <c r="G447" s="22"/>
      <c r="H447" s="22"/>
      <c r="I447" s="128"/>
    </row>
    <row r="448" spans="1:9" s="33" customFormat="1" ht="18.75" customHeight="1">
      <c r="A448" s="22"/>
      <c r="B448" s="22"/>
      <c r="C448" s="22"/>
      <c r="D448" s="22"/>
      <c r="E448" s="22"/>
      <c r="F448" s="22"/>
      <c r="G448" s="22"/>
      <c r="H448" s="22"/>
      <c r="I448" s="127"/>
    </row>
    <row r="449" spans="1:9" s="33" customFormat="1" ht="18.75" customHeight="1">
      <c r="A449" s="22"/>
      <c r="B449" s="22"/>
      <c r="C449" s="22"/>
      <c r="D449" s="22"/>
      <c r="E449" s="22"/>
      <c r="F449" s="22"/>
      <c r="G449" s="22"/>
      <c r="H449" s="22"/>
      <c r="I449" s="127"/>
    </row>
    <row r="450" spans="1:9" s="33" customFormat="1" ht="18.75" customHeight="1">
      <c r="A450" s="22"/>
      <c r="B450" s="22"/>
      <c r="C450" s="22"/>
      <c r="D450" s="22"/>
      <c r="E450" s="22"/>
      <c r="F450" s="22"/>
      <c r="G450" s="22"/>
      <c r="H450" s="22"/>
      <c r="I450" s="127"/>
    </row>
    <row r="451" ht="19.5" customHeight="1"/>
    <row r="452" ht="18.75" customHeight="1"/>
    <row r="453" spans="1:9" s="33" customFormat="1" ht="18.75" customHeight="1">
      <c r="A453" s="22"/>
      <c r="B453" s="22"/>
      <c r="C453" s="22"/>
      <c r="D453" s="22"/>
      <c r="E453" s="22"/>
      <c r="F453" s="22"/>
      <c r="G453" s="22"/>
      <c r="H453" s="22"/>
      <c r="I453" s="127"/>
    </row>
    <row r="454" ht="18.75" customHeight="1"/>
    <row r="455" spans="1:9" s="33" customFormat="1" ht="18.75" customHeight="1">
      <c r="A455" s="22"/>
      <c r="B455" s="22"/>
      <c r="C455" s="22"/>
      <c r="D455" s="22"/>
      <c r="E455" s="22"/>
      <c r="F455" s="22"/>
      <c r="G455" s="22"/>
      <c r="H455" s="22"/>
      <c r="I455" s="127"/>
    </row>
    <row r="456" spans="1:9" s="33" customFormat="1" ht="27" customHeight="1">
      <c r="A456" s="22"/>
      <c r="B456" s="22"/>
      <c r="C456" s="22"/>
      <c r="D456" s="22"/>
      <c r="E456" s="22"/>
      <c r="F456" s="22"/>
      <c r="G456" s="22"/>
      <c r="H456" s="22"/>
      <c r="I456" s="127"/>
    </row>
    <row r="457" spans="1:9" s="33" customFormat="1" ht="18.75" customHeight="1">
      <c r="A457" s="22"/>
      <c r="B457" s="22"/>
      <c r="C457" s="22"/>
      <c r="D457" s="22"/>
      <c r="E457" s="22"/>
      <c r="F457" s="22"/>
      <c r="G457" s="22"/>
      <c r="H457" s="22"/>
      <c r="I457" s="127"/>
    </row>
    <row r="458" spans="1:9" s="33" customFormat="1" ht="19.5" customHeight="1">
      <c r="A458" s="22"/>
      <c r="B458" s="22"/>
      <c r="C458" s="22"/>
      <c r="D458" s="22"/>
      <c r="E458" s="22"/>
      <c r="F458" s="22"/>
      <c r="G458" s="22"/>
      <c r="H458" s="22"/>
      <c r="I458" s="127"/>
    </row>
    <row r="459" ht="19.5" customHeight="1"/>
    <row r="460" ht="19.5" customHeight="1"/>
    <row r="461" ht="19.5" customHeight="1"/>
    <row r="462" ht="19.5" customHeight="1"/>
    <row r="463" ht="19.5" customHeight="1"/>
    <row r="464" spans="1:9" s="33" customFormat="1" ht="18.75" customHeight="1">
      <c r="A464" s="22"/>
      <c r="B464" s="22"/>
      <c r="C464" s="22"/>
      <c r="D464" s="22"/>
      <c r="E464" s="22"/>
      <c r="F464" s="22"/>
      <c r="G464" s="22"/>
      <c r="H464" s="22"/>
      <c r="I464" s="127"/>
    </row>
    <row r="465" spans="1:9" s="33" customFormat="1" ht="19.5" customHeight="1">
      <c r="A465" s="22"/>
      <c r="B465" s="22"/>
      <c r="C465" s="22"/>
      <c r="D465" s="22"/>
      <c r="E465" s="22"/>
      <c r="F465" s="22"/>
      <c r="G465" s="22"/>
      <c r="H465" s="22"/>
      <c r="I465" s="127"/>
    </row>
    <row r="466" ht="19.5" customHeight="1"/>
    <row r="467" ht="18.75" customHeight="1"/>
    <row r="468" ht="18" customHeight="1"/>
    <row r="469" ht="28.5" customHeight="1"/>
    <row r="470" ht="20.25" customHeight="1"/>
    <row r="471" ht="18" customHeight="1"/>
    <row r="472" ht="19.5" customHeight="1"/>
    <row r="473" ht="20.25" customHeight="1"/>
    <row r="474" ht="20.25" customHeight="1"/>
    <row r="475" ht="20.25" customHeight="1"/>
    <row r="476" spans="1:8" s="33" customFormat="1" ht="27" customHeight="1">
      <c r="A476" s="22"/>
      <c r="B476" s="22"/>
      <c r="C476" s="22"/>
      <c r="D476" s="22"/>
      <c r="E476" s="22"/>
      <c r="F476" s="22"/>
      <c r="G476" s="22"/>
      <c r="H476" s="22"/>
    </row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27.75" customHeight="1"/>
    <row r="497" ht="20.25" customHeight="1"/>
    <row r="498" ht="20.25" customHeight="1"/>
    <row r="499" ht="19.5" customHeight="1"/>
    <row r="500" ht="25.5" customHeight="1"/>
    <row r="501" ht="26.25" customHeight="1"/>
    <row r="502" ht="19.5" customHeight="1"/>
    <row r="503" ht="18.75" customHeight="1"/>
    <row r="504" ht="18" customHeight="1"/>
    <row r="505" ht="19.5" customHeight="1"/>
    <row r="506" ht="19.5" customHeight="1"/>
    <row r="507" ht="20.25" customHeight="1"/>
    <row r="508" ht="19.5" customHeight="1"/>
    <row r="509" ht="19.5" customHeight="1"/>
    <row r="510" ht="20.25" customHeight="1"/>
    <row r="511" ht="18" customHeight="1"/>
    <row r="512" ht="19.5" customHeight="1"/>
    <row r="513" ht="19.5" customHeight="1"/>
  </sheetData>
  <printOptions horizontalCentered="1"/>
  <pageMargins left="0.3937007874015748" right="0.3937007874015748" top="0.61" bottom="0.47" header="0.5118110236220472" footer="0.31496062992125984"/>
  <pageSetup firstPageNumber="25" useFirstPageNumber="1" horizontalDpi="300" verticalDpi="300" orientation="landscape" paperSize="9" scale="8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0"/>
  <dimension ref="A1:L675"/>
  <sheetViews>
    <sheetView zoomScaleSheetLayoutView="75" workbookViewId="0" topLeftCell="A1">
      <selection activeCell="G2" sqref="G2"/>
    </sheetView>
  </sheetViews>
  <sheetFormatPr defaultColWidth="9.00390625" defaultRowHeight="12.75"/>
  <cols>
    <col min="1" max="1" width="7.875" style="107" customWidth="1"/>
    <col min="2" max="2" width="8.00390625" style="0" customWidth="1"/>
    <col min="3" max="3" width="8.125" style="0" customWidth="1"/>
    <col min="4" max="4" width="68.625" style="0" customWidth="1"/>
    <col min="5" max="8" width="14.75390625" style="0" customWidth="1"/>
    <col min="9" max="9" width="11.125" style="0" customWidth="1"/>
    <col min="10" max="10" width="12.125" style="0" customWidth="1"/>
    <col min="11" max="11" width="13.00390625" style="0" customWidth="1"/>
  </cols>
  <sheetData>
    <row r="1" spans="1:7" ht="18.75" customHeight="1">
      <c r="A1" s="49"/>
      <c r="G1" s="50" t="s">
        <v>194</v>
      </c>
    </row>
    <row r="2" spans="1:10" ht="18.75" customHeight="1">
      <c r="A2" s="51"/>
      <c r="G2" s="22" t="s">
        <v>308</v>
      </c>
      <c r="I2" s="1227"/>
      <c r="J2" s="1227"/>
    </row>
    <row r="3" spans="1:7" ht="19.5" customHeight="1">
      <c r="A3" s="51"/>
      <c r="C3" s="1"/>
      <c r="D3" s="4" t="s">
        <v>559</v>
      </c>
      <c r="E3" s="4"/>
      <c r="G3" s="22" t="s">
        <v>523</v>
      </c>
    </row>
    <row r="4" spans="1:7" ht="19.5" customHeight="1">
      <c r="A4" s="49"/>
      <c r="C4" s="1"/>
      <c r="D4" s="4" t="s">
        <v>560</v>
      </c>
      <c r="E4" s="4"/>
      <c r="F4" s="52"/>
      <c r="G4" s="22" t="s">
        <v>446</v>
      </c>
    </row>
    <row r="5" ht="11.25" customHeight="1">
      <c r="A5" s="49"/>
    </row>
    <row r="6" spans="1:8" ht="15" customHeight="1" thickBot="1">
      <c r="A6" s="53"/>
      <c r="H6" s="54" t="s">
        <v>524</v>
      </c>
    </row>
    <row r="7" spans="1:10" ht="21" customHeight="1" thickTop="1">
      <c r="A7" s="1457" t="s">
        <v>528</v>
      </c>
      <c r="B7" s="1459" t="s">
        <v>561</v>
      </c>
      <c r="C7" s="1459" t="s">
        <v>562</v>
      </c>
      <c r="D7" s="1455" t="s">
        <v>563</v>
      </c>
      <c r="E7" s="1461" t="s">
        <v>564</v>
      </c>
      <c r="F7" s="1462"/>
      <c r="G7" s="1453" t="s">
        <v>565</v>
      </c>
      <c r="H7" s="1454"/>
      <c r="J7" s="52"/>
    </row>
    <row r="8" spans="1:10" ht="21" customHeight="1" thickBot="1">
      <c r="A8" s="1458"/>
      <c r="B8" s="1460"/>
      <c r="C8" s="1460"/>
      <c r="D8" s="1456"/>
      <c r="E8" s="55" t="s">
        <v>566</v>
      </c>
      <c r="F8" s="56" t="s">
        <v>567</v>
      </c>
      <c r="G8" s="55" t="s">
        <v>566</v>
      </c>
      <c r="H8" s="56" t="s">
        <v>567</v>
      </c>
      <c r="J8" s="52"/>
    </row>
    <row r="9" spans="1:8" ht="15.75" customHeight="1" thickBot="1" thickTop="1">
      <c r="A9" s="57">
        <v>1</v>
      </c>
      <c r="B9" s="58">
        <v>2</v>
      </c>
      <c r="C9" s="58">
        <v>3</v>
      </c>
      <c r="D9" s="58">
        <v>4</v>
      </c>
      <c r="E9" s="58">
        <v>5</v>
      </c>
      <c r="F9" s="59">
        <v>6</v>
      </c>
      <c r="G9" s="59">
        <v>7</v>
      </c>
      <c r="H9" s="59">
        <v>8</v>
      </c>
    </row>
    <row r="10" spans="1:12" ht="19.5" customHeight="1" thickBot="1" thickTop="1">
      <c r="A10" s="60"/>
      <c r="B10" s="60"/>
      <c r="C10" s="60"/>
      <c r="D10" s="61" t="s">
        <v>568</v>
      </c>
      <c r="E10" s="62">
        <f>E11+E398+E413+E435+E454+E479+E486+E495+E502+E541+E550+E558+E574</f>
        <v>639300</v>
      </c>
      <c r="F10" s="62">
        <f>F11+F398+F413+F435+F454+F479+F486+F495+F502+F541+F550+F558+F574</f>
        <v>1468370</v>
      </c>
      <c r="G10" s="62">
        <f>G11+G398+G413+G435+G454+G479+G486+G495+G502+G541+G550+G558+G574</f>
        <v>10853634</v>
      </c>
      <c r="H10" s="62">
        <f>H11+H398+H413+H435+H454+H479+H486+H495+H502+H541+H550+H558+H574</f>
        <v>11682704</v>
      </c>
      <c r="I10" s="52"/>
      <c r="J10" s="52"/>
      <c r="K10" s="52"/>
      <c r="L10" s="52"/>
    </row>
    <row r="11" spans="1:11" ht="22.5" customHeight="1">
      <c r="A11" s="63"/>
      <c r="B11" s="63"/>
      <c r="C11" s="63"/>
      <c r="D11" s="64" t="s">
        <v>546</v>
      </c>
      <c r="E11" s="65">
        <f>E12+E27+E40+E101+E121+E171+E284+E323+E376+E95</f>
        <v>639300</v>
      </c>
      <c r="F11" s="65">
        <f>F12+F27+F40+F101+F121+F171+F284+F323+F376+F95</f>
        <v>1468370</v>
      </c>
      <c r="G11" s="65">
        <f>G12+G27+G40+G101+G121+G171+G284+G323+G376+G95</f>
        <v>8895064</v>
      </c>
      <c r="H11" s="65">
        <f>H12+H27+H40+H101+H121+H171+H284+H323+H376+H95</f>
        <v>7696475</v>
      </c>
      <c r="I11" s="52"/>
      <c r="K11" s="52"/>
    </row>
    <row r="12" spans="1:10" ht="18.75" customHeight="1">
      <c r="A12" s="108"/>
      <c r="B12" s="108"/>
      <c r="C12" s="109"/>
      <c r="D12" s="110" t="s">
        <v>722</v>
      </c>
      <c r="E12" s="110"/>
      <c r="F12" s="111"/>
      <c r="G12" s="112">
        <f>G13</f>
        <v>25100</v>
      </c>
      <c r="H12" s="112">
        <f>H13</f>
        <v>25100</v>
      </c>
      <c r="I12" s="52"/>
      <c r="J12" s="52"/>
    </row>
    <row r="13" spans="1:9" ht="16.5" customHeight="1" thickBot="1">
      <c r="A13" s="113"/>
      <c r="B13" s="113"/>
      <c r="C13" s="113"/>
      <c r="D13" s="114" t="s">
        <v>569</v>
      </c>
      <c r="E13" s="114"/>
      <c r="F13" s="115"/>
      <c r="G13" s="115">
        <f>G14</f>
        <v>25100</v>
      </c>
      <c r="H13" s="115">
        <f>H14</f>
        <v>25100</v>
      </c>
      <c r="I13" s="52"/>
    </row>
    <row r="14" spans="1:11" ht="17.25" customHeight="1" thickTop="1">
      <c r="A14" s="89">
        <v>754</v>
      </c>
      <c r="B14" s="89"/>
      <c r="C14" s="89"/>
      <c r="D14" s="89" t="s">
        <v>548</v>
      </c>
      <c r="E14" s="89"/>
      <c r="F14" s="545"/>
      <c r="G14" s="75">
        <f>G21+G15</f>
        <v>25100</v>
      </c>
      <c r="H14" s="75">
        <f>H21+H15</f>
        <v>25100</v>
      </c>
      <c r="I14" s="52"/>
      <c r="J14" s="52"/>
      <c r="K14" s="52"/>
    </row>
    <row r="15" spans="1:11" s="148" customFormat="1" ht="18" customHeight="1">
      <c r="A15" s="81"/>
      <c r="B15" s="78">
        <v>75412</v>
      </c>
      <c r="C15" s="78"/>
      <c r="D15" s="78" t="s">
        <v>655</v>
      </c>
      <c r="E15" s="78"/>
      <c r="F15" s="543"/>
      <c r="G15" s="137">
        <f>G16</f>
        <v>6100</v>
      </c>
      <c r="H15" s="137">
        <f>H16</f>
        <v>6100</v>
      </c>
      <c r="I15" s="147"/>
      <c r="K15" s="147"/>
    </row>
    <row r="16" spans="1:11" s="148" customFormat="1" ht="18" customHeight="1">
      <c r="A16" s="206"/>
      <c r="B16" s="207"/>
      <c r="C16" s="108"/>
      <c r="D16" s="101" t="s">
        <v>484</v>
      </c>
      <c r="E16" s="544"/>
      <c r="F16" s="544"/>
      <c r="G16" s="544">
        <f>G17+G18</f>
        <v>6100</v>
      </c>
      <c r="H16" s="544">
        <f>H20</f>
        <v>6100</v>
      </c>
      <c r="I16" s="147"/>
      <c r="K16" s="147"/>
    </row>
    <row r="17" spans="1:11" s="148" customFormat="1" ht="18" customHeight="1">
      <c r="A17" s="205"/>
      <c r="B17" s="169"/>
      <c r="C17" s="318">
        <v>4210</v>
      </c>
      <c r="D17" s="320" t="s">
        <v>570</v>
      </c>
      <c r="E17" s="160"/>
      <c r="F17" s="160"/>
      <c r="G17" s="160">
        <v>4100</v>
      </c>
      <c r="H17" s="160"/>
      <c r="I17" s="147"/>
      <c r="K17" s="147"/>
    </row>
    <row r="18" spans="1:11" s="148" customFormat="1" ht="18" customHeight="1">
      <c r="A18" s="205"/>
      <c r="B18" s="169"/>
      <c r="C18" s="318">
        <v>4280</v>
      </c>
      <c r="D18" s="320" t="s">
        <v>657</v>
      </c>
      <c r="E18" s="160"/>
      <c r="F18" s="160"/>
      <c r="G18" s="160">
        <v>2000</v>
      </c>
      <c r="H18" s="160"/>
      <c r="I18" s="147"/>
      <c r="K18" s="147"/>
    </row>
    <row r="19" spans="1:11" s="148" customFormat="1" ht="18" customHeight="1">
      <c r="A19" s="205"/>
      <c r="B19" s="169"/>
      <c r="C19" s="153"/>
      <c r="D19" s="966" t="s">
        <v>439</v>
      </c>
      <c r="E19" s="967"/>
      <c r="F19" s="967"/>
      <c r="G19" s="967"/>
      <c r="H19" s="967">
        <v>6100</v>
      </c>
      <c r="I19" s="147"/>
      <c r="K19" s="147"/>
    </row>
    <row r="20" spans="1:11" s="148" customFormat="1" ht="18" customHeight="1">
      <c r="A20" s="205"/>
      <c r="B20" s="321"/>
      <c r="C20" s="318">
        <v>6060</v>
      </c>
      <c r="D20" s="320" t="s">
        <v>607</v>
      </c>
      <c r="E20" s="160"/>
      <c r="F20" s="160"/>
      <c r="G20" s="160"/>
      <c r="H20" s="160">
        <f>H19</f>
        <v>6100</v>
      </c>
      <c r="I20" s="147"/>
      <c r="K20" s="147"/>
    </row>
    <row r="21" spans="1:11" s="148" customFormat="1" ht="18" customHeight="1">
      <c r="A21" s="81"/>
      <c r="B21" s="78">
        <v>75495</v>
      </c>
      <c r="C21" s="78"/>
      <c r="D21" s="78" t="s">
        <v>553</v>
      </c>
      <c r="E21" s="78"/>
      <c r="F21" s="543"/>
      <c r="G21" s="137">
        <f>G22</f>
        <v>19000</v>
      </c>
      <c r="H21" s="137">
        <f>H22</f>
        <v>19000</v>
      </c>
      <c r="I21" s="147"/>
      <c r="K21" s="147"/>
    </row>
    <row r="22" spans="1:11" s="148" customFormat="1" ht="18" customHeight="1">
      <c r="A22" s="206"/>
      <c r="B22" s="207"/>
      <c r="C22" s="66"/>
      <c r="D22" s="211" t="s">
        <v>437</v>
      </c>
      <c r="E22" s="544"/>
      <c r="F22" s="544"/>
      <c r="G22" s="544">
        <f>G26</f>
        <v>19000</v>
      </c>
      <c r="H22" s="544">
        <f>H23+H24</f>
        <v>19000</v>
      </c>
      <c r="I22" s="147"/>
      <c r="K22" s="147"/>
    </row>
    <row r="23" spans="1:11" s="148" customFormat="1" ht="18" customHeight="1">
      <c r="A23" s="205"/>
      <c r="B23" s="169"/>
      <c r="C23" s="321">
        <v>4210</v>
      </c>
      <c r="D23" s="321" t="s">
        <v>570</v>
      </c>
      <c r="E23" s="160"/>
      <c r="F23" s="160"/>
      <c r="G23" s="160"/>
      <c r="H23" s="160">
        <v>4000</v>
      </c>
      <c r="I23" s="147"/>
      <c r="K23" s="147"/>
    </row>
    <row r="24" spans="1:11" s="148" customFormat="1" ht="18" customHeight="1">
      <c r="A24" s="205"/>
      <c r="B24" s="169"/>
      <c r="C24" s="82">
        <v>4300</v>
      </c>
      <c r="D24" s="82" t="s">
        <v>571</v>
      </c>
      <c r="E24" s="160"/>
      <c r="F24" s="160"/>
      <c r="G24" s="160"/>
      <c r="H24" s="160">
        <v>15000</v>
      </c>
      <c r="I24" s="147"/>
      <c r="K24" s="147"/>
    </row>
    <row r="25" spans="1:11" s="148" customFormat="1" ht="18" customHeight="1">
      <c r="A25" s="205"/>
      <c r="B25" s="85"/>
      <c r="C25" s="550"/>
      <c r="D25" s="942" t="s">
        <v>438</v>
      </c>
      <c r="E25" s="764"/>
      <c r="F25" s="764"/>
      <c r="G25" s="764">
        <f>4000+15000</f>
        <v>19000</v>
      </c>
      <c r="H25" s="764"/>
      <c r="I25" s="147"/>
      <c r="K25" s="147"/>
    </row>
    <row r="26" spans="1:11" s="148" customFormat="1" ht="18" customHeight="1">
      <c r="A26" s="205"/>
      <c r="B26" s="85"/>
      <c r="C26" s="82">
        <v>6050</v>
      </c>
      <c r="D26" s="82" t="s">
        <v>762</v>
      </c>
      <c r="E26" s="761"/>
      <c r="F26" s="761"/>
      <c r="G26" s="761">
        <f>G25</f>
        <v>19000</v>
      </c>
      <c r="H26" s="761"/>
      <c r="I26" s="147"/>
      <c r="K26" s="147"/>
    </row>
    <row r="27" spans="1:9" ht="19.5" customHeight="1">
      <c r="A27" s="108"/>
      <c r="B27" s="108"/>
      <c r="C27" s="109"/>
      <c r="D27" s="844" t="s">
        <v>322</v>
      </c>
      <c r="E27" s="110"/>
      <c r="F27" s="111"/>
      <c r="G27" s="112">
        <f>G28</f>
        <v>3444</v>
      </c>
      <c r="H27" s="112">
        <f>H28</f>
        <v>5644</v>
      </c>
      <c r="I27" s="52"/>
    </row>
    <row r="28" spans="1:9" ht="19.5" customHeight="1" thickBot="1">
      <c r="A28" s="113"/>
      <c r="B28" s="113"/>
      <c r="C28" s="113"/>
      <c r="D28" s="114" t="s">
        <v>569</v>
      </c>
      <c r="E28" s="114"/>
      <c r="F28" s="115"/>
      <c r="G28" s="115">
        <f>G29+G36</f>
        <v>3444</v>
      </c>
      <c r="H28" s="115">
        <f>H29+H36</f>
        <v>5644</v>
      </c>
      <c r="I28" s="52"/>
    </row>
    <row r="29" spans="1:11" ht="18" customHeight="1" thickTop="1">
      <c r="A29" s="89">
        <v>630</v>
      </c>
      <c r="B29" s="89"/>
      <c r="C29" s="89"/>
      <c r="D29" s="89" t="s">
        <v>139</v>
      </c>
      <c r="E29" s="89"/>
      <c r="F29" s="545"/>
      <c r="G29" s="75">
        <f>G30</f>
        <v>3444</v>
      </c>
      <c r="H29" s="75">
        <f>H30</f>
        <v>3444</v>
      </c>
      <c r="I29" s="52"/>
      <c r="K29" s="52"/>
    </row>
    <row r="30" spans="1:11" s="148" customFormat="1" ht="18" customHeight="1">
      <c r="A30" s="81"/>
      <c r="B30" s="78">
        <v>63003</v>
      </c>
      <c r="C30" s="78"/>
      <c r="D30" s="77" t="s">
        <v>140</v>
      </c>
      <c r="E30" s="78"/>
      <c r="F30" s="543"/>
      <c r="G30" s="137">
        <f>G31</f>
        <v>3444</v>
      </c>
      <c r="H30" s="137">
        <f>H31</f>
        <v>3444</v>
      </c>
      <c r="I30" s="147"/>
      <c r="K30" s="147"/>
    </row>
    <row r="31" spans="1:11" s="148" customFormat="1" ht="18.75" customHeight="1">
      <c r="A31" s="80"/>
      <c r="B31" s="474"/>
      <c r="C31" s="108"/>
      <c r="D31" s="557" t="s">
        <v>141</v>
      </c>
      <c r="E31" s="544"/>
      <c r="F31" s="544"/>
      <c r="G31" s="544">
        <f>SUM(G32:G35)</f>
        <v>3444</v>
      </c>
      <c r="H31" s="544">
        <f>SUM(H32:H35)</f>
        <v>3444</v>
      </c>
      <c r="I31" s="147"/>
      <c r="K31" s="147"/>
    </row>
    <row r="32" spans="1:11" s="156" customFormat="1" ht="18.75" customHeight="1">
      <c r="A32" s="228"/>
      <c r="B32" s="321"/>
      <c r="C32" s="318">
        <v>4218</v>
      </c>
      <c r="D32" s="468" t="s">
        <v>570</v>
      </c>
      <c r="E32" s="160"/>
      <c r="F32" s="160"/>
      <c r="G32" s="160">
        <v>2583</v>
      </c>
      <c r="H32" s="160"/>
      <c r="I32" s="155"/>
      <c r="K32" s="155"/>
    </row>
    <row r="33" spans="1:11" s="156" customFormat="1" ht="18.75" customHeight="1">
      <c r="A33" s="205"/>
      <c r="B33" s="169"/>
      <c r="C33" s="318">
        <v>4219</v>
      </c>
      <c r="D33" s="468" t="s">
        <v>570</v>
      </c>
      <c r="E33" s="160"/>
      <c r="F33" s="160"/>
      <c r="G33" s="160">
        <v>861</v>
      </c>
      <c r="H33" s="160"/>
      <c r="I33" s="155"/>
      <c r="K33" s="155"/>
    </row>
    <row r="34" spans="1:11" s="156" customFormat="1" ht="18.75" customHeight="1">
      <c r="A34" s="205"/>
      <c r="B34" s="169"/>
      <c r="C34" s="1053">
        <v>6068</v>
      </c>
      <c r="D34" s="1111" t="s">
        <v>607</v>
      </c>
      <c r="E34" s="999"/>
      <c r="F34" s="999"/>
      <c r="G34" s="999"/>
      <c r="H34" s="999">
        <v>2583</v>
      </c>
      <c r="I34" s="155"/>
      <c r="K34" s="155"/>
    </row>
    <row r="35" spans="1:11" s="156" customFormat="1" ht="18" customHeight="1">
      <c r="A35" s="205"/>
      <c r="B35" s="169"/>
      <c r="C35" s="318">
        <v>6069</v>
      </c>
      <c r="D35" s="320" t="s">
        <v>607</v>
      </c>
      <c r="E35" s="160"/>
      <c r="F35" s="160"/>
      <c r="G35" s="160"/>
      <c r="H35" s="160">
        <v>861</v>
      </c>
      <c r="I35" s="155"/>
      <c r="K35" s="155"/>
    </row>
    <row r="36" spans="1:11" ht="18" customHeight="1">
      <c r="A36" s="89">
        <v>758</v>
      </c>
      <c r="B36" s="89"/>
      <c r="C36" s="89"/>
      <c r="D36" s="89" t="s">
        <v>549</v>
      </c>
      <c r="E36" s="89"/>
      <c r="F36" s="545"/>
      <c r="G36" s="75"/>
      <c r="H36" s="75">
        <f>H37</f>
        <v>2200</v>
      </c>
      <c r="I36" s="52"/>
      <c r="K36" s="52"/>
    </row>
    <row r="37" spans="1:11" s="148" customFormat="1" ht="18" customHeight="1">
      <c r="A37" s="81"/>
      <c r="B37" s="78">
        <v>75860</v>
      </c>
      <c r="C37" s="78"/>
      <c r="D37" s="78" t="s">
        <v>205</v>
      </c>
      <c r="E37" s="78"/>
      <c r="F37" s="543"/>
      <c r="G37" s="137"/>
      <c r="H37" s="137">
        <f>H38</f>
        <v>2200</v>
      </c>
      <c r="I37" s="147"/>
      <c r="K37" s="147"/>
    </row>
    <row r="38" spans="1:11" s="148" customFormat="1" ht="27" customHeight="1">
      <c r="A38" s="80"/>
      <c r="B38" s="474"/>
      <c r="C38" s="108"/>
      <c r="D38" s="819" t="s">
        <v>512</v>
      </c>
      <c r="E38" s="544"/>
      <c r="F38" s="544"/>
      <c r="G38" s="544"/>
      <c r="H38" s="544">
        <f>H39</f>
        <v>2200</v>
      </c>
      <c r="I38" s="147"/>
      <c r="K38" s="147"/>
    </row>
    <row r="39" spans="1:11" s="148" customFormat="1" ht="18" customHeight="1">
      <c r="A39" s="204"/>
      <c r="B39" s="81"/>
      <c r="C39" s="140">
        <v>4170</v>
      </c>
      <c r="D39" s="83" t="s">
        <v>581</v>
      </c>
      <c r="E39" s="160"/>
      <c r="F39" s="160"/>
      <c r="G39" s="160"/>
      <c r="H39" s="160">
        <v>2200</v>
      </c>
      <c r="I39" s="147"/>
      <c r="K39" s="147"/>
    </row>
    <row r="40" spans="1:10" ht="16.5" customHeight="1">
      <c r="A40" s="67"/>
      <c r="B40" s="67"/>
      <c r="C40" s="68"/>
      <c r="D40" s="64" t="s">
        <v>513</v>
      </c>
      <c r="E40" s="65">
        <f>E41+E59</f>
        <v>639300</v>
      </c>
      <c r="F40" s="65">
        <f>F41+F59</f>
        <v>1468370</v>
      </c>
      <c r="G40" s="65">
        <f>G82</f>
        <v>793337</v>
      </c>
      <c r="H40" s="65">
        <f>H82</f>
        <v>6500</v>
      </c>
      <c r="I40" s="147"/>
      <c r="J40" s="52"/>
    </row>
    <row r="41" spans="1:9" ht="18.75" customHeight="1" thickBot="1">
      <c r="A41" s="67"/>
      <c r="B41" s="67"/>
      <c r="C41" s="68"/>
      <c r="D41" s="271" t="s">
        <v>84</v>
      </c>
      <c r="E41" s="272">
        <f>E42+E47</f>
        <v>639300</v>
      </c>
      <c r="F41" s="272">
        <f>F42+F47</f>
        <v>3006</v>
      </c>
      <c r="G41" s="273"/>
      <c r="H41" s="273"/>
      <c r="I41" s="52"/>
    </row>
    <row r="42" spans="1:9" ht="18.75" customHeight="1" thickBot="1">
      <c r="A42" s="67"/>
      <c r="B42" s="67"/>
      <c r="C42" s="68"/>
      <c r="D42" s="231" t="s">
        <v>78</v>
      </c>
      <c r="E42" s="231"/>
      <c r="F42" s="237">
        <f>F43</f>
        <v>857</v>
      </c>
      <c r="G42" s="237"/>
      <c r="H42" s="237"/>
      <c r="I42" s="52"/>
    </row>
    <row r="43" spans="1:9" ht="18.75" customHeight="1" thickTop="1">
      <c r="A43" s="184">
        <v>801</v>
      </c>
      <c r="B43" s="72"/>
      <c r="C43" s="256"/>
      <c r="D43" s="233" t="s">
        <v>554</v>
      </c>
      <c r="E43" s="257"/>
      <c r="F43" s="257">
        <f>F44</f>
        <v>857</v>
      </c>
      <c r="G43" s="257"/>
      <c r="H43" s="841"/>
      <c r="I43" s="52"/>
    </row>
    <row r="44" spans="1:9" ht="18.75" customHeight="1">
      <c r="A44" s="258"/>
      <c r="B44" s="227">
        <v>80101</v>
      </c>
      <c r="C44" s="259"/>
      <c r="D44" s="492" t="s">
        <v>60</v>
      </c>
      <c r="E44" s="260"/>
      <c r="F44" s="260">
        <f>F45</f>
        <v>857</v>
      </c>
      <c r="G44" s="260"/>
      <c r="H44" s="226"/>
      <c r="I44" s="52"/>
    </row>
    <row r="45" spans="1:10" ht="18.75" customHeight="1">
      <c r="A45" s="185"/>
      <c r="B45" s="76"/>
      <c r="C45" s="216"/>
      <c r="D45" s="493" t="s">
        <v>510</v>
      </c>
      <c r="E45" s="261"/>
      <c r="F45" s="261">
        <f>F46</f>
        <v>857</v>
      </c>
      <c r="G45" s="261"/>
      <c r="H45" s="262"/>
      <c r="I45" s="52"/>
      <c r="J45" s="52"/>
    </row>
    <row r="46" spans="1:9" ht="26.25" customHeight="1">
      <c r="A46" s="85"/>
      <c r="B46" s="85"/>
      <c r="C46" s="263">
        <v>2030</v>
      </c>
      <c r="D46" s="494" t="s">
        <v>189</v>
      </c>
      <c r="E46" s="264"/>
      <c r="F46" s="264">
        <v>857</v>
      </c>
      <c r="G46" s="264"/>
      <c r="H46" s="847"/>
      <c r="I46" s="52"/>
    </row>
    <row r="47" spans="1:9" ht="30.75" customHeight="1" thickBot="1">
      <c r="A47" s="67"/>
      <c r="B47" s="67"/>
      <c r="C47" s="68"/>
      <c r="D47" s="732" t="s">
        <v>71</v>
      </c>
      <c r="E47" s="237">
        <f>E48+E52</f>
        <v>639300</v>
      </c>
      <c r="F47" s="237">
        <f>F48+F52</f>
        <v>2149</v>
      </c>
      <c r="G47" s="237"/>
      <c r="H47" s="237"/>
      <c r="I47" s="52"/>
    </row>
    <row r="48" spans="1:9" ht="18" customHeight="1" thickTop="1">
      <c r="A48" s="184">
        <v>851</v>
      </c>
      <c r="B48" s="72"/>
      <c r="C48" s="256"/>
      <c r="D48" s="233" t="s">
        <v>557</v>
      </c>
      <c r="E48" s="233"/>
      <c r="F48" s="239">
        <f>F49</f>
        <v>2149</v>
      </c>
      <c r="G48" s="238"/>
      <c r="H48" s="270"/>
      <c r="I48" s="52"/>
    </row>
    <row r="49" spans="1:9" s="317" customFormat="1" ht="18" customHeight="1">
      <c r="A49" s="258"/>
      <c r="B49" s="227">
        <v>85195</v>
      </c>
      <c r="C49" s="259"/>
      <c r="D49" s="232" t="s">
        <v>553</v>
      </c>
      <c r="E49" s="232"/>
      <c r="F49" s="240">
        <f>F50</f>
        <v>2149</v>
      </c>
      <c r="G49" s="240"/>
      <c r="H49" s="240"/>
      <c r="I49" s="461"/>
    </row>
    <row r="50" spans="1:9" s="459" customFormat="1" ht="27.75" customHeight="1">
      <c r="A50" s="185"/>
      <c r="B50" s="76"/>
      <c r="C50" s="216"/>
      <c r="D50" s="746" t="s">
        <v>316</v>
      </c>
      <c r="E50" s="234"/>
      <c r="F50" s="460">
        <f>F51</f>
        <v>2149</v>
      </c>
      <c r="G50" s="460"/>
      <c r="H50" s="460"/>
      <c r="I50" s="458"/>
    </row>
    <row r="51" spans="1:9" ht="28.5" customHeight="1">
      <c r="A51" s="85"/>
      <c r="B51" s="85"/>
      <c r="C51" s="263">
        <v>2010</v>
      </c>
      <c r="D51" s="235" t="s">
        <v>57</v>
      </c>
      <c r="E51" s="235"/>
      <c r="F51" s="236">
        <v>2149</v>
      </c>
      <c r="G51" s="236"/>
      <c r="H51" s="236"/>
      <c r="I51" s="52"/>
    </row>
    <row r="52" spans="1:9" ht="18" customHeight="1">
      <c r="A52" s="184">
        <v>852</v>
      </c>
      <c r="B52" s="72"/>
      <c r="C52" s="256"/>
      <c r="D52" s="233" t="s">
        <v>555</v>
      </c>
      <c r="E52" s="239">
        <f>E53+E56</f>
        <v>639300</v>
      </c>
      <c r="F52" s="239"/>
      <c r="G52" s="239"/>
      <c r="H52" s="1113"/>
      <c r="I52" s="52"/>
    </row>
    <row r="53" spans="1:9" s="317" customFormat="1" ht="25.5">
      <c r="A53" s="258"/>
      <c r="B53" s="227">
        <v>85212</v>
      </c>
      <c r="C53" s="259"/>
      <c r="D53" s="1115" t="s">
        <v>144</v>
      </c>
      <c r="E53" s="731">
        <f>E54</f>
        <v>600000</v>
      </c>
      <c r="F53" s="240"/>
      <c r="G53" s="240"/>
      <c r="H53" s="240"/>
      <c r="I53" s="461"/>
    </row>
    <row r="54" spans="1:9" s="459" customFormat="1" ht="25.5">
      <c r="A54" s="185"/>
      <c r="B54" s="76"/>
      <c r="C54" s="216"/>
      <c r="D54" s="746" t="s">
        <v>145</v>
      </c>
      <c r="E54" s="1114">
        <f>E55</f>
        <v>600000</v>
      </c>
      <c r="F54" s="460"/>
      <c r="G54" s="460"/>
      <c r="H54" s="460"/>
      <c r="I54" s="458"/>
    </row>
    <row r="55" spans="1:9" ht="25.5">
      <c r="A55" s="85"/>
      <c r="B55" s="86"/>
      <c r="C55" s="263">
        <v>2010</v>
      </c>
      <c r="D55" s="1001" t="s">
        <v>327</v>
      </c>
      <c r="E55" s="730">
        <v>600000</v>
      </c>
      <c r="F55" s="236"/>
      <c r="G55" s="236"/>
      <c r="H55" s="236"/>
      <c r="I55" s="52"/>
    </row>
    <row r="56" spans="1:9" s="317" customFormat="1" ht="18" customHeight="1">
      <c r="A56" s="185"/>
      <c r="B56" s="227">
        <v>85228</v>
      </c>
      <c r="C56" s="259"/>
      <c r="D56" s="1112" t="s">
        <v>142</v>
      </c>
      <c r="E56" s="731">
        <f>E57</f>
        <v>39300</v>
      </c>
      <c r="F56" s="240"/>
      <c r="G56" s="240"/>
      <c r="H56" s="240"/>
      <c r="I56" s="461"/>
    </row>
    <row r="57" spans="1:9" s="459" customFormat="1" ht="17.25" customHeight="1">
      <c r="A57" s="185"/>
      <c r="B57" s="76"/>
      <c r="C57" s="216"/>
      <c r="D57" s="557" t="s">
        <v>143</v>
      </c>
      <c r="E57" s="1114">
        <f>E58</f>
        <v>39300</v>
      </c>
      <c r="F57" s="460"/>
      <c r="G57" s="460"/>
      <c r="H57" s="460"/>
      <c r="I57" s="458"/>
    </row>
    <row r="58" spans="1:9" ht="30" customHeight="1">
      <c r="A58" s="86"/>
      <c r="B58" s="86"/>
      <c r="C58" s="263">
        <v>2010</v>
      </c>
      <c r="D58" s="1001" t="s">
        <v>327</v>
      </c>
      <c r="E58" s="730">
        <v>39300</v>
      </c>
      <c r="F58" s="236"/>
      <c r="G58" s="236"/>
      <c r="H58" s="236"/>
      <c r="I58" s="52"/>
    </row>
    <row r="59" spans="1:9" ht="20.25" customHeight="1" thickBot="1">
      <c r="A59" s="67"/>
      <c r="B59" s="67"/>
      <c r="C59" s="68"/>
      <c r="D59" s="271" t="s">
        <v>210</v>
      </c>
      <c r="E59" s="272"/>
      <c r="F59" s="272">
        <f>F68+F73+F60</f>
        <v>1465364</v>
      </c>
      <c r="G59" s="273"/>
      <c r="H59" s="273"/>
      <c r="I59" s="52"/>
    </row>
    <row r="60" spans="1:9" ht="19.5" customHeight="1" thickBot="1">
      <c r="A60" s="86"/>
      <c r="B60" s="86"/>
      <c r="C60" s="86"/>
      <c r="D60" s="662" t="s">
        <v>78</v>
      </c>
      <c r="E60" s="734"/>
      <c r="F60" s="734">
        <f>F61</f>
        <v>1313270</v>
      </c>
      <c r="G60" s="237"/>
      <c r="H60" s="237"/>
      <c r="I60" s="52"/>
    </row>
    <row r="61" spans="1:9" ht="19.5" customHeight="1" thickTop="1">
      <c r="A61" s="184">
        <v>852</v>
      </c>
      <c r="B61" s="72"/>
      <c r="C61" s="256"/>
      <c r="D61" s="1099" t="s">
        <v>555</v>
      </c>
      <c r="E61" s="239"/>
      <c r="F61" s="239">
        <f>F62+F65</f>
        <v>1313270</v>
      </c>
      <c r="G61" s="238"/>
      <c r="H61" s="270"/>
      <c r="I61" s="52"/>
    </row>
    <row r="62" spans="1:9" s="317" customFormat="1" ht="19.5" customHeight="1">
      <c r="A62" s="258"/>
      <c r="B62" s="227">
        <v>85201</v>
      </c>
      <c r="C62" s="259"/>
      <c r="D62" s="77" t="s">
        <v>190</v>
      </c>
      <c r="E62" s="731"/>
      <c r="F62" s="240">
        <f>F63</f>
        <v>795560</v>
      </c>
      <c r="G62" s="240"/>
      <c r="H62" s="240"/>
      <c r="I62" s="461"/>
    </row>
    <row r="63" spans="1:9" s="459" customFormat="1" ht="25.5" customHeight="1">
      <c r="A63" s="185"/>
      <c r="B63" s="76"/>
      <c r="C63" s="216"/>
      <c r="D63" s="1345" t="s">
        <v>67</v>
      </c>
      <c r="E63" s="729"/>
      <c r="F63" s="460">
        <f>F64</f>
        <v>795560</v>
      </c>
      <c r="G63" s="460"/>
      <c r="H63" s="460"/>
      <c r="I63" s="458"/>
    </row>
    <row r="64" spans="1:11" s="148" customFormat="1" ht="27.75" customHeight="1">
      <c r="A64" s="85"/>
      <c r="B64" s="86"/>
      <c r="C64" s="263">
        <v>6430</v>
      </c>
      <c r="D64" s="1267" t="s">
        <v>616</v>
      </c>
      <c r="E64" s="730"/>
      <c r="F64" s="672">
        <f>264000+258060+233200+40300</f>
        <v>795560</v>
      </c>
      <c r="G64" s="672"/>
      <c r="H64" s="672"/>
      <c r="I64" s="147"/>
      <c r="K64" s="147"/>
    </row>
    <row r="65" spans="1:9" s="317" customFormat="1" ht="19.5" customHeight="1">
      <c r="A65" s="185"/>
      <c r="B65" s="227">
        <v>85202</v>
      </c>
      <c r="C65" s="259"/>
      <c r="D65" s="77" t="s">
        <v>82</v>
      </c>
      <c r="E65" s="731"/>
      <c r="F65" s="240">
        <f>F66</f>
        <v>517710</v>
      </c>
      <c r="G65" s="240"/>
      <c r="H65" s="240"/>
      <c r="I65" s="461"/>
    </row>
    <row r="66" spans="1:9" s="459" customFormat="1" ht="25.5" customHeight="1">
      <c r="A66" s="185"/>
      <c r="B66" s="76"/>
      <c r="C66" s="216"/>
      <c r="D66" s="1345" t="s">
        <v>67</v>
      </c>
      <c r="E66" s="729"/>
      <c r="F66" s="460">
        <f>F67</f>
        <v>517710</v>
      </c>
      <c r="G66" s="460"/>
      <c r="H66" s="460"/>
      <c r="I66" s="458"/>
    </row>
    <row r="67" spans="1:11" s="148" customFormat="1" ht="28.5" customHeight="1">
      <c r="A67" s="85"/>
      <c r="B67" s="85"/>
      <c r="C67" s="263">
        <v>6430</v>
      </c>
      <c r="D67" s="1267" t="s">
        <v>616</v>
      </c>
      <c r="E67" s="730"/>
      <c r="F67" s="672">
        <f>235150+148260+134300</f>
        <v>517710</v>
      </c>
      <c r="G67" s="672"/>
      <c r="H67" s="672"/>
      <c r="I67" s="147"/>
      <c r="K67" s="147"/>
    </row>
    <row r="68" spans="1:9" ht="31.5" customHeight="1" thickBot="1">
      <c r="A68" s="86"/>
      <c r="B68" s="86"/>
      <c r="C68" s="86"/>
      <c r="D68" s="662" t="s">
        <v>79</v>
      </c>
      <c r="E68" s="734"/>
      <c r="F68" s="734">
        <f>F69</f>
        <v>7000</v>
      </c>
      <c r="G68" s="237"/>
      <c r="H68" s="237"/>
      <c r="I68" s="52"/>
    </row>
    <row r="69" spans="1:9" ht="19.5" customHeight="1" thickTop="1">
      <c r="A69" s="184">
        <v>754</v>
      </c>
      <c r="B69" s="72"/>
      <c r="C69" s="256"/>
      <c r="D69" s="1099" t="s">
        <v>548</v>
      </c>
      <c r="E69" s="239"/>
      <c r="F69" s="239">
        <f>F70</f>
        <v>7000</v>
      </c>
      <c r="G69" s="238"/>
      <c r="H69" s="270"/>
      <c r="I69" s="52"/>
    </row>
    <row r="70" spans="1:9" s="317" customFormat="1" ht="19.5" customHeight="1">
      <c r="A70" s="258"/>
      <c r="B70" s="227">
        <v>75411</v>
      </c>
      <c r="C70" s="259"/>
      <c r="D70" s="77" t="s">
        <v>284</v>
      </c>
      <c r="E70" s="731"/>
      <c r="F70" s="240">
        <f>F71</f>
        <v>7000</v>
      </c>
      <c r="G70" s="240"/>
      <c r="H70" s="240"/>
      <c r="I70" s="461"/>
    </row>
    <row r="71" spans="1:9" s="459" customFormat="1" ht="25.5" customHeight="1">
      <c r="A71" s="185"/>
      <c r="B71" s="76"/>
      <c r="C71" s="216"/>
      <c r="D71" s="664" t="s">
        <v>242</v>
      </c>
      <c r="E71" s="729"/>
      <c r="F71" s="460">
        <f>F72</f>
        <v>7000</v>
      </c>
      <c r="G71" s="460"/>
      <c r="H71" s="460"/>
      <c r="I71" s="458"/>
    </row>
    <row r="72" spans="1:11" s="148" customFormat="1" ht="30.75" customHeight="1">
      <c r="A72" s="85"/>
      <c r="B72" s="85"/>
      <c r="C72" s="263">
        <v>2710</v>
      </c>
      <c r="D72" s="1267" t="s">
        <v>617</v>
      </c>
      <c r="E72" s="730"/>
      <c r="F72" s="672">
        <v>7000</v>
      </c>
      <c r="G72" s="672"/>
      <c r="H72" s="672"/>
      <c r="I72" s="147"/>
      <c r="K72" s="147"/>
    </row>
    <row r="73" spans="1:9" ht="31.5" customHeight="1" thickBot="1">
      <c r="A73" s="86"/>
      <c r="B73" s="86"/>
      <c r="C73" s="86"/>
      <c r="D73" s="678" t="s">
        <v>317</v>
      </c>
      <c r="E73" s="734"/>
      <c r="F73" s="734">
        <f>F74+F78</f>
        <v>145094</v>
      </c>
      <c r="G73" s="237"/>
      <c r="H73" s="237"/>
      <c r="I73" s="52"/>
    </row>
    <row r="74" spans="1:9" ht="19.5" customHeight="1" thickTop="1">
      <c r="A74" s="184">
        <v>851</v>
      </c>
      <c r="B74" s="72"/>
      <c r="C74" s="256"/>
      <c r="D74" s="491" t="s">
        <v>557</v>
      </c>
      <c r="E74" s="239"/>
      <c r="F74" s="239">
        <f>F75</f>
        <v>120000</v>
      </c>
      <c r="G74" s="238"/>
      <c r="H74" s="270"/>
      <c r="I74" s="52"/>
    </row>
    <row r="75" spans="1:9" s="317" customFormat="1" ht="19.5" customHeight="1">
      <c r="A75" s="258"/>
      <c r="B75" s="227">
        <v>85141</v>
      </c>
      <c r="C75" s="259"/>
      <c r="D75" s="492" t="s">
        <v>451</v>
      </c>
      <c r="E75" s="731"/>
      <c r="F75" s="240">
        <f>F76</f>
        <v>120000</v>
      </c>
      <c r="G75" s="240"/>
      <c r="H75" s="240"/>
      <c r="I75" s="461"/>
    </row>
    <row r="76" spans="1:9" s="459" customFormat="1" ht="25.5" customHeight="1">
      <c r="A76" s="185"/>
      <c r="B76" s="76"/>
      <c r="C76" s="216"/>
      <c r="D76" s="1000" t="s">
        <v>454</v>
      </c>
      <c r="E76" s="729"/>
      <c r="F76" s="460">
        <f>F77</f>
        <v>120000</v>
      </c>
      <c r="G76" s="460"/>
      <c r="H76" s="460"/>
      <c r="I76" s="458"/>
    </row>
    <row r="77" spans="1:11" s="148" customFormat="1" ht="38.25" customHeight="1">
      <c r="A77" s="85"/>
      <c r="B77" s="85"/>
      <c r="C77" s="263">
        <v>2110</v>
      </c>
      <c r="D77" s="1001" t="s">
        <v>209</v>
      </c>
      <c r="E77" s="730"/>
      <c r="F77" s="672">
        <v>120000</v>
      </c>
      <c r="G77" s="672"/>
      <c r="H77" s="672"/>
      <c r="I77" s="147"/>
      <c r="K77" s="147"/>
    </row>
    <row r="78" spans="1:9" ht="19.5" customHeight="1">
      <c r="A78" s="184">
        <v>853</v>
      </c>
      <c r="B78" s="72"/>
      <c r="C78" s="256"/>
      <c r="D78" s="233" t="s">
        <v>598</v>
      </c>
      <c r="E78" s="239"/>
      <c r="F78" s="239">
        <f>F79</f>
        <v>25094</v>
      </c>
      <c r="G78" s="238"/>
      <c r="H78" s="733"/>
      <c r="I78" s="52"/>
    </row>
    <row r="79" spans="1:9" s="317" customFormat="1" ht="19.5" customHeight="1">
      <c r="A79" s="258"/>
      <c r="B79" s="227">
        <v>85334</v>
      </c>
      <c r="C79" s="259"/>
      <c r="D79" s="232" t="s">
        <v>222</v>
      </c>
      <c r="E79" s="731"/>
      <c r="F79" s="240">
        <f>F80</f>
        <v>25094</v>
      </c>
      <c r="G79" s="240"/>
      <c r="H79" s="240"/>
      <c r="I79" s="461"/>
    </row>
    <row r="80" spans="1:9" s="459" customFormat="1" ht="19.5" customHeight="1">
      <c r="A80" s="185"/>
      <c r="B80" s="76"/>
      <c r="C80" s="216"/>
      <c r="D80" s="664" t="s">
        <v>224</v>
      </c>
      <c r="E80" s="729"/>
      <c r="F80" s="460">
        <f>F81</f>
        <v>25094</v>
      </c>
      <c r="G80" s="460"/>
      <c r="H80" s="460"/>
      <c r="I80" s="458"/>
    </row>
    <row r="81" spans="1:11" s="148" customFormat="1" ht="40.5" customHeight="1">
      <c r="A81" s="86"/>
      <c r="B81" s="86"/>
      <c r="C81" s="263">
        <v>2110</v>
      </c>
      <c r="D81" s="235" t="s">
        <v>209</v>
      </c>
      <c r="E81" s="730"/>
      <c r="F81" s="672">
        <v>25094</v>
      </c>
      <c r="G81" s="672"/>
      <c r="H81" s="672"/>
      <c r="I81" s="147"/>
      <c r="K81" s="147"/>
    </row>
    <row r="82" spans="1:9" s="130" customFormat="1" ht="18" customHeight="1" thickBot="1">
      <c r="A82" s="149"/>
      <c r="B82" s="149"/>
      <c r="C82" s="149"/>
      <c r="D82" s="150" t="s">
        <v>547</v>
      </c>
      <c r="E82" s="150"/>
      <c r="F82" s="151"/>
      <c r="G82" s="151">
        <f>G83+G91</f>
        <v>793337</v>
      </c>
      <c r="H82" s="151">
        <f>H83+H91</f>
        <v>6500</v>
      </c>
      <c r="I82" s="138"/>
    </row>
    <row r="83" spans="1:9" ht="17.25" customHeight="1" thickTop="1">
      <c r="A83" s="72">
        <v>758</v>
      </c>
      <c r="B83" s="89"/>
      <c r="C83" s="73"/>
      <c r="D83" s="73" t="s">
        <v>549</v>
      </c>
      <c r="E83" s="73"/>
      <c r="F83" s="87"/>
      <c r="G83" s="87">
        <f>G84</f>
        <v>793337</v>
      </c>
      <c r="H83" s="87"/>
      <c r="I83" s="52"/>
    </row>
    <row r="84" spans="1:9" s="148" customFormat="1" ht="16.5" customHeight="1">
      <c r="A84" s="141"/>
      <c r="B84" s="142">
        <v>75818</v>
      </c>
      <c r="C84" s="142"/>
      <c r="D84" s="142" t="s">
        <v>550</v>
      </c>
      <c r="E84" s="142"/>
      <c r="F84" s="146"/>
      <c r="G84" s="146">
        <f>G85+G87</f>
        <v>793337</v>
      </c>
      <c r="H84" s="146"/>
      <c r="I84" s="147"/>
    </row>
    <row r="85" spans="1:9" s="230" customFormat="1" ht="19.5" customHeight="1">
      <c r="A85" s="415"/>
      <c r="B85" s="416"/>
      <c r="C85" s="416"/>
      <c r="D85" s="664" t="s">
        <v>324</v>
      </c>
      <c r="E85" s="418"/>
      <c r="F85" s="419"/>
      <c r="G85" s="419">
        <f>G86</f>
        <v>766462</v>
      </c>
      <c r="H85" s="419"/>
      <c r="I85" s="210"/>
    </row>
    <row r="86" spans="1:10" s="156" customFormat="1" ht="16.5" customHeight="1">
      <c r="A86" s="417"/>
      <c r="B86" s="153"/>
      <c r="C86" s="318">
        <v>4810</v>
      </c>
      <c r="D86" s="318" t="s">
        <v>572</v>
      </c>
      <c r="E86" s="318"/>
      <c r="F86" s="420"/>
      <c r="G86" s="420">
        <f>400000+72540+6500+48000+5100+65700+140000+28622</f>
        <v>766462</v>
      </c>
      <c r="H86" s="420"/>
      <c r="I86" s="155"/>
      <c r="J86" s="155"/>
    </row>
    <row r="87" spans="1:9" s="230" customFormat="1" ht="27.75" customHeight="1">
      <c r="A87" s="415"/>
      <c r="B87" s="416"/>
      <c r="C87" s="416"/>
      <c r="D87" s="945" t="s">
        <v>323</v>
      </c>
      <c r="E87" s="946"/>
      <c r="F87" s="947"/>
      <c r="G87" s="947">
        <f>G88+G90</f>
        <v>26875</v>
      </c>
      <c r="H87" s="947"/>
      <c r="I87" s="210"/>
    </row>
    <row r="88" spans="1:9" s="156" customFormat="1" ht="18.75" customHeight="1">
      <c r="A88" s="417"/>
      <c r="B88" s="153"/>
      <c r="C88" s="318">
        <v>4810</v>
      </c>
      <c r="D88" s="318" t="s">
        <v>572</v>
      </c>
      <c r="E88" s="318"/>
      <c r="F88" s="420"/>
      <c r="G88" s="420">
        <f>2200+5975</f>
        <v>8175</v>
      </c>
      <c r="H88" s="420"/>
      <c r="I88" s="155"/>
    </row>
    <row r="89" spans="1:9" s="156" customFormat="1" ht="26.25" customHeight="1">
      <c r="A89" s="417"/>
      <c r="B89" s="153"/>
      <c r="C89" s="1169"/>
      <c r="D89" s="966" t="s">
        <v>667</v>
      </c>
      <c r="E89" s="1170"/>
      <c r="F89" s="1170"/>
      <c r="G89" s="1170">
        <f>G90</f>
        <v>18700</v>
      </c>
      <c r="H89" s="1170"/>
      <c r="I89" s="155"/>
    </row>
    <row r="90" spans="1:9" s="148" customFormat="1" ht="18.75" customHeight="1">
      <c r="A90" s="1171"/>
      <c r="B90" s="153"/>
      <c r="C90" s="318">
        <v>6800</v>
      </c>
      <c r="D90" s="318" t="s">
        <v>666</v>
      </c>
      <c r="E90" s="420"/>
      <c r="F90" s="420"/>
      <c r="G90" s="420">
        <v>18700</v>
      </c>
      <c r="H90" s="420"/>
      <c r="I90" s="147"/>
    </row>
    <row r="91" spans="1:9" ht="17.25" customHeight="1">
      <c r="A91" s="72">
        <v>852</v>
      </c>
      <c r="B91" s="89"/>
      <c r="C91" s="73"/>
      <c r="D91" s="73" t="s">
        <v>555</v>
      </c>
      <c r="E91" s="73"/>
      <c r="F91" s="87"/>
      <c r="G91" s="87"/>
      <c r="H91" s="87">
        <f>H92</f>
        <v>6500</v>
      </c>
      <c r="I91" s="52"/>
    </row>
    <row r="92" spans="1:9" s="148" customFormat="1" ht="16.5" customHeight="1">
      <c r="A92" s="141"/>
      <c r="B92" s="142">
        <v>85204</v>
      </c>
      <c r="C92" s="78"/>
      <c r="D92" s="437" t="s">
        <v>440</v>
      </c>
      <c r="E92" s="142"/>
      <c r="F92" s="146"/>
      <c r="G92" s="146"/>
      <c r="H92" s="146">
        <f>H93</f>
        <v>6500</v>
      </c>
      <c r="I92" s="147"/>
    </row>
    <row r="93" spans="1:9" s="230" customFormat="1" ht="25.5">
      <c r="A93" s="415"/>
      <c r="B93" s="416"/>
      <c r="C93" s="474"/>
      <c r="D93" s="557" t="s">
        <v>441</v>
      </c>
      <c r="E93" s="418"/>
      <c r="F93" s="419"/>
      <c r="G93" s="419"/>
      <c r="H93" s="419">
        <f>H94</f>
        <v>6500</v>
      </c>
      <c r="I93" s="210"/>
    </row>
    <row r="94" spans="1:9" s="156" customFormat="1" ht="25.5">
      <c r="A94" s="417"/>
      <c r="B94" s="153"/>
      <c r="C94" s="82">
        <v>2320</v>
      </c>
      <c r="D94" s="549" t="s">
        <v>442</v>
      </c>
      <c r="E94" s="318"/>
      <c r="F94" s="420"/>
      <c r="G94" s="420"/>
      <c r="H94" s="420">
        <v>6500</v>
      </c>
      <c r="I94" s="155"/>
    </row>
    <row r="95" spans="1:9" s="168" customFormat="1" ht="18.75" customHeight="1">
      <c r="A95" s="164"/>
      <c r="B95" s="139"/>
      <c r="C95" s="165"/>
      <c r="D95" s="166" t="s">
        <v>720</v>
      </c>
      <c r="E95" s="166"/>
      <c r="F95" s="167"/>
      <c r="G95" s="167"/>
      <c r="H95" s="167">
        <f>H96</f>
        <v>140000</v>
      </c>
      <c r="I95" s="319"/>
    </row>
    <row r="96" spans="1:9" s="156" customFormat="1" ht="19.5" customHeight="1" thickBot="1">
      <c r="A96" s="321"/>
      <c r="B96" s="321"/>
      <c r="C96" s="321"/>
      <c r="D96" s="163" t="s">
        <v>547</v>
      </c>
      <c r="E96" s="163"/>
      <c r="F96" s="162"/>
      <c r="G96" s="193"/>
      <c r="H96" s="193">
        <f>H97</f>
        <v>140000</v>
      </c>
      <c r="I96" s="155"/>
    </row>
    <row r="97" spans="1:9" s="22" customFormat="1" ht="16.5" customHeight="1" thickTop="1">
      <c r="A97" s="89">
        <v>600</v>
      </c>
      <c r="B97" s="89"/>
      <c r="C97" s="89"/>
      <c r="D97" s="89" t="s">
        <v>551</v>
      </c>
      <c r="E97" s="73"/>
      <c r="F97" s="73"/>
      <c r="G97" s="75"/>
      <c r="H97" s="75">
        <f>H98</f>
        <v>140000</v>
      </c>
      <c r="I97" s="47"/>
    </row>
    <row r="98" spans="1:9" s="95" customFormat="1" ht="19.5" customHeight="1">
      <c r="A98" s="550"/>
      <c r="B98" s="77">
        <v>60095</v>
      </c>
      <c r="C98" s="77"/>
      <c r="D98" s="77" t="s">
        <v>553</v>
      </c>
      <c r="E98" s="77"/>
      <c r="F98" s="79"/>
      <c r="G98" s="137"/>
      <c r="H98" s="137">
        <f>H99</f>
        <v>140000</v>
      </c>
      <c r="I98" s="94"/>
    </row>
    <row r="99" spans="1:9" s="130" customFormat="1" ht="25.5">
      <c r="A99" s="80"/>
      <c r="B99" s="66"/>
      <c r="C99" s="457"/>
      <c r="D99" s="1225" t="s">
        <v>721</v>
      </c>
      <c r="E99" s="66"/>
      <c r="F99" s="725"/>
      <c r="G99" s="143"/>
      <c r="H99" s="143">
        <f>H100</f>
        <v>140000</v>
      </c>
      <c r="I99" s="138"/>
    </row>
    <row r="100" spans="1:9" s="130" customFormat="1" ht="21" customHeight="1">
      <c r="A100" s="204"/>
      <c r="B100" s="81"/>
      <c r="C100" s="321">
        <v>6050</v>
      </c>
      <c r="D100" s="1226" t="s">
        <v>762</v>
      </c>
      <c r="E100" s="488"/>
      <c r="F100" s="490"/>
      <c r="G100" s="604"/>
      <c r="H100" s="604">
        <v>140000</v>
      </c>
      <c r="I100" s="138"/>
    </row>
    <row r="101" spans="1:9" s="168" customFormat="1" ht="18.75" customHeight="1">
      <c r="A101" s="164"/>
      <c r="B101" s="139"/>
      <c r="C101" s="165"/>
      <c r="D101" s="166" t="s">
        <v>514</v>
      </c>
      <c r="E101" s="166"/>
      <c r="F101" s="167"/>
      <c r="G101" s="167">
        <f>G102</f>
        <v>1437000</v>
      </c>
      <c r="H101" s="167">
        <f>H102</f>
        <v>1455700</v>
      </c>
      <c r="I101" s="319"/>
    </row>
    <row r="102" spans="1:9" s="156" customFormat="1" ht="18.75" customHeight="1" thickBot="1">
      <c r="A102" s="321"/>
      <c r="B102" s="321"/>
      <c r="C102" s="321"/>
      <c r="D102" s="163" t="s">
        <v>547</v>
      </c>
      <c r="E102" s="163"/>
      <c r="F102" s="162"/>
      <c r="G102" s="193">
        <f>G103+G115+G111</f>
        <v>1437000</v>
      </c>
      <c r="H102" s="193">
        <f>H103+H115+H111</f>
        <v>1455700</v>
      </c>
      <c r="I102" s="155"/>
    </row>
    <row r="103" spans="1:9" s="22" customFormat="1" ht="17.25" customHeight="1" thickTop="1">
      <c r="A103" s="89">
        <v>600</v>
      </c>
      <c r="B103" s="89"/>
      <c r="C103" s="89"/>
      <c r="D103" s="89" t="s">
        <v>551</v>
      </c>
      <c r="E103" s="73"/>
      <c r="F103" s="73"/>
      <c r="G103" s="75">
        <f>G104</f>
        <v>1137000</v>
      </c>
      <c r="H103" s="75">
        <f>H108</f>
        <v>1137000</v>
      </c>
      <c r="I103" s="47"/>
    </row>
    <row r="104" spans="1:9" s="95" customFormat="1" ht="19.5" customHeight="1">
      <c r="A104" s="550"/>
      <c r="B104" s="77">
        <v>60015</v>
      </c>
      <c r="C104" s="77"/>
      <c r="D104" s="77" t="s">
        <v>70</v>
      </c>
      <c r="E104" s="77"/>
      <c r="F104" s="79"/>
      <c r="G104" s="137">
        <f>G105</f>
        <v>1137000</v>
      </c>
      <c r="H104" s="137"/>
      <c r="I104" s="94"/>
    </row>
    <row r="105" spans="1:9" s="130" customFormat="1" ht="18" customHeight="1">
      <c r="A105" s="80"/>
      <c r="B105" s="66"/>
      <c r="C105" s="66"/>
      <c r="D105" s="592" t="s">
        <v>457</v>
      </c>
      <c r="E105" s="66"/>
      <c r="F105" s="725"/>
      <c r="G105" s="143">
        <f>G107</f>
        <v>1137000</v>
      </c>
      <c r="H105" s="143"/>
      <c r="I105" s="138"/>
    </row>
    <row r="106" spans="1:9" s="130" customFormat="1" ht="18" customHeight="1">
      <c r="A106" s="204"/>
      <c r="B106" s="81"/>
      <c r="C106" s="169"/>
      <c r="D106" s="572" t="s">
        <v>458</v>
      </c>
      <c r="E106" s="488"/>
      <c r="F106" s="490"/>
      <c r="G106" s="604">
        <v>1137000</v>
      </c>
      <c r="H106" s="604"/>
      <c r="I106" s="138"/>
    </row>
    <row r="107" spans="1:9" s="158" customFormat="1" ht="18" customHeight="1">
      <c r="A107" s="204"/>
      <c r="B107" s="82"/>
      <c r="C107" s="82">
        <v>4270</v>
      </c>
      <c r="D107" s="549" t="s">
        <v>453</v>
      </c>
      <c r="E107" s="83"/>
      <c r="F107" s="456"/>
      <c r="G107" s="152">
        <f>G106</f>
        <v>1137000</v>
      </c>
      <c r="H107" s="152"/>
      <c r="I107" s="157"/>
    </row>
    <row r="108" spans="1:9" s="95" customFormat="1" ht="19.5" customHeight="1">
      <c r="A108" s="81"/>
      <c r="B108" s="78">
        <v>60017</v>
      </c>
      <c r="C108" s="78"/>
      <c r="D108" s="78" t="s">
        <v>456</v>
      </c>
      <c r="E108" s="77"/>
      <c r="F108" s="79"/>
      <c r="G108" s="137"/>
      <c r="H108" s="137">
        <f>H109</f>
        <v>1137000</v>
      </c>
      <c r="I108" s="94"/>
    </row>
    <row r="109" spans="1:9" s="22" customFormat="1" ht="17.25" customHeight="1">
      <c r="A109" s="206"/>
      <c r="B109" s="215"/>
      <c r="C109" s="66"/>
      <c r="D109" s="557" t="s">
        <v>449</v>
      </c>
      <c r="E109" s="101"/>
      <c r="F109" s="544"/>
      <c r="G109" s="268"/>
      <c r="H109" s="268">
        <f>H110</f>
        <v>1137000</v>
      </c>
      <c r="I109" s="47"/>
    </row>
    <row r="110" spans="1:9" s="22" customFormat="1" ht="19.5" customHeight="1">
      <c r="A110" s="228"/>
      <c r="B110" s="321"/>
      <c r="C110" s="82">
        <v>4270</v>
      </c>
      <c r="D110" s="549" t="s">
        <v>453</v>
      </c>
      <c r="E110" s="320"/>
      <c r="F110" s="160"/>
      <c r="G110" s="154"/>
      <c r="H110" s="154">
        <v>1137000</v>
      </c>
      <c r="I110" s="47"/>
    </row>
    <row r="111" spans="1:9" s="22" customFormat="1" ht="19.5" customHeight="1">
      <c r="A111" s="89">
        <v>630</v>
      </c>
      <c r="B111" s="89"/>
      <c r="C111" s="89"/>
      <c r="D111" s="89" t="s">
        <v>139</v>
      </c>
      <c r="E111" s="73"/>
      <c r="F111" s="73"/>
      <c r="G111" s="75"/>
      <c r="H111" s="75">
        <f>H112</f>
        <v>18700</v>
      </c>
      <c r="I111" s="47"/>
    </row>
    <row r="112" spans="1:9" s="95" customFormat="1" ht="19.5" customHeight="1">
      <c r="A112" s="81"/>
      <c r="B112" s="78">
        <v>63003</v>
      </c>
      <c r="C112" s="78"/>
      <c r="D112" s="78" t="s">
        <v>140</v>
      </c>
      <c r="E112" s="77"/>
      <c r="F112" s="79"/>
      <c r="G112" s="137"/>
      <c r="H112" s="137">
        <f>H113</f>
        <v>18700</v>
      </c>
      <c r="I112" s="94"/>
    </row>
    <row r="113" spans="1:9" s="22" customFormat="1" ht="19.5" customHeight="1">
      <c r="A113" s="206"/>
      <c r="B113" s="215"/>
      <c r="C113" s="66"/>
      <c r="D113" s="557" t="s">
        <v>141</v>
      </c>
      <c r="E113" s="101"/>
      <c r="F113" s="544"/>
      <c r="G113" s="268"/>
      <c r="H113" s="268">
        <f>H114</f>
        <v>18700</v>
      </c>
      <c r="I113" s="47"/>
    </row>
    <row r="114" spans="1:9" s="22" customFormat="1" ht="19.5" customHeight="1">
      <c r="A114" s="205"/>
      <c r="B114" s="169"/>
      <c r="C114" s="82">
        <v>6050</v>
      </c>
      <c r="D114" s="549" t="s">
        <v>762</v>
      </c>
      <c r="E114" s="320"/>
      <c r="F114" s="160"/>
      <c r="G114" s="154"/>
      <c r="H114" s="154">
        <v>18700</v>
      </c>
      <c r="I114" s="47"/>
    </row>
    <row r="115" spans="1:9" s="22" customFormat="1" ht="19.5" customHeight="1">
      <c r="A115" s="89">
        <v>900</v>
      </c>
      <c r="B115" s="89"/>
      <c r="C115" s="89"/>
      <c r="D115" s="89" t="s">
        <v>764</v>
      </c>
      <c r="E115" s="73"/>
      <c r="F115" s="73"/>
      <c r="G115" s="75">
        <f>G116</f>
        <v>300000</v>
      </c>
      <c r="H115" s="75">
        <f>H116</f>
        <v>300000</v>
      </c>
      <c r="I115" s="47"/>
    </row>
    <row r="116" spans="1:9" s="95" customFormat="1" ht="19.5" customHeight="1">
      <c r="A116" s="81"/>
      <c r="B116" s="78">
        <v>90004</v>
      </c>
      <c r="C116" s="78"/>
      <c r="D116" s="78" t="s">
        <v>226</v>
      </c>
      <c r="E116" s="77"/>
      <c r="F116" s="79"/>
      <c r="G116" s="137">
        <f>G117+G119</f>
        <v>300000</v>
      </c>
      <c r="H116" s="137">
        <f>H117+H119</f>
        <v>300000</v>
      </c>
      <c r="I116" s="94"/>
    </row>
    <row r="117" spans="1:9" s="22" customFormat="1" ht="19.5" customHeight="1">
      <c r="A117" s="206"/>
      <c r="B117" s="215"/>
      <c r="C117" s="66"/>
      <c r="D117" s="557" t="s">
        <v>227</v>
      </c>
      <c r="E117" s="101"/>
      <c r="F117" s="544"/>
      <c r="G117" s="268"/>
      <c r="H117" s="268">
        <f>H118</f>
        <v>300000</v>
      </c>
      <c r="I117" s="47"/>
    </row>
    <row r="118" spans="1:9" s="22" customFormat="1" ht="19.5" customHeight="1">
      <c r="A118" s="205"/>
      <c r="B118" s="169"/>
      <c r="C118" s="82">
        <v>4300</v>
      </c>
      <c r="D118" s="549" t="s">
        <v>571</v>
      </c>
      <c r="E118" s="320"/>
      <c r="F118" s="160"/>
      <c r="G118" s="154"/>
      <c r="H118" s="154">
        <v>300000</v>
      </c>
      <c r="I118" s="47"/>
    </row>
    <row r="119" spans="1:9" s="274" customFormat="1" ht="19.5" customHeight="1">
      <c r="A119" s="206"/>
      <c r="B119" s="215"/>
      <c r="C119" s="215"/>
      <c r="D119" s="1065" t="s">
        <v>383</v>
      </c>
      <c r="E119" s="1067"/>
      <c r="F119" s="1068"/>
      <c r="G119" s="1066">
        <f>G120</f>
        <v>300000</v>
      </c>
      <c r="H119" s="1066"/>
      <c r="I119" s="414"/>
    </row>
    <row r="120" spans="1:9" s="22" customFormat="1" ht="19.5" customHeight="1">
      <c r="A120" s="205"/>
      <c r="B120" s="169"/>
      <c r="C120" s="82">
        <v>6050</v>
      </c>
      <c r="D120" s="837" t="s">
        <v>762</v>
      </c>
      <c r="E120" s="1107"/>
      <c r="F120" s="672"/>
      <c r="G120" s="154">
        <v>300000</v>
      </c>
      <c r="H120" s="154"/>
      <c r="I120" s="47"/>
    </row>
    <row r="121" spans="1:9" s="168" customFormat="1" ht="18.75" customHeight="1">
      <c r="A121" s="164"/>
      <c r="B121" s="139"/>
      <c r="C121" s="165"/>
      <c r="D121" s="166" t="s">
        <v>515</v>
      </c>
      <c r="E121" s="166"/>
      <c r="F121" s="167"/>
      <c r="G121" s="167">
        <f>G122+G165</f>
        <v>988249</v>
      </c>
      <c r="H121" s="167">
        <f>H122+H165</f>
        <v>888453</v>
      </c>
      <c r="I121" s="319"/>
    </row>
    <row r="122" spans="1:10" s="156" customFormat="1" ht="19.5" customHeight="1" thickBot="1">
      <c r="A122" s="321"/>
      <c r="B122" s="321"/>
      <c r="C122" s="321"/>
      <c r="D122" s="163" t="s">
        <v>547</v>
      </c>
      <c r="E122" s="163"/>
      <c r="F122" s="162"/>
      <c r="G122" s="193">
        <f>G123+G134+G152+G161</f>
        <v>988249</v>
      </c>
      <c r="H122" s="193">
        <f>H123+H134+H152+H161</f>
        <v>863359</v>
      </c>
      <c r="I122" s="155"/>
      <c r="J122" s="155"/>
    </row>
    <row r="123" spans="1:9" s="22" customFormat="1" ht="19.5" customHeight="1" thickTop="1">
      <c r="A123" s="89">
        <v>750</v>
      </c>
      <c r="B123" s="89"/>
      <c r="C123" s="89"/>
      <c r="D123" s="89" t="s">
        <v>558</v>
      </c>
      <c r="E123" s="73"/>
      <c r="F123" s="73"/>
      <c r="G123" s="75">
        <f>G124</f>
        <v>262647</v>
      </c>
      <c r="H123" s="75">
        <f>H124</f>
        <v>262647</v>
      </c>
      <c r="I123" s="47"/>
    </row>
    <row r="124" spans="1:9" s="95" customFormat="1" ht="19.5" customHeight="1">
      <c r="A124" s="550"/>
      <c r="B124" s="77">
        <v>75023</v>
      </c>
      <c r="C124" s="77"/>
      <c r="D124" s="77" t="s">
        <v>573</v>
      </c>
      <c r="E124" s="137"/>
      <c r="F124" s="137"/>
      <c r="G124" s="137">
        <f>G125+G127+G130+G132</f>
        <v>262647</v>
      </c>
      <c r="H124" s="137">
        <f>H125+H127+H130+H132</f>
        <v>262647</v>
      </c>
      <c r="I124" s="94"/>
    </row>
    <row r="125" spans="1:9" s="95" customFormat="1" ht="17.25" customHeight="1">
      <c r="A125" s="81"/>
      <c r="B125" s="457"/>
      <c r="C125" s="66"/>
      <c r="D125" s="211" t="s">
        <v>278</v>
      </c>
      <c r="E125" s="544"/>
      <c r="F125" s="544"/>
      <c r="G125" s="544">
        <f>G126</f>
        <v>82647</v>
      </c>
      <c r="H125" s="544"/>
      <c r="I125" s="94"/>
    </row>
    <row r="126" spans="1:9" s="95" customFormat="1" ht="16.5" customHeight="1">
      <c r="A126" s="81"/>
      <c r="B126" s="457"/>
      <c r="C126" s="318">
        <v>4040</v>
      </c>
      <c r="D126" s="320" t="s">
        <v>603</v>
      </c>
      <c r="E126" s="160"/>
      <c r="F126" s="160"/>
      <c r="G126" s="160">
        <v>82647</v>
      </c>
      <c r="H126" s="160"/>
      <c r="I126" s="94"/>
    </row>
    <row r="127" spans="1:9" s="22" customFormat="1" ht="17.25" customHeight="1">
      <c r="A127" s="206"/>
      <c r="B127" s="215"/>
      <c r="C127" s="108"/>
      <c r="D127" s="101" t="s">
        <v>574</v>
      </c>
      <c r="E127" s="268"/>
      <c r="F127" s="268"/>
      <c r="G127" s="268">
        <f>SUM(G128:G129)</f>
        <v>100000</v>
      </c>
      <c r="H127" s="268">
        <f>SUM(H128:H129)</f>
        <v>80000</v>
      </c>
      <c r="I127" s="47"/>
    </row>
    <row r="128" spans="1:9" s="22" customFormat="1" ht="19.5" customHeight="1">
      <c r="A128" s="205"/>
      <c r="B128" s="169"/>
      <c r="C128" s="318">
        <v>4210</v>
      </c>
      <c r="D128" s="320" t="s">
        <v>570</v>
      </c>
      <c r="E128" s="154"/>
      <c r="F128" s="154"/>
      <c r="G128" s="154">
        <v>100000</v>
      </c>
      <c r="H128" s="154"/>
      <c r="I128" s="47"/>
    </row>
    <row r="129" spans="1:9" s="22" customFormat="1" ht="18" customHeight="1">
      <c r="A129" s="205"/>
      <c r="B129" s="169"/>
      <c r="C129" s="1053">
        <v>4270</v>
      </c>
      <c r="D129" s="998" t="s">
        <v>164</v>
      </c>
      <c r="E129" s="822"/>
      <c r="F129" s="822"/>
      <c r="G129" s="822"/>
      <c r="H129" s="822">
        <v>80000</v>
      </c>
      <c r="I129" s="47"/>
    </row>
    <row r="130" spans="1:9" s="22" customFormat="1" ht="19.5" customHeight="1">
      <c r="A130" s="206"/>
      <c r="B130" s="215"/>
      <c r="C130" s="108"/>
      <c r="D130" s="101" t="s">
        <v>599</v>
      </c>
      <c r="E130" s="268"/>
      <c r="F130" s="268"/>
      <c r="G130" s="268"/>
      <c r="H130" s="268">
        <f>H131</f>
        <v>182647</v>
      </c>
      <c r="I130" s="47"/>
    </row>
    <row r="131" spans="1:9" s="156" customFormat="1" ht="19.5" customHeight="1">
      <c r="A131" s="205"/>
      <c r="B131" s="169"/>
      <c r="C131" s="318">
        <v>4120</v>
      </c>
      <c r="D131" s="320" t="s">
        <v>654</v>
      </c>
      <c r="E131" s="154"/>
      <c r="F131" s="154"/>
      <c r="G131" s="154"/>
      <c r="H131" s="154">
        <v>182647</v>
      </c>
      <c r="I131" s="155"/>
    </row>
    <row r="132" spans="1:9" s="230" customFormat="1" ht="18" customHeight="1">
      <c r="A132" s="206"/>
      <c r="B132" s="215"/>
      <c r="C132" s="416"/>
      <c r="D132" s="1067" t="s">
        <v>719</v>
      </c>
      <c r="E132" s="871"/>
      <c r="F132" s="871"/>
      <c r="G132" s="871">
        <f>G133</f>
        <v>80000</v>
      </c>
      <c r="H132" s="871"/>
      <c r="I132" s="210"/>
    </row>
    <row r="133" spans="1:9" s="156" customFormat="1" ht="19.5" customHeight="1">
      <c r="A133" s="228"/>
      <c r="B133" s="321"/>
      <c r="C133" s="318">
        <v>6050</v>
      </c>
      <c r="D133" s="1107" t="s">
        <v>762</v>
      </c>
      <c r="E133" s="154"/>
      <c r="F133" s="154"/>
      <c r="G133" s="154">
        <v>80000</v>
      </c>
      <c r="H133" s="154"/>
      <c r="I133" s="155"/>
    </row>
    <row r="134" spans="1:12" s="22" customFormat="1" ht="16.5" customHeight="1">
      <c r="A134" s="72">
        <v>801</v>
      </c>
      <c r="B134" s="89"/>
      <c r="C134" s="73"/>
      <c r="D134" s="92" t="s">
        <v>554</v>
      </c>
      <c r="E134" s="92"/>
      <c r="F134" s="75"/>
      <c r="G134" s="75">
        <f>G135+G141+G144+G149</f>
        <v>694472</v>
      </c>
      <c r="H134" s="75">
        <f>H135+H141+H144+H149</f>
        <v>133562</v>
      </c>
      <c r="I134" s="47"/>
      <c r="J134" s="47"/>
      <c r="L134" s="47"/>
    </row>
    <row r="135" spans="1:12" s="95" customFormat="1" ht="18" customHeight="1">
      <c r="A135" s="216"/>
      <c r="B135" s="77">
        <v>80101</v>
      </c>
      <c r="C135" s="77"/>
      <c r="D135" s="77" t="s">
        <v>60</v>
      </c>
      <c r="E135" s="77"/>
      <c r="F135" s="79"/>
      <c r="G135" s="79">
        <f>G136+G138</f>
        <v>346978</v>
      </c>
      <c r="H135" s="79">
        <f>H136+H138</f>
        <v>123001</v>
      </c>
      <c r="I135" s="138"/>
      <c r="J135" s="138"/>
      <c r="L135" s="94"/>
    </row>
    <row r="136" spans="1:12" s="95" customFormat="1" ht="18" customHeight="1">
      <c r="A136" s="80"/>
      <c r="B136" s="66"/>
      <c r="C136" s="66"/>
      <c r="D136" s="648" t="s">
        <v>574</v>
      </c>
      <c r="E136" s="648"/>
      <c r="F136" s="649"/>
      <c r="G136" s="649"/>
      <c r="H136" s="649">
        <f>H137</f>
        <v>123001</v>
      </c>
      <c r="I136" s="138"/>
      <c r="J136" s="138"/>
      <c r="L136" s="94"/>
    </row>
    <row r="137" spans="1:12" s="585" customFormat="1" ht="18" customHeight="1">
      <c r="A137" s="204"/>
      <c r="B137" s="81"/>
      <c r="C137" s="82">
        <v>4270</v>
      </c>
      <c r="D137" s="555" t="s">
        <v>200</v>
      </c>
      <c r="E137" s="590"/>
      <c r="F137" s="591"/>
      <c r="G137" s="591"/>
      <c r="H137" s="591">
        <v>123001</v>
      </c>
      <c r="I137" s="157"/>
      <c r="J137" s="157"/>
      <c r="L137" s="586"/>
    </row>
    <row r="138" spans="1:12" s="95" customFormat="1" ht="18" customHeight="1">
      <c r="A138" s="80"/>
      <c r="B138" s="66"/>
      <c r="C138" s="66"/>
      <c r="D138" s="648" t="s">
        <v>325</v>
      </c>
      <c r="E138" s="648"/>
      <c r="F138" s="649"/>
      <c r="G138" s="649">
        <f>G140</f>
        <v>346978</v>
      </c>
      <c r="H138" s="649"/>
      <c r="I138" s="138"/>
      <c r="J138" s="138"/>
      <c r="L138" s="94"/>
    </row>
    <row r="139" spans="1:12" s="581" customFormat="1" ht="18" customHeight="1">
      <c r="A139" s="205"/>
      <c r="B139" s="169"/>
      <c r="C139" s="169"/>
      <c r="D139" s="217" t="s">
        <v>203</v>
      </c>
      <c r="E139" s="217"/>
      <c r="F139" s="1011"/>
      <c r="G139" s="1011">
        <v>346978</v>
      </c>
      <c r="H139" s="1011"/>
      <c r="I139" s="155"/>
      <c r="J139" s="155"/>
      <c r="L139" s="582"/>
    </row>
    <row r="140" spans="1:12" s="585" customFormat="1" ht="18" customHeight="1">
      <c r="A140" s="561"/>
      <c r="B140" s="82"/>
      <c r="C140" s="82">
        <v>6050</v>
      </c>
      <c r="D140" s="1018" t="s">
        <v>762</v>
      </c>
      <c r="E140" s="1018"/>
      <c r="F140" s="1019"/>
      <c r="G140" s="1019">
        <f>G139</f>
        <v>346978</v>
      </c>
      <c r="H140" s="1019"/>
      <c r="I140" s="157"/>
      <c r="J140" s="157"/>
      <c r="L140" s="586"/>
    </row>
    <row r="141" spans="1:12" s="95" customFormat="1" ht="18" customHeight="1">
      <c r="A141" s="76"/>
      <c r="B141" s="78">
        <v>80104</v>
      </c>
      <c r="C141" s="78"/>
      <c r="D141" s="78" t="s">
        <v>58</v>
      </c>
      <c r="E141" s="78"/>
      <c r="F141" s="543"/>
      <c r="G141" s="543">
        <f>G142</f>
        <v>51750</v>
      </c>
      <c r="H141" s="543"/>
      <c r="I141" s="138"/>
      <c r="J141" s="138"/>
      <c r="L141" s="94"/>
    </row>
    <row r="142" spans="1:12" s="95" customFormat="1" ht="18" customHeight="1">
      <c r="A142" s="80"/>
      <c r="B142" s="66"/>
      <c r="C142" s="66"/>
      <c r="D142" s="648" t="s">
        <v>718</v>
      </c>
      <c r="E142" s="648"/>
      <c r="F142" s="649"/>
      <c r="G142" s="649">
        <f>G143</f>
        <v>51750</v>
      </c>
      <c r="H142" s="649"/>
      <c r="I142" s="138"/>
      <c r="J142" s="138"/>
      <c r="L142" s="94"/>
    </row>
    <row r="143" spans="1:12" s="585" customFormat="1" ht="18" customHeight="1">
      <c r="A143" s="204"/>
      <c r="B143" s="81"/>
      <c r="C143" s="82">
        <v>6050</v>
      </c>
      <c r="D143" s="1018" t="s">
        <v>762</v>
      </c>
      <c r="E143" s="1018"/>
      <c r="F143" s="1019"/>
      <c r="G143" s="1019">
        <v>51750</v>
      </c>
      <c r="H143" s="1019"/>
      <c r="I143" s="157"/>
      <c r="J143" s="157"/>
      <c r="L143" s="586"/>
    </row>
    <row r="144" spans="1:12" s="95" customFormat="1" ht="18" customHeight="1">
      <c r="A144" s="76"/>
      <c r="B144" s="77">
        <v>80110</v>
      </c>
      <c r="C144" s="77"/>
      <c r="D144" s="77" t="s">
        <v>61</v>
      </c>
      <c r="E144" s="77"/>
      <c r="F144" s="79"/>
      <c r="G144" s="79">
        <f>G145</f>
        <v>172743</v>
      </c>
      <c r="H144" s="79">
        <f>H145</f>
        <v>10561</v>
      </c>
      <c r="I144" s="138"/>
      <c r="J144" s="138"/>
      <c r="L144" s="94"/>
    </row>
    <row r="145" spans="1:9" s="130" customFormat="1" ht="18" customHeight="1">
      <c r="A145" s="80"/>
      <c r="B145" s="66"/>
      <c r="C145" s="66"/>
      <c r="D145" s="66" t="s">
        <v>325</v>
      </c>
      <c r="E145" s="66"/>
      <c r="F145" s="725"/>
      <c r="G145" s="725">
        <f>G148</f>
        <v>172743</v>
      </c>
      <c r="H145" s="725">
        <f>H148</f>
        <v>10561</v>
      </c>
      <c r="I145" s="138"/>
    </row>
    <row r="146" spans="1:9" s="130" customFormat="1" ht="18" customHeight="1">
      <c r="A146" s="204"/>
      <c r="B146" s="81"/>
      <c r="C146" s="81"/>
      <c r="D146" s="488" t="s">
        <v>203</v>
      </c>
      <c r="E146" s="488"/>
      <c r="F146" s="490"/>
      <c r="G146" s="490">
        <v>172743</v>
      </c>
      <c r="H146" s="490"/>
      <c r="I146" s="138"/>
    </row>
    <row r="147" spans="1:9" s="130" customFormat="1" ht="18" customHeight="1">
      <c r="A147" s="204"/>
      <c r="B147" s="81"/>
      <c r="C147" s="81"/>
      <c r="D147" s="636" t="s">
        <v>163</v>
      </c>
      <c r="E147" s="636"/>
      <c r="F147" s="637"/>
      <c r="G147" s="637"/>
      <c r="H147" s="637">
        <v>10561</v>
      </c>
      <c r="I147" s="138"/>
    </row>
    <row r="148" spans="1:9" s="158" customFormat="1" ht="18" customHeight="1">
      <c r="A148" s="204"/>
      <c r="B148" s="82"/>
      <c r="C148" s="82">
        <v>6050</v>
      </c>
      <c r="D148" s="83" t="s">
        <v>762</v>
      </c>
      <c r="E148" s="83"/>
      <c r="F148" s="456"/>
      <c r="G148" s="456">
        <f>SUM(G146:G147)</f>
        <v>172743</v>
      </c>
      <c r="H148" s="456">
        <f>SUM(H146:H147)</f>
        <v>10561</v>
      </c>
      <c r="I148" s="157"/>
    </row>
    <row r="149" spans="1:12" s="95" customFormat="1" ht="18" customHeight="1">
      <c r="A149" s="76"/>
      <c r="B149" s="77">
        <v>80195</v>
      </c>
      <c r="C149" s="77"/>
      <c r="D149" s="77" t="s">
        <v>553</v>
      </c>
      <c r="E149" s="77"/>
      <c r="F149" s="79"/>
      <c r="G149" s="79">
        <f>G150</f>
        <v>123001</v>
      </c>
      <c r="H149" s="79"/>
      <c r="I149" s="138"/>
      <c r="J149" s="138"/>
      <c r="L149" s="94"/>
    </row>
    <row r="150" spans="1:9" s="130" customFormat="1" ht="18" customHeight="1">
      <c r="A150" s="80"/>
      <c r="B150" s="66"/>
      <c r="C150" s="66"/>
      <c r="D150" s="66" t="s">
        <v>166</v>
      </c>
      <c r="E150" s="66"/>
      <c r="F150" s="725"/>
      <c r="G150" s="725">
        <f>G151</f>
        <v>123001</v>
      </c>
      <c r="H150" s="725"/>
      <c r="I150" s="138"/>
    </row>
    <row r="151" spans="1:9" s="158" customFormat="1" ht="18" customHeight="1">
      <c r="A151" s="561"/>
      <c r="B151" s="82"/>
      <c r="C151" s="82">
        <v>6050</v>
      </c>
      <c r="D151" s="836" t="s">
        <v>762</v>
      </c>
      <c r="E151" s="836"/>
      <c r="F151" s="1122"/>
      <c r="G151" s="1122">
        <v>123001</v>
      </c>
      <c r="H151" s="1122"/>
      <c r="I151" s="157"/>
    </row>
    <row r="152" spans="1:9" s="130" customFormat="1" ht="18.75" customHeight="1">
      <c r="A152" s="439">
        <v>852</v>
      </c>
      <c r="B152" s="73"/>
      <c r="C152" s="73"/>
      <c r="D152" s="92" t="s">
        <v>555</v>
      </c>
      <c r="E152" s="92"/>
      <c r="F152" s="96"/>
      <c r="G152" s="96"/>
      <c r="H152" s="96">
        <f>H153+H157</f>
        <v>467150</v>
      </c>
      <c r="I152" s="138"/>
    </row>
    <row r="153" spans="1:9" s="130" customFormat="1" ht="18.75" customHeight="1">
      <c r="A153" s="76"/>
      <c r="B153" s="77">
        <v>85201</v>
      </c>
      <c r="C153" s="77"/>
      <c r="D153" s="324" t="s">
        <v>190</v>
      </c>
      <c r="E153" s="437"/>
      <c r="F153" s="146"/>
      <c r="G153" s="146"/>
      <c r="H153" s="146">
        <f>H154</f>
        <v>264000</v>
      </c>
      <c r="I153" s="138"/>
    </row>
    <row r="154" spans="1:9" s="130" customFormat="1" ht="18.75" customHeight="1">
      <c r="A154" s="80"/>
      <c r="B154" s="474"/>
      <c r="C154" s="66"/>
      <c r="D154" s="66" t="s">
        <v>325</v>
      </c>
      <c r="E154" s="474"/>
      <c r="F154" s="489"/>
      <c r="G154" s="489"/>
      <c r="H154" s="489">
        <f>H156</f>
        <v>264000</v>
      </c>
      <c r="I154" s="138"/>
    </row>
    <row r="155" spans="1:9" s="130" customFormat="1" ht="18.75" customHeight="1">
      <c r="A155" s="204"/>
      <c r="B155" s="81"/>
      <c r="C155" s="81"/>
      <c r="D155" s="1268" t="s">
        <v>717</v>
      </c>
      <c r="E155" s="1268"/>
      <c r="F155" s="1269"/>
      <c r="G155" s="1269"/>
      <c r="H155" s="1269">
        <f>264000</f>
        <v>264000</v>
      </c>
      <c r="I155" s="138"/>
    </row>
    <row r="156" spans="1:9" s="158" customFormat="1" ht="18.75" customHeight="1">
      <c r="A156" s="204"/>
      <c r="B156" s="81"/>
      <c r="C156" s="82">
        <v>6050</v>
      </c>
      <c r="D156" s="83" t="s">
        <v>762</v>
      </c>
      <c r="E156" s="83"/>
      <c r="F156" s="456"/>
      <c r="G156" s="456"/>
      <c r="H156" s="456">
        <f>H155</f>
        <v>264000</v>
      </c>
      <c r="I156" s="157"/>
    </row>
    <row r="157" spans="1:9" s="130" customFormat="1" ht="18.75" customHeight="1">
      <c r="A157" s="76"/>
      <c r="B157" s="77">
        <v>85202</v>
      </c>
      <c r="C157" s="77"/>
      <c r="D157" s="324" t="s">
        <v>82</v>
      </c>
      <c r="E157" s="437"/>
      <c r="F157" s="146"/>
      <c r="G157" s="146"/>
      <c r="H157" s="146">
        <f>H158</f>
        <v>203150</v>
      </c>
      <c r="I157" s="138"/>
    </row>
    <row r="158" spans="1:9" s="130" customFormat="1" ht="18.75" customHeight="1">
      <c r="A158" s="80"/>
      <c r="B158" s="474"/>
      <c r="C158" s="66"/>
      <c r="D158" s="66" t="s">
        <v>325</v>
      </c>
      <c r="E158" s="474"/>
      <c r="F158" s="489"/>
      <c r="G158" s="489"/>
      <c r="H158" s="489">
        <f>H160</f>
        <v>203150</v>
      </c>
      <c r="I158" s="138"/>
    </row>
    <row r="159" spans="1:9" s="130" customFormat="1" ht="18.75" customHeight="1">
      <c r="A159" s="204"/>
      <c r="B159" s="81"/>
      <c r="C159" s="81"/>
      <c r="D159" s="1268" t="s">
        <v>167</v>
      </c>
      <c r="E159" s="1268"/>
      <c r="F159" s="1269"/>
      <c r="G159" s="1269"/>
      <c r="H159" s="1269">
        <f>235150-32000</f>
        <v>203150</v>
      </c>
      <c r="I159" s="138"/>
    </row>
    <row r="160" spans="1:9" s="158" customFormat="1" ht="18.75" customHeight="1">
      <c r="A160" s="204"/>
      <c r="B160" s="81"/>
      <c r="C160" s="82">
        <v>6050</v>
      </c>
      <c r="D160" s="83" t="s">
        <v>762</v>
      </c>
      <c r="E160" s="83"/>
      <c r="F160" s="456"/>
      <c r="G160" s="456"/>
      <c r="H160" s="456">
        <f>H159</f>
        <v>203150</v>
      </c>
      <c r="I160" s="157"/>
    </row>
    <row r="161" spans="1:12" s="22" customFormat="1" ht="18" customHeight="1">
      <c r="A161" s="72">
        <v>854</v>
      </c>
      <c r="B161" s="89"/>
      <c r="C161" s="73"/>
      <c r="D161" s="92" t="s">
        <v>556</v>
      </c>
      <c r="E161" s="92"/>
      <c r="F161" s="75"/>
      <c r="G161" s="75">
        <f>G162</f>
        <v>31130</v>
      </c>
      <c r="H161" s="75"/>
      <c r="I161" s="47"/>
      <c r="J161" s="47"/>
      <c r="L161" s="47"/>
    </row>
    <row r="162" spans="1:12" s="95" customFormat="1" ht="18" customHeight="1">
      <c r="A162" s="76"/>
      <c r="B162" s="77">
        <v>85410</v>
      </c>
      <c r="C162" s="77"/>
      <c r="D162" s="77" t="s">
        <v>91</v>
      </c>
      <c r="E162" s="77"/>
      <c r="F162" s="79"/>
      <c r="G162" s="79">
        <f>G163</f>
        <v>31130</v>
      </c>
      <c r="H162" s="79"/>
      <c r="I162" s="138"/>
      <c r="J162" s="138"/>
      <c r="L162" s="94"/>
    </row>
    <row r="163" spans="1:12" s="95" customFormat="1" ht="18" customHeight="1">
      <c r="A163" s="80"/>
      <c r="B163" s="66"/>
      <c r="C163" s="66"/>
      <c r="D163" s="648" t="s">
        <v>574</v>
      </c>
      <c r="E163" s="648"/>
      <c r="F163" s="649"/>
      <c r="G163" s="649">
        <f>G164</f>
        <v>31130</v>
      </c>
      <c r="H163" s="649"/>
      <c r="I163" s="138"/>
      <c r="J163" s="138"/>
      <c r="L163" s="94"/>
    </row>
    <row r="164" spans="1:12" s="585" customFormat="1" ht="18" customHeight="1">
      <c r="A164" s="204"/>
      <c r="B164" s="81"/>
      <c r="C164" s="82">
        <v>4270</v>
      </c>
      <c r="D164" s="555" t="s">
        <v>150</v>
      </c>
      <c r="E164" s="590"/>
      <c r="F164" s="591"/>
      <c r="G164" s="591">
        <v>31130</v>
      </c>
      <c r="H164" s="591"/>
      <c r="I164" s="157"/>
      <c r="J164" s="157"/>
      <c r="L164" s="586"/>
    </row>
    <row r="165" spans="1:9" ht="28.5" customHeight="1" thickBot="1">
      <c r="A165" s="69"/>
      <c r="B165" s="69"/>
      <c r="C165" s="69"/>
      <c r="D165" s="665" t="s">
        <v>585</v>
      </c>
      <c r="E165" s="70"/>
      <c r="F165" s="71"/>
      <c r="G165" s="71"/>
      <c r="H165" s="71">
        <f>H166</f>
        <v>25094</v>
      </c>
      <c r="I165" s="52"/>
    </row>
    <row r="166" spans="1:9" s="22" customFormat="1" ht="18.75" customHeight="1" thickTop="1">
      <c r="A166" s="72">
        <v>853</v>
      </c>
      <c r="B166" s="89"/>
      <c r="C166" s="89"/>
      <c r="D166" s="92" t="s">
        <v>598</v>
      </c>
      <c r="E166" s="92"/>
      <c r="F166" s="87"/>
      <c r="G166" s="87"/>
      <c r="H166" s="87">
        <f>H167</f>
        <v>25094</v>
      </c>
      <c r="I166" s="47"/>
    </row>
    <row r="167" spans="1:9" s="22" customFormat="1" ht="18.75" customHeight="1">
      <c r="A167" s="141"/>
      <c r="B167" s="136">
        <v>85334</v>
      </c>
      <c r="C167" s="161"/>
      <c r="D167" s="314" t="s">
        <v>222</v>
      </c>
      <c r="E167" s="77"/>
      <c r="F167" s="79"/>
      <c r="G167" s="79"/>
      <c r="H167" s="79">
        <f>H168</f>
        <v>25094</v>
      </c>
      <c r="I167" s="47"/>
    </row>
    <row r="168" spans="1:9" s="22" customFormat="1" ht="18.75" customHeight="1">
      <c r="A168" s="169"/>
      <c r="B168" s="169"/>
      <c r="C168" s="542"/>
      <c r="D168" s="541" t="s">
        <v>223</v>
      </c>
      <c r="E168" s="556"/>
      <c r="F168" s="573"/>
      <c r="G168" s="573"/>
      <c r="H168" s="573">
        <f>H169</f>
        <v>25094</v>
      </c>
      <c r="I168" s="47"/>
    </row>
    <row r="169" spans="1:9" s="22" customFormat="1" ht="18.75" customHeight="1">
      <c r="A169" s="318"/>
      <c r="B169" s="318"/>
      <c r="C169" s="321">
        <v>4300</v>
      </c>
      <c r="D169" s="229" t="s">
        <v>571</v>
      </c>
      <c r="E169" s="83"/>
      <c r="F169" s="84"/>
      <c r="G169" s="84"/>
      <c r="H169" s="84">
        <v>25094</v>
      </c>
      <c r="I169" s="47"/>
    </row>
    <row r="170" spans="1:9" s="22" customFormat="1" ht="18.75" customHeight="1">
      <c r="A170" s="1358"/>
      <c r="B170" s="1358"/>
      <c r="C170" s="1359"/>
      <c r="D170" s="1360"/>
      <c r="E170" s="1361"/>
      <c r="F170" s="1362"/>
      <c r="G170" s="1362"/>
      <c r="H170" s="1362"/>
      <c r="I170" s="47"/>
    </row>
    <row r="171" spans="1:9" ht="18" customHeight="1">
      <c r="A171" s="66"/>
      <c r="B171" s="67"/>
      <c r="C171" s="68"/>
      <c r="D171" s="64" t="s">
        <v>516</v>
      </c>
      <c r="E171" s="64"/>
      <c r="F171" s="218"/>
      <c r="G171" s="65">
        <f>G172+G268</f>
        <v>975391</v>
      </c>
      <c r="H171" s="65">
        <f>H172+H268</f>
        <v>446280</v>
      </c>
      <c r="I171" s="47"/>
    </row>
    <row r="172" spans="1:9" ht="18.75" customHeight="1" thickBot="1">
      <c r="A172" s="69"/>
      <c r="B172" s="69"/>
      <c r="C172" s="69"/>
      <c r="D172" s="70" t="s">
        <v>569</v>
      </c>
      <c r="E172" s="70"/>
      <c r="F172" s="71"/>
      <c r="G172" s="71">
        <f>G173+G248</f>
        <v>965391</v>
      </c>
      <c r="H172" s="71">
        <f>H173+H248</f>
        <v>436280</v>
      </c>
      <c r="I172" s="47"/>
    </row>
    <row r="173" spans="1:9" s="22" customFormat="1" ht="18.75" customHeight="1" thickTop="1">
      <c r="A173" s="72">
        <v>801</v>
      </c>
      <c r="B173" s="89"/>
      <c r="C173" s="73"/>
      <c r="D173" s="92" t="s">
        <v>554</v>
      </c>
      <c r="E173" s="92"/>
      <c r="F173" s="87"/>
      <c r="G173" s="87">
        <f>G174+G179+G184+G207+G212+G215+G219+G224+G242+G245</f>
        <v>841300</v>
      </c>
      <c r="H173" s="87">
        <f>H174+H179+H184+H207+H212+H215+H219+H224+H242+H245</f>
        <v>436000</v>
      </c>
      <c r="I173" s="47"/>
    </row>
    <row r="174" spans="1:9" s="22" customFormat="1" ht="18.75" customHeight="1">
      <c r="A174" s="76"/>
      <c r="B174" s="77">
        <v>80101</v>
      </c>
      <c r="C174" s="635"/>
      <c r="D174" s="77" t="s">
        <v>60</v>
      </c>
      <c r="E174" s="77"/>
      <c r="F174" s="79"/>
      <c r="G174" s="79">
        <f>G175+G177</f>
        <v>38530</v>
      </c>
      <c r="H174" s="79"/>
      <c r="I174" s="47"/>
    </row>
    <row r="175" spans="1:9" s="22" customFormat="1" ht="18.75" customHeight="1">
      <c r="A175" s="80"/>
      <c r="B175" s="66"/>
      <c r="C175" s="66"/>
      <c r="D175" s="556" t="s">
        <v>574</v>
      </c>
      <c r="E175" s="556"/>
      <c r="F175" s="573"/>
      <c r="G175" s="573">
        <f>G176</f>
        <v>37880</v>
      </c>
      <c r="H175" s="573"/>
      <c r="I175" s="47"/>
    </row>
    <row r="176" spans="1:9" s="22" customFormat="1" ht="18.75" customHeight="1">
      <c r="A176" s="204"/>
      <c r="B176" s="81"/>
      <c r="C176" s="140">
        <v>4260</v>
      </c>
      <c r="D176" s="83" t="s">
        <v>656</v>
      </c>
      <c r="E176" s="83"/>
      <c r="F176" s="84"/>
      <c r="G176" s="84">
        <v>37880</v>
      </c>
      <c r="H176" s="84"/>
      <c r="I176" s="47"/>
    </row>
    <row r="177" spans="1:9" s="22" customFormat="1" ht="18.75" customHeight="1">
      <c r="A177" s="80"/>
      <c r="B177" s="66"/>
      <c r="C177" s="66"/>
      <c r="D177" s="558" t="s">
        <v>276</v>
      </c>
      <c r="E177" s="556"/>
      <c r="F177" s="573"/>
      <c r="G177" s="573">
        <f>G178</f>
        <v>650</v>
      </c>
      <c r="H177" s="573"/>
      <c r="I177" s="47"/>
    </row>
    <row r="178" spans="1:9" s="22" customFormat="1" ht="18.75" customHeight="1">
      <c r="A178" s="204"/>
      <c r="B178" s="82"/>
      <c r="C178" s="318">
        <v>4110</v>
      </c>
      <c r="D178" s="320" t="s">
        <v>653</v>
      </c>
      <c r="E178" s="83"/>
      <c r="F178" s="84"/>
      <c r="G178" s="84">
        <v>650</v>
      </c>
      <c r="H178" s="84"/>
      <c r="I178" s="47"/>
    </row>
    <row r="179" spans="1:9" s="22" customFormat="1" ht="18" customHeight="1">
      <c r="A179" s="76"/>
      <c r="B179" s="78">
        <v>80103</v>
      </c>
      <c r="C179" s="78"/>
      <c r="D179" s="78" t="s">
        <v>134</v>
      </c>
      <c r="E179" s="78"/>
      <c r="F179" s="543"/>
      <c r="G179" s="543">
        <f>G180+G182</f>
        <v>3230</v>
      </c>
      <c r="H179" s="543"/>
      <c r="I179" s="47"/>
    </row>
    <row r="180" spans="1:9" s="22" customFormat="1" ht="18" customHeight="1">
      <c r="A180" s="80"/>
      <c r="B180" s="66"/>
      <c r="C180" s="66"/>
      <c r="D180" s="556" t="s">
        <v>278</v>
      </c>
      <c r="E180" s="556"/>
      <c r="F180" s="573"/>
      <c r="G180" s="573">
        <f>G181</f>
        <v>2000</v>
      </c>
      <c r="H180" s="573"/>
      <c r="I180" s="47"/>
    </row>
    <row r="181" spans="1:9" s="22" customFormat="1" ht="18" customHeight="1">
      <c r="A181" s="204"/>
      <c r="B181" s="81"/>
      <c r="C181" s="140">
        <v>4010</v>
      </c>
      <c r="D181" s="83" t="s">
        <v>521</v>
      </c>
      <c r="E181" s="83"/>
      <c r="F181" s="84"/>
      <c r="G181" s="84">
        <v>2000</v>
      </c>
      <c r="H181" s="84"/>
      <c r="I181" s="47"/>
    </row>
    <row r="182" spans="1:9" s="22" customFormat="1" ht="18" customHeight="1">
      <c r="A182" s="80"/>
      <c r="B182" s="66"/>
      <c r="C182" s="66"/>
      <c r="D182" s="592" t="s">
        <v>599</v>
      </c>
      <c r="E182" s="592"/>
      <c r="F182" s="649"/>
      <c r="G182" s="649">
        <f>G183</f>
        <v>1230</v>
      </c>
      <c r="H182" s="649"/>
      <c r="I182" s="47"/>
    </row>
    <row r="183" spans="1:9" s="22" customFormat="1" ht="18" customHeight="1">
      <c r="A183" s="204"/>
      <c r="B183" s="81"/>
      <c r="C183" s="140">
        <v>4110</v>
      </c>
      <c r="D183" s="83" t="s">
        <v>653</v>
      </c>
      <c r="E183" s="83"/>
      <c r="F183" s="84"/>
      <c r="G183" s="84">
        <v>1230</v>
      </c>
      <c r="H183" s="84"/>
      <c r="I183" s="47"/>
    </row>
    <row r="184" spans="1:9" s="22" customFormat="1" ht="18" customHeight="1">
      <c r="A184" s="76"/>
      <c r="B184" s="77">
        <v>80104</v>
      </c>
      <c r="C184" s="77"/>
      <c r="D184" s="77" t="s">
        <v>601</v>
      </c>
      <c r="E184" s="77"/>
      <c r="F184" s="79"/>
      <c r="G184" s="79">
        <f>G185+G189</f>
        <v>188141</v>
      </c>
      <c r="H184" s="79">
        <f>H185+H189</f>
        <v>170000</v>
      </c>
      <c r="I184" s="47"/>
    </row>
    <row r="185" spans="1:9" s="22" customFormat="1" ht="18" customHeight="1">
      <c r="A185" s="80"/>
      <c r="B185" s="66"/>
      <c r="C185" s="66"/>
      <c r="D185" s="556" t="s">
        <v>574</v>
      </c>
      <c r="E185" s="556"/>
      <c r="F185" s="573"/>
      <c r="G185" s="573">
        <f>SUM(G186:G188)</f>
        <v>18141</v>
      </c>
      <c r="H185" s="573"/>
      <c r="I185" s="47"/>
    </row>
    <row r="186" spans="1:9" s="194" customFormat="1" ht="18" customHeight="1">
      <c r="A186" s="205"/>
      <c r="B186" s="169"/>
      <c r="C186" s="321">
        <v>4210</v>
      </c>
      <c r="D186" s="321" t="s">
        <v>570</v>
      </c>
      <c r="E186" s="321"/>
      <c r="F186" s="323"/>
      <c r="G186" s="323">
        <v>2596</v>
      </c>
      <c r="H186" s="323"/>
      <c r="I186" s="195"/>
    </row>
    <row r="187" spans="1:9" s="22" customFormat="1" ht="18" customHeight="1">
      <c r="A187" s="204"/>
      <c r="B187" s="81"/>
      <c r="C187" s="140">
        <v>4260</v>
      </c>
      <c r="D187" s="83" t="s">
        <v>656</v>
      </c>
      <c r="E187" s="83"/>
      <c r="F187" s="84"/>
      <c r="G187" s="84">
        <v>8000</v>
      </c>
      <c r="H187" s="84"/>
      <c r="I187" s="47"/>
    </row>
    <row r="188" spans="1:9" s="22" customFormat="1" ht="18" customHeight="1">
      <c r="A188" s="204"/>
      <c r="B188" s="81"/>
      <c r="C188" s="140">
        <v>4300</v>
      </c>
      <c r="D188" s="83" t="s">
        <v>571</v>
      </c>
      <c r="E188" s="83"/>
      <c r="F188" s="84"/>
      <c r="G188" s="84">
        <v>7545</v>
      </c>
      <c r="H188" s="84"/>
      <c r="I188" s="47"/>
    </row>
    <row r="189" spans="1:12" s="585" customFormat="1" ht="18" customHeight="1">
      <c r="A189" s="204"/>
      <c r="B189" s="81"/>
      <c r="C189" s="550"/>
      <c r="D189" s="592" t="s">
        <v>334</v>
      </c>
      <c r="E189" s="587"/>
      <c r="F189" s="588"/>
      <c r="G189" s="835">
        <f>G203+G206</f>
        <v>170000</v>
      </c>
      <c r="H189" s="835">
        <f>H203+H206</f>
        <v>170000</v>
      </c>
      <c r="I189" s="157"/>
      <c r="J189" s="157"/>
      <c r="L189" s="586"/>
    </row>
    <row r="190" spans="1:12" s="585" customFormat="1" ht="25.5">
      <c r="A190" s="204"/>
      <c r="B190" s="81"/>
      <c r="C190" s="81"/>
      <c r="D190" s="1020" t="s">
        <v>462</v>
      </c>
      <c r="E190" s="832"/>
      <c r="F190" s="652"/>
      <c r="G190" s="652">
        <v>10000</v>
      </c>
      <c r="H190" s="652"/>
      <c r="I190" s="157"/>
      <c r="J190" s="157"/>
      <c r="L190" s="586"/>
    </row>
    <row r="191" spans="1:12" s="585" customFormat="1" ht="27.75" customHeight="1">
      <c r="A191" s="204"/>
      <c r="B191" s="81"/>
      <c r="C191" s="81"/>
      <c r="D191" s="1020" t="s">
        <v>463</v>
      </c>
      <c r="E191" s="1015"/>
      <c r="F191" s="1016"/>
      <c r="G191" s="1016">
        <v>10000</v>
      </c>
      <c r="H191" s="1016"/>
      <c r="I191" s="157"/>
      <c r="J191" s="157"/>
      <c r="L191" s="586"/>
    </row>
    <row r="192" spans="1:12" s="585" customFormat="1" ht="27.75" customHeight="1">
      <c r="A192" s="204"/>
      <c r="B192" s="81"/>
      <c r="C192" s="81"/>
      <c r="D192" s="1021" t="s">
        <v>709</v>
      </c>
      <c r="E192" s="1015"/>
      <c r="F192" s="1016"/>
      <c r="G192" s="1016"/>
      <c r="H192" s="1016">
        <v>4000</v>
      </c>
      <c r="I192" s="157"/>
      <c r="J192" s="157"/>
      <c r="L192" s="586"/>
    </row>
    <row r="193" spans="1:12" s="585" customFormat="1" ht="27.75" customHeight="1">
      <c r="A193" s="204"/>
      <c r="B193" s="81"/>
      <c r="C193" s="81"/>
      <c r="D193" s="1021" t="s">
        <v>710</v>
      </c>
      <c r="E193" s="1015"/>
      <c r="F193" s="1016"/>
      <c r="G193" s="1016">
        <v>10000</v>
      </c>
      <c r="H193" s="1016"/>
      <c r="I193" s="157"/>
      <c r="J193" s="157"/>
      <c r="L193" s="586"/>
    </row>
    <row r="194" spans="1:12" s="585" customFormat="1" ht="27.75" customHeight="1">
      <c r="A194" s="204"/>
      <c r="B194" s="81"/>
      <c r="C194" s="81"/>
      <c r="D194" s="1022" t="s">
        <v>711</v>
      </c>
      <c r="E194" s="1015"/>
      <c r="F194" s="1016"/>
      <c r="G194" s="1016">
        <v>10000</v>
      </c>
      <c r="H194" s="1016"/>
      <c r="I194" s="157"/>
      <c r="J194" s="157"/>
      <c r="L194" s="586"/>
    </row>
    <row r="195" spans="1:12" s="585" customFormat="1" ht="27.75" customHeight="1">
      <c r="A195" s="204"/>
      <c r="B195" s="81"/>
      <c r="C195" s="81"/>
      <c r="D195" s="1023" t="s">
        <v>465</v>
      </c>
      <c r="E195" s="1015"/>
      <c r="F195" s="1016"/>
      <c r="G195" s="1016">
        <v>90000</v>
      </c>
      <c r="H195" s="1016"/>
      <c r="I195" s="157"/>
      <c r="J195" s="157"/>
      <c r="L195" s="586"/>
    </row>
    <row r="196" spans="1:12" s="585" customFormat="1" ht="27.75" customHeight="1">
      <c r="A196" s="561"/>
      <c r="B196" s="82"/>
      <c r="C196" s="82"/>
      <c r="D196" s="1363" t="s">
        <v>466</v>
      </c>
      <c r="E196" s="555"/>
      <c r="F196" s="570"/>
      <c r="G196" s="570"/>
      <c r="H196" s="570">
        <v>20000</v>
      </c>
      <c r="I196" s="157"/>
      <c r="J196" s="157"/>
      <c r="L196" s="586"/>
    </row>
    <row r="197" spans="1:12" s="585" customFormat="1" ht="45" customHeight="1">
      <c r="A197" s="204"/>
      <c r="B197" s="81"/>
      <c r="C197" s="81"/>
      <c r="D197" s="1025" t="s">
        <v>467</v>
      </c>
      <c r="E197" s="1015"/>
      <c r="F197" s="1016"/>
      <c r="G197" s="1016"/>
      <c r="H197" s="1016">
        <v>21000</v>
      </c>
      <c r="I197" s="157"/>
      <c r="J197" s="157"/>
      <c r="L197" s="586"/>
    </row>
    <row r="198" spans="1:12" s="585" customFormat="1" ht="19.5" customHeight="1">
      <c r="A198" s="204"/>
      <c r="B198" s="81"/>
      <c r="C198" s="81"/>
      <c r="D198" s="1021" t="s">
        <v>468</v>
      </c>
      <c r="E198" s="1015"/>
      <c r="F198" s="1016"/>
      <c r="G198" s="1016">
        <v>40000</v>
      </c>
      <c r="H198" s="1016"/>
      <c r="I198" s="157"/>
      <c r="J198" s="157"/>
      <c r="L198" s="586"/>
    </row>
    <row r="199" spans="1:12" s="585" customFormat="1" ht="39.75" customHeight="1">
      <c r="A199" s="204"/>
      <c r="B199" s="81"/>
      <c r="C199" s="81"/>
      <c r="D199" s="1021" t="s">
        <v>712</v>
      </c>
      <c r="E199" s="1015"/>
      <c r="F199" s="1016"/>
      <c r="G199" s="1016"/>
      <c r="H199" s="1016">
        <v>20000</v>
      </c>
      <c r="I199" s="157"/>
      <c r="J199" s="157"/>
      <c r="L199" s="586"/>
    </row>
    <row r="200" spans="1:12" s="585" customFormat="1" ht="27.75" customHeight="1">
      <c r="A200" s="204"/>
      <c r="B200" s="81"/>
      <c r="C200" s="81"/>
      <c r="D200" s="1021" t="s">
        <v>475</v>
      </c>
      <c r="E200" s="1015"/>
      <c r="F200" s="1016"/>
      <c r="G200" s="1016"/>
      <c r="H200" s="1016">
        <v>10000</v>
      </c>
      <c r="I200" s="157"/>
      <c r="J200" s="157"/>
      <c r="L200" s="586"/>
    </row>
    <row r="201" spans="1:12" s="585" customFormat="1" ht="27.75" customHeight="1">
      <c r="A201" s="204"/>
      <c r="B201" s="81"/>
      <c r="C201" s="81"/>
      <c r="D201" s="1024" t="s">
        <v>476</v>
      </c>
      <c r="E201" s="1015"/>
      <c r="F201" s="1016"/>
      <c r="G201" s="1016"/>
      <c r="H201" s="1016">
        <v>10000</v>
      </c>
      <c r="I201" s="157"/>
      <c r="J201" s="157"/>
      <c r="L201" s="586"/>
    </row>
    <row r="202" spans="1:12" s="585" customFormat="1" ht="27.75" customHeight="1">
      <c r="A202" s="204"/>
      <c r="B202" s="81"/>
      <c r="C202" s="81"/>
      <c r="D202" s="1021" t="s">
        <v>477</v>
      </c>
      <c r="E202" s="1015"/>
      <c r="F202" s="1016"/>
      <c r="G202" s="1016"/>
      <c r="H202" s="1016">
        <v>10000</v>
      </c>
      <c r="I202" s="157"/>
      <c r="J202" s="157"/>
      <c r="L202" s="586"/>
    </row>
    <row r="203" spans="1:12" s="585" customFormat="1" ht="18" customHeight="1">
      <c r="A203" s="204"/>
      <c r="B203" s="81"/>
      <c r="C203" s="82">
        <v>2540</v>
      </c>
      <c r="D203" s="549" t="s">
        <v>620</v>
      </c>
      <c r="E203" s="1018"/>
      <c r="F203" s="1019"/>
      <c r="G203" s="1019">
        <f>SUM(G190:G202)</f>
        <v>170000</v>
      </c>
      <c r="H203" s="1019">
        <f>SUM(H190:H202)</f>
        <v>95000</v>
      </c>
      <c r="I203" s="157"/>
      <c r="J203" s="157"/>
      <c r="L203" s="586"/>
    </row>
    <row r="204" spans="1:12" s="585" customFormat="1" ht="27.75" customHeight="1">
      <c r="A204" s="204"/>
      <c r="B204" s="81"/>
      <c r="C204" s="81"/>
      <c r="D204" s="1025" t="s">
        <v>716</v>
      </c>
      <c r="E204" s="1015"/>
      <c r="F204" s="1016"/>
      <c r="G204" s="1016"/>
      <c r="H204" s="1016">
        <v>20000</v>
      </c>
      <c r="I204" s="157"/>
      <c r="J204" s="157"/>
      <c r="L204" s="586"/>
    </row>
    <row r="205" spans="1:12" s="585" customFormat="1" ht="27" customHeight="1">
      <c r="A205" s="204"/>
      <c r="B205" s="81"/>
      <c r="C205" s="81"/>
      <c r="D205" s="1020" t="s">
        <v>461</v>
      </c>
      <c r="E205" s="833"/>
      <c r="F205" s="834"/>
      <c r="G205" s="834"/>
      <c r="H205" s="834">
        <v>55000</v>
      </c>
      <c r="I205" s="157"/>
      <c r="J205" s="157"/>
      <c r="L205" s="586"/>
    </row>
    <row r="206" spans="1:12" s="585" customFormat="1" ht="38.25">
      <c r="A206" s="204"/>
      <c r="B206" s="82"/>
      <c r="C206" s="82">
        <v>2590</v>
      </c>
      <c r="D206" s="1013" t="s">
        <v>460</v>
      </c>
      <c r="E206" s="1018"/>
      <c r="F206" s="1019"/>
      <c r="G206" s="1019"/>
      <c r="H206" s="1019">
        <f>SUM(H204:H205)</f>
        <v>75000</v>
      </c>
      <c r="I206" s="157"/>
      <c r="J206" s="157"/>
      <c r="L206" s="586"/>
    </row>
    <row r="207" spans="1:12" s="95" customFormat="1" ht="18" customHeight="1">
      <c r="A207" s="76"/>
      <c r="B207" s="78">
        <v>80110</v>
      </c>
      <c r="C207" s="78"/>
      <c r="D207" s="78" t="s">
        <v>61</v>
      </c>
      <c r="E207" s="78"/>
      <c r="F207" s="543"/>
      <c r="G207" s="543">
        <f>G211</f>
        <v>4000</v>
      </c>
      <c r="H207" s="543">
        <f>H211</f>
        <v>4000</v>
      </c>
      <c r="I207" s="138"/>
      <c r="J207" s="138"/>
      <c r="L207" s="94"/>
    </row>
    <row r="208" spans="1:12" s="585" customFormat="1" ht="18" customHeight="1">
      <c r="A208" s="204"/>
      <c r="B208" s="81"/>
      <c r="C208" s="550"/>
      <c r="D208" s="592" t="s">
        <v>280</v>
      </c>
      <c r="E208" s="587"/>
      <c r="F208" s="588"/>
      <c r="G208" s="835">
        <f>G211</f>
        <v>4000</v>
      </c>
      <c r="H208" s="835">
        <f>H211</f>
        <v>4000</v>
      </c>
      <c r="I208" s="157"/>
      <c r="J208" s="157"/>
      <c r="L208" s="586"/>
    </row>
    <row r="209" spans="1:12" s="585" customFormat="1" ht="27.75" customHeight="1">
      <c r="A209" s="204"/>
      <c r="B209" s="81"/>
      <c r="C209" s="81"/>
      <c r="D209" s="571" t="s">
        <v>392</v>
      </c>
      <c r="E209" s="832"/>
      <c r="F209" s="652"/>
      <c r="G209" s="652">
        <v>4000</v>
      </c>
      <c r="H209" s="652"/>
      <c r="I209" s="157"/>
      <c r="J209" s="157"/>
      <c r="L209" s="586"/>
    </row>
    <row r="210" spans="1:12" s="585" customFormat="1" ht="27.75" customHeight="1">
      <c r="A210" s="204"/>
      <c r="B210" s="81"/>
      <c r="C210" s="81"/>
      <c r="D210" s="571" t="s">
        <v>415</v>
      </c>
      <c r="E210" s="833"/>
      <c r="F210" s="834"/>
      <c r="G210" s="834"/>
      <c r="H210" s="834">
        <v>4000</v>
      </c>
      <c r="I210" s="157"/>
      <c r="J210" s="157"/>
      <c r="L210" s="586"/>
    </row>
    <row r="211" spans="1:12" s="585" customFormat="1" ht="18" customHeight="1">
      <c r="A211" s="204"/>
      <c r="B211" s="81"/>
      <c r="C211" s="82">
        <v>2540</v>
      </c>
      <c r="D211" s="549" t="s">
        <v>620</v>
      </c>
      <c r="E211" s="587"/>
      <c r="F211" s="588"/>
      <c r="G211" s="588">
        <f>SUM(G209:G210)</f>
        <v>4000</v>
      </c>
      <c r="H211" s="588">
        <f>SUM(H209:H210)</f>
        <v>4000</v>
      </c>
      <c r="I211" s="157"/>
      <c r="J211" s="157"/>
      <c r="L211" s="586"/>
    </row>
    <row r="212" spans="1:12" s="95" customFormat="1" ht="18" customHeight="1">
      <c r="A212" s="76"/>
      <c r="B212" s="77">
        <v>80120</v>
      </c>
      <c r="C212" s="77"/>
      <c r="D212" s="77" t="s">
        <v>62</v>
      </c>
      <c r="E212" s="77"/>
      <c r="F212" s="79"/>
      <c r="G212" s="79">
        <f>G213</f>
        <v>139300</v>
      </c>
      <c r="H212" s="79"/>
      <c r="I212" s="138"/>
      <c r="J212" s="138"/>
      <c r="L212" s="94"/>
    </row>
    <row r="213" spans="1:12" s="95" customFormat="1" ht="18" customHeight="1">
      <c r="A213" s="80"/>
      <c r="B213" s="474"/>
      <c r="C213" s="474"/>
      <c r="D213" s="558" t="s">
        <v>574</v>
      </c>
      <c r="E213" s="558"/>
      <c r="F213" s="584"/>
      <c r="G213" s="584">
        <f>G214</f>
        <v>139300</v>
      </c>
      <c r="H213" s="584"/>
      <c r="I213" s="138"/>
      <c r="J213" s="138"/>
      <c r="L213" s="94"/>
    </row>
    <row r="214" spans="1:12" s="158" customFormat="1" ht="18" customHeight="1">
      <c r="A214" s="204"/>
      <c r="B214" s="81"/>
      <c r="C214" s="109">
        <v>4260</v>
      </c>
      <c r="D214" s="836" t="s">
        <v>656</v>
      </c>
      <c r="E214" s="836"/>
      <c r="F214" s="145"/>
      <c r="G214" s="145">
        <f>129300+10000</f>
        <v>139300</v>
      </c>
      <c r="H214" s="145"/>
      <c r="I214" s="157"/>
      <c r="J214" s="157"/>
      <c r="L214" s="157"/>
    </row>
    <row r="215" spans="1:12" s="95" customFormat="1" ht="18" customHeight="1">
      <c r="A215" s="76"/>
      <c r="B215" s="77">
        <v>80121</v>
      </c>
      <c r="C215" s="77"/>
      <c r="D215" s="77" t="s">
        <v>176</v>
      </c>
      <c r="E215" s="77"/>
      <c r="F215" s="79"/>
      <c r="G215" s="79">
        <f>G216</f>
        <v>10000</v>
      </c>
      <c r="H215" s="79"/>
      <c r="I215" s="138"/>
      <c r="J215" s="138"/>
      <c r="L215" s="94"/>
    </row>
    <row r="216" spans="1:12" s="95" customFormat="1" ht="18" customHeight="1">
      <c r="A216" s="80"/>
      <c r="B216" s="474"/>
      <c r="C216" s="474"/>
      <c r="D216" s="558" t="s">
        <v>278</v>
      </c>
      <c r="E216" s="558"/>
      <c r="F216" s="584"/>
      <c r="G216" s="584">
        <f>G217</f>
        <v>10000</v>
      </c>
      <c r="H216" s="584"/>
      <c r="I216" s="138"/>
      <c r="J216" s="138"/>
      <c r="L216" s="94"/>
    </row>
    <row r="217" spans="1:12" s="158" customFormat="1" ht="18" customHeight="1">
      <c r="A217" s="561"/>
      <c r="B217" s="82"/>
      <c r="C217" s="140">
        <v>4010</v>
      </c>
      <c r="D217" s="836" t="s">
        <v>521</v>
      </c>
      <c r="E217" s="836"/>
      <c r="F217" s="145"/>
      <c r="G217" s="145">
        <v>10000</v>
      </c>
      <c r="H217" s="145"/>
      <c r="I217" s="157"/>
      <c r="J217" s="157"/>
      <c r="L217" s="157"/>
    </row>
    <row r="218" spans="1:12" s="158" customFormat="1" ht="41.25" customHeight="1">
      <c r="A218" s="1364"/>
      <c r="B218" s="1365"/>
      <c r="C218" s="1366"/>
      <c r="D218" s="1361"/>
      <c r="E218" s="1361"/>
      <c r="F218" s="1367"/>
      <c r="G218" s="1367"/>
      <c r="H218" s="1367"/>
      <c r="I218" s="157"/>
      <c r="J218" s="157"/>
      <c r="L218" s="157"/>
    </row>
    <row r="219" spans="1:12" s="95" customFormat="1" ht="17.25" customHeight="1">
      <c r="A219" s="76"/>
      <c r="B219" s="78">
        <v>80123</v>
      </c>
      <c r="C219" s="78"/>
      <c r="D219" s="78" t="s">
        <v>177</v>
      </c>
      <c r="E219" s="78"/>
      <c r="F219" s="543"/>
      <c r="G219" s="543">
        <f>G220</f>
        <v>108000</v>
      </c>
      <c r="H219" s="543">
        <f>H220</f>
        <v>108000</v>
      </c>
      <c r="I219" s="138"/>
      <c r="J219" s="138"/>
      <c r="L219" s="94"/>
    </row>
    <row r="220" spans="1:12" s="95" customFormat="1" ht="16.5" customHeight="1">
      <c r="A220" s="80"/>
      <c r="B220" s="474"/>
      <c r="C220" s="474"/>
      <c r="D220" s="819" t="s">
        <v>393</v>
      </c>
      <c r="E220" s="558"/>
      <c r="F220" s="584"/>
      <c r="G220" s="584">
        <f>G223</f>
        <v>108000</v>
      </c>
      <c r="H220" s="584">
        <f>H223</f>
        <v>108000</v>
      </c>
      <c r="I220" s="138"/>
      <c r="J220" s="138"/>
      <c r="L220" s="94"/>
    </row>
    <row r="221" spans="1:12" s="158" customFormat="1" ht="25.5">
      <c r="A221" s="204"/>
      <c r="B221" s="81"/>
      <c r="C221" s="109"/>
      <c r="D221" s="1042" t="s">
        <v>394</v>
      </c>
      <c r="E221" s="1032"/>
      <c r="F221" s="940"/>
      <c r="G221" s="940"/>
      <c r="H221" s="940">
        <v>108000</v>
      </c>
      <c r="I221" s="157"/>
      <c r="J221" s="157"/>
      <c r="L221" s="157"/>
    </row>
    <row r="222" spans="1:12" s="158" customFormat="1" ht="16.5" customHeight="1">
      <c r="A222" s="204"/>
      <c r="B222" s="81"/>
      <c r="C222" s="109"/>
      <c r="D222" s="571" t="s">
        <v>677</v>
      </c>
      <c r="E222" s="1021"/>
      <c r="F222" s="742"/>
      <c r="G222" s="742">
        <v>108000</v>
      </c>
      <c r="H222" s="742"/>
      <c r="I222" s="157"/>
      <c r="J222" s="157"/>
      <c r="L222" s="157"/>
    </row>
    <row r="223" spans="1:12" s="158" customFormat="1" ht="38.25">
      <c r="A223" s="204"/>
      <c r="B223" s="81"/>
      <c r="C223" s="109">
        <v>2590</v>
      </c>
      <c r="D223" s="549" t="s">
        <v>481</v>
      </c>
      <c r="E223" s="83"/>
      <c r="F223" s="152"/>
      <c r="G223" s="152">
        <f>SUM(G221:G222)</f>
        <v>108000</v>
      </c>
      <c r="H223" s="152">
        <f>SUM(H221:H222)</f>
        <v>108000</v>
      </c>
      <c r="I223" s="157"/>
      <c r="J223" s="157"/>
      <c r="L223" s="157"/>
    </row>
    <row r="224" spans="1:12" s="95" customFormat="1" ht="16.5" customHeight="1">
      <c r="A224" s="76"/>
      <c r="B224" s="77">
        <v>80130</v>
      </c>
      <c r="C224" s="77"/>
      <c r="D224" s="77" t="s">
        <v>600</v>
      </c>
      <c r="E224" s="77"/>
      <c r="F224" s="79"/>
      <c r="G224" s="79">
        <f>G225+G227</f>
        <v>264000</v>
      </c>
      <c r="H224" s="79">
        <f>H225+H227</f>
        <v>154000</v>
      </c>
      <c r="I224" s="138"/>
      <c r="J224" s="138"/>
      <c r="L224" s="94"/>
    </row>
    <row r="225" spans="1:12" s="95" customFormat="1" ht="15.75" customHeight="1">
      <c r="A225" s="80"/>
      <c r="B225" s="474"/>
      <c r="C225" s="474"/>
      <c r="D225" s="558" t="s">
        <v>574</v>
      </c>
      <c r="E225" s="558"/>
      <c r="F225" s="584"/>
      <c r="G225" s="584">
        <f>G226</f>
        <v>110000</v>
      </c>
      <c r="H225" s="584"/>
      <c r="I225" s="138"/>
      <c r="J225" s="138"/>
      <c r="L225" s="94"/>
    </row>
    <row r="226" spans="1:12" s="158" customFormat="1" ht="17.25" customHeight="1">
      <c r="A226" s="204"/>
      <c r="B226" s="81"/>
      <c r="C226" s="109">
        <v>4260</v>
      </c>
      <c r="D226" s="836" t="s">
        <v>656</v>
      </c>
      <c r="E226" s="836"/>
      <c r="F226" s="145"/>
      <c r="G226" s="145">
        <v>110000</v>
      </c>
      <c r="H226" s="145"/>
      <c r="I226" s="157"/>
      <c r="J226" s="157"/>
      <c r="L226" s="157"/>
    </row>
    <row r="227" spans="1:12" s="95" customFormat="1" ht="17.25" customHeight="1">
      <c r="A227" s="80"/>
      <c r="B227" s="66"/>
      <c r="C227" s="474"/>
      <c r="D227" s="819" t="s">
        <v>395</v>
      </c>
      <c r="E227" s="558"/>
      <c r="F227" s="584"/>
      <c r="G227" s="584">
        <f>G241</f>
        <v>154000</v>
      </c>
      <c r="H227" s="584">
        <f>H241</f>
        <v>154000</v>
      </c>
      <c r="I227" s="138"/>
      <c r="J227" s="138"/>
      <c r="L227" s="94"/>
    </row>
    <row r="228" spans="1:12" s="585" customFormat="1" ht="38.25">
      <c r="A228" s="204"/>
      <c r="B228" s="81"/>
      <c r="C228" s="81"/>
      <c r="D228" s="1022" t="s">
        <v>396</v>
      </c>
      <c r="E228" s="587"/>
      <c r="F228" s="588"/>
      <c r="G228" s="588">
        <v>20500</v>
      </c>
      <c r="H228" s="588"/>
      <c r="I228" s="157"/>
      <c r="J228" s="157"/>
      <c r="L228" s="586"/>
    </row>
    <row r="229" spans="1:12" s="585" customFormat="1" ht="25.5">
      <c r="A229" s="204"/>
      <c r="B229" s="81"/>
      <c r="C229" s="81"/>
      <c r="D229" s="571" t="s">
        <v>715</v>
      </c>
      <c r="E229" s="833"/>
      <c r="F229" s="834"/>
      <c r="G229" s="834"/>
      <c r="H229" s="834">
        <v>4000</v>
      </c>
      <c r="I229" s="157"/>
      <c r="J229" s="157"/>
      <c r="L229" s="586"/>
    </row>
    <row r="230" spans="1:12" s="585" customFormat="1" ht="25.5">
      <c r="A230" s="204"/>
      <c r="B230" s="81"/>
      <c r="C230" s="81"/>
      <c r="D230" s="1034" t="s">
        <v>397</v>
      </c>
      <c r="E230" s="833"/>
      <c r="F230" s="834"/>
      <c r="G230" s="834">
        <v>26000</v>
      </c>
      <c r="H230" s="834"/>
      <c r="I230" s="157"/>
      <c r="J230" s="157"/>
      <c r="L230" s="586"/>
    </row>
    <row r="231" spans="1:12" s="585" customFormat="1" ht="25.5">
      <c r="A231" s="204"/>
      <c r="B231" s="81"/>
      <c r="C231" s="81"/>
      <c r="D231" s="1033" t="s">
        <v>398</v>
      </c>
      <c r="E231" s="833"/>
      <c r="F231" s="834"/>
      <c r="G231" s="834"/>
      <c r="H231" s="834">
        <v>122000</v>
      </c>
      <c r="I231" s="157"/>
      <c r="J231" s="157"/>
      <c r="L231" s="586"/>
    </row>
    <row r="232" spans="1:12" s="585" customFormat="1" ht="25.5">
      <c r="A232" s="204"/>
      <c r="B232" s="81"/>
      <c r="C232" s="81"/>
      <c r="D232" s="1023" t="s">
        <v>399</v>
      </c>
      <c r="E232" s="833"/>
      <c r="F232" s="834"/>
      <c r="G232" s="834">
        <v>18500</v>
      </c>
      <c r="H232" s="834"/>
      <c r="I232" s="157"/>
      <c r="J232" s="157"/>
      <c r="L232" s="586"/>
    </row>
    <row r="233" spans="1:12" s="585" customFormat="1" ht="38.25">
      <c r="A233" s="204"/>
      <c r="B233" s="81"/>
      <c r="C233" s="81"/>
      <c r="D233" s="1023" t="s">
        <v>714</v>
      </c>
      <c r="E233" s="833"/>
      <c r="F233" s="834"/>
      <c r="G233" s="834">
        <v>27000</v>
      </c>
      <c r="H233" s="834"/>
      <c r="I233" s="157"/>
      <c r="J233" s="157"/>
      <c r="L233" s="586"/>
    </row>
    <row r="234" spans="1:12" s="585" customFormat="1" ht="25.5">
      <c r="A234" s="204"/>
      <c r="B234" s="81"/>
      <c r="C234" s="81"/>
      <c r="D234" s="1034" t="s">
        <v>400</v>
      </c>
      <c r="E234" s="833"/>
      <c r="F234" s="834"/>
      <c r="G234" s="834">
        <v>7000</v>
      </c>
      <c r="H234" s="834"/>
      <c r="I234" s="157"/>
      <c r="J234" s="157"/>
      <c r="L234" s="586"/>
    </row>
    <row r="235" spans="1:12" s="585" customFormat="1" ht="38.25">
      <c r="A235" s="204"/>
      <c r="B235" s="81"/>
      <c r="C235" s="81"/>
      <c r="D235" s="1023" t="s">
        <v>401</v>
      </c>
      <c r="E235" s="833"/>
      <c r="F235" s="834"/>
      <c r="G235" s="834">
        <v>24000</v>
      </c>
      <c r="H235" s="834"/>
      <c r="I235" s="157"/>
      <c r="J235" s="157"/>
      <c r="L235" s="586"/>
    </row>
    <row r="236" spans="1:12" s="585" customFormat="1" ht="25.5" customHeight="1">
      <c r="A236" s="204"/>
      <c r="B236" s="81"/>
      <c r="C236" s="81"/>
      <c r="D236" s="1021" t="s">
        <v>402</v>
      </c>
      <c r="E236" s="833"/>
      <c r="F236" s="834"/>
      <c r="G236" s="834">
        <v>4000</v>
      </c>
      <c r="H236" s="834"/>
      <c r="I236" s="157"/>
      <c r="J236" s="157"/>
      <c r="L236" s="586"/>
    </row>
    <row r="237" spans="1:12" s="585" customFormat="1" ht="25.5">
      <c r="A237" s="204"/>
      <c r="B237" s="81"/>
      <c r="C237" s="81"/>
      <c r="D237" s="1021" t="s">
        <v>403</v>
      </c>
      <c r="E237" s="833"/>
      <c r="F237" s="834"/>
      <c r="G237" s="834">
        <v>9000</v>
      </c>
      <c r="H237" s="834"/>
      <c r="I237" s="157"/>
      <c r="J237" s="157"/>
      <c r="L237" s="586"/>
    </row>
    <row r="238" spans="1:12" s="585" customFormat="1" ht="25.5">
      <c r="A238" s="204"/>
      <c r="B238" s="81"/>
      <c r="C238" s="81"/>
      <c r="D238" s="1033" t="s">
        <v>404</v>
      </c>
      <c r="E238" s="833"/>
      <c r="F238" s="834"/>
      <c r="G238" s="834"/>
      <c r="H238" s="834">
        <v>9000</v>
      </c>
      <c r="I238" s="157"/>
      <c r="J238" s="157"/>
      <c r="L238" s="586"/>
    </row>
    <row r="239" spans="1:12" s="585" customFormat="1" ht="25.5">
      <c r="A239" s="204"/>
      <c r="B239" s="81"/>
      <c r="C239" s="81"/>
      <c r="D239" s="571" t="s">
        <v>405</v>
      </c>
      <c r="E239" s="833"/>
      <c r="F239" s="834"/>
      <c r="G239" s="834"/>
      <c r="H239" s="834">
        <v>19000</v>
      </c>
      <c r="I239" s="157"/>
      <c r="J239" s="157"/>
      <c r="L239" s="586"/>
    </row>
    <row r="240" spans="1:12" s="585" customFormat="1" ht="25.5">
      <c r="A240" s="204"/>
      <c r="B240" s="81"/>
      <c r="C240" s="81"/>
      <c r="D240" s="1021" t="s">
        <v>713</v>
      </c>
      <c r="E240" s="833"/>
      <c r="F240" s="834"/>
      <c r="G240" s="834">
        <v>18000</v>
      </c>
      <c r="H240" s="834"/>
      <c r="I240" s="157"/>
      <c r="J240" s="157"/>
      <c r="L240" s="586"/>
    </row>
    <row r="241" spans="1:12" s="585" customFormat="1" ht="18" customHeight="1">
      <c r="A241" s="561"/>
      <c r="B241" s="82"/>
      <c r="C241" s="82">
        <v>2540</v>
      </c>
      <c r="D241" s="549" t="s">
        <v>620</v>
      </c>
      <c r="E241" s="555"/>
      <c r="F241" s="570"/>
      <c r="G241" s="570">
        <f>SUM(G228:G240)</f>
        <v>154000</v>
      </c>
      <c r="H241" s="570">
        <f>SUM(H228:H240)</f>
        <v>154000</v>
      </c>
      <c r="I241" s="157"/>
      <c r="J241" s="157"/>
      <c r="L241" s="586"/>
    </row>
    <row r="242" spans="1:12" s="95" customFormat="1" ht="18" customHeight="1">
      <c r="A242" s="76"/>
      <c r="B242" s="78">
        <v>80134</v>
      </c>
      <c r="C242" s="78"/>
      <c r="D242" s="78" t="s">
        <v>180</v>
      </c>
      <c r="E242" s="78"/>
      <c r="F242" s="543"/>
      <c r="G242" s="543">
        <f>G243</f>
        <v>10000</v>
      </c>
      <c r="H242" s="543"/>
      <c r="I242" s="138"/>
      <c r="J242" s="138"/>
      <c r="L242" s="94"/>
    </row>
    <row r="243" spans="1:12" s="95" customFormat="1" ht="18" customHeight="1">
      <c r="A243" s="80"/>
      <c r="B243" s="474"/>
      <c r="C243" s="474"/>
      <c r="D243" s="558" t="s">
        <v>278</v>
      </c>
      <c r="E243" s="558"/>
      <c r="F243" s="584"/>
      <c r="G243" s="584">
        <f>G244</f>
        <v>10000</v>
      </c>
      <c r="H243" s="584"/>
      <c r="I243" s="138"/>
      <c r="J243" s="138"/>
      <c r="L243" s="94"/>
    </row>
    <row r="244" spans="1:12" s="158" customFormat="1" ht="18" customHeight="1">
      <c r="A244" s="204"/>
      <c r="B244" s="81"/>
      <c r="C244" s="140">
        <v>4010</v>
      </c>
      <c r="D244" s="836" t="s">
        <v>521</v>
      </c>
      <c r="E244" s="836"/>
      <c r="F244" s="145"/>
      <c r="G244" s="145">
        <v>10000</v>
      </c>
      <c r="H244" s="145"/>
      <c r="I244" s="157"/>
      <c r="J244" s="157"/>
      <c r="L244" s="157"/>
    </row>
    <row r="245" spans="1:12" s="95" customFormat="1" ht="18" customHeight="1">
      <c r="A245" s="76"/>
      <c r="B245" s="77">
        <v>80195</v>
      </c>
      <c r="C245" s="77"/>
      <c r="D245" s="77" t="s">
        <v>553</v>
      </c>
      <c r="E245" s="77"/>
      <c r="F245" s="79"/>
      <c r="G245" s="79">
        <f>G246</f>
        <v>76099</v>
      </c>
      <c r="H245" s="79"/>
      <c r="I245" s="138"/>
      <c r="J245" s="138"/>
      <c r="L245" s="94"/>
    </row>
    <row r="246" spans="1:12" s="95" customFormat="1" ht="18" customHeight="1">
      <c r="A246" s="80"/>
      <c r="B246" s="474"/>
      <c r="C246" s="474"/>
      <c r="D246" s="819" t="s">
        <v>406</v>
      </c>
      <c r="E246" s="558"/>
      <c r="F246" s="584"/>
      <c r="G246" s="584">
        <f>G247</f>
        <v>76099</v>
      </c>
      <c r="H246" s="584"/>
      <c r="I246" s="138"/>
      <c r="J246" s="138"/>
      <c r="L246" s="94"/>
    </row>
    <row r="247" spans="1:12" s="158" customFormat="1" ht="18" customHeight="1">
      <c r="A247" s="204"/>
      <c r="B247" s="82"/>
      <c r="C247" s="140">
        <v>4440</v>
      </c>
      <c r="D247" s="82" t="s">
        <v>277</v>
      </c>
      <c r="E247" s="836"/>
      <c r="F247" s="145"/>
      <c r="G247" s="145">
        <v>76099</v>
      </c>
      <c r="H247" s="145"/>
      <c r="I247" s="157"/>
      <c r="J247" s="157"/>
      <c r="L247" s="157"/>
    </row>
    <row r="248" spans="1:9" s="22" customFormat="1" ht="18" customHeight="1">
      <c r="A248" s="89">
        <v>854</v>
      </c>
      <c r="B248" s="73"/>
      <c r="C248" s="73"/>
      <c r="D248" s="89" t="s">
        <v>556</v>
      </c>
      <c r="E248" s="73"/>
      <c r="F248" s="73"/>
      <c r="G248" s="96">
        <f>G249+G252+G255+G258+G264</f>
        <v>124091</v>
      </c>
      <c r="H248" s="96">
        <f>H249+H252+H255+H258+H264</f>
        <v>280</v>
      </c>
      <c r="I248" s="47"/>
    </row>
    <row r="249" spans="1:12" s="95" customFormat="1" ht="18" customHeight="1">
      <c r="A249" s="76"/>
      <c r="B249" s="78">
        <v>85401</v>
      </c>
      <c r="C249" s="78"/>
      <c r="D249" s="78" t="s">
        <v>182</v>
      </c>
      <c r="E249" s="78"/>
      <c r="F249" s="543"/>
      <c r="G249" s="543">
        <f>G250</f>
        <v>2000</v>
      </c>
      <c r="H249" s="543"/>
      <c r="I249" s="138"/>
      <c r="J249" s="138"/>
      <c r="L249" s="94"/>
    </row>
    <row r="250" spans="1:12" s="95" customFormat="1" ht="18" customHeight="1">
      <c r="A250" s="80"/>
      <c r="B250" s="474"/>
      <c r="C250" s="474"/>
      <c r="D250" s="819" t="s">
        <v>599</v>
      </c>
      <c r="E250" s="558"/>
      <c r="F250" s="584"/>
      <c r="G250" s="584">
        <f>G251</f>
        <v>2000</v>
      </c>
      <c r="H250" s="584"/>
      <c r="I250" s="138"/>
      <c r="J250" s="138"/>
      <c r="L250" s="94"/>
    </row>
    <row r="251" spans="1:12" s="585" customFormat="1" ht="18" customHeight="1">
      <c r="A251" s="204"/>
      <c r="B251" s="82"/>
      <c r="C251" s="82">
        <v>4110</v>
      </c>
      <c r="D251" s="549" t="s">
        <v>653</v>
      </c>
      <c r="E251" s="555"/>
      <c r="F251" s="570"/>
      <c r="G251" s="570">
        <v>2000</v>
      </c>
      <c r="H251" s="570"/>
      <c r="I251" s="157"/>
      <c r="J251" s="157"/>
      <c r="L251" s="586"/>
    </row>
    <row r="252" spans="1:12" s="95" customFormat="1" ht="15" customHeight="1">
      <c r="A252" s="76"/>
      <c r="B252" s="78">
        <v>85406</v>
      </c>
      <c r="C252" s="78"/>
      <c r="D252" s="437" t="s">
        <v>621</v>
      </c>
      <c r="E252" s="78"/>
      <c r="F252" s="543"/>
      <c r="G252" s="543">
        <f>G253</f>
        <v>4000</v>
      </c>
      <c r="H252" s="543"/>
      <c r="I252" s="138"/>
      <c r="J252" s="138"/>
      <c r="L252" s="94"/>
    </row>
    <row r="253" spans="1:12" s="95" customFormat="1" ht="18" customHeight="1">
      <c r="A253" s="80"/>
      <c r="B253" s="474"/>
      <c r="C253" s="474"/>
      <c r="D253" s="819" t="s">
        <v>574</v>
      </c>
      <c r="E253" s="558"/>
      <c r="F253" s="584"/>
      <c r="G253" s="584">
        <f>G254</f>
        <v>4000</v>
      </c>
      <c r="H253" s="584"/>
      <c r="I253" s="138"/>
      <c r="J253" s="138"/>
      <c r="L253" s="94"/>
    </row>
    <row r="254" spans="1:12" s="585" customFormat="1" ht="18" customHeight="1">
      <c r="A254" s="204"/>
      <c r="B254" s="82"/>
      <c r="C254" s="82">
        <v>4260</v>
      </c>
      <c r="D254" s="549" t="s">
        <v>656</v>
      </c>
      <c r="E254" s="555"/>
      <c r="F254" s="570"/>
      <c r="G254" s="570">
        <v>4000</v>
      </c>
      <c r="H254" s="570"/>
      <c r="I254" s="157"/>
      <c r="J254" s="157"/>
      <c r="L254" s="586"/>
    </row>
    <row r="255" spans="1:12" s="95" customFormat="1" ht="15.75" customHeight="1">
      <c r="A255" s="76"/>
      <c r="B255" s="78">
        <v>85410</v>
      </c>
      <c r="C255" s="78"/>
      <c r="D255" s="437" t="s">
        <v>91</v>
      </c>
      <c r="E255" s="78"/>
      <c r="F255" s="543"/>
      <c r="G255" s="543">
        <f>G256</f>
        <v>15531</v>
      </c>
      <c r="H255" s="543"/>
      <c r="I255" s="138"/>
      <c r="J255" s="138"/>
      <c r="L255" s="94"/>
    </row>
    <row r="256" spans="1:12" s="95" customFormat="1" ht="18" customHeight="1">
      <c r="A256" s="80"/>
      <c r="B256" s="474"/>
      <c r="C256" s="474"/>
      <c r="D256" s="819" t="s">
        <v>574</v>
      </c>
      <c r="E256" s="558"/>
      <c r="F256" s="584"/>
      <c r="G256" s="584">
        <f>G257</f>
        <v>15531</v>
      </c>
      <c r="H256" s="584"/>
      <c r="I256" s="138"/>
      <c r="J256" s="138"/>
      <c r="L256" s="94"/>
    </row>
    <row r="257" spans="1:12" s="585" customFormat="1" ht="18" customHeight="1">
      <c r="A257" s="204"/>
      <c r="B257" s="82"/>
      <c r="C257" s="82">
        <v>4260</v>
      </c>
      <c r="D257" s="549" t="s">
        <v>656</v>
      </c>
      <c r="E257" s="555"/>
      <c r="F257" s="570"/>
      <c r="G257" s="570">
        <v>15531</v>
      </c>
      <c r="H257" s="570"/>
      <c r="I257" s="157"/>
      <c r="J257" s="157"/>
      <c r="L257" s="586"/>
    </row>
    <row r="258" spans="1:9" s="95" customFormat="1" ht="15.75" customHeight="1">
      <c r="A258" s="183"/>
      <c r="B258" s="213">
        <v>85415</v>
      </c>
      <c r="C258" s="213"/>
      <c r="D258" s="213" t="s">
        <v>59</v>
      </c>
      <c r="E258" s="213"/>
      <c r="F258" s="213"/>
      <c r="G258" s="543">
        <f>G259+G261</f>
        <v>97160</v>
      </c>
      <c r="H258" s="543">
        <f>H259+H261</f>
        <v>280</v>
      </c>
      <c r="I258" s="94"/>
    </row>
    <row r="259" spans="1:9" s="95" customFormat="1" ht="18.75" customHeight="1">
      <c r="A259" s="183"/>
      <c r="B259" s="183"/>
      <c r="C259" s="818"/>
      <c r="D259" s="211" t="s">
        <v>282</v>
      </c>
      <c r="E259" s="211"/>
      <c r="F259" s="211"/>
      <c r="G259" s="584">
        <f>G260</f>
        <v>96320</v>
      </c>
      <c r="H259" s="584"/>
      <c r="I259" s="94"/>
    </row>
    <row r="260" spans="1:9" s="95" customFormat="1" ht="18.75" customHeight="1">
      <c r="A260" s="183"/>
      <c r="B260" s="183"/>
      <c r="C260" s="82">
        <v>3240</v>
      </c>
      <c r="D260" s="837" t="s">
        <v>770</v>
      </c>
      <c r="E260" s="82"/>
      <c r="F260" s="82"/>
      <c r="G260" s="570">
        <v>96320</v>
      </c>
      <c r="H260" s="570"/>
      <c r="I260" s="94"/>
    </row>
    <row r="261" spans="1:9" s="22" customFormat="1" ht="18.75" customHeight="1">
      <c r="A261" s="80"/>
      <c r="B261" s="66"/>
      <c r="C261" s="66"/>
      <c r="D261" s="211" t="s">
        <v>769</v>
      </c>
      <c r="E261" s="211"/>
      <c r="F261" s="211"/>
      <c r="G261" s="584">
        <f>SUM(G262:G263)</f>
        <v>840</v>
      </c>
      <c r="H261" s="584">
        <f>SUM(H262:H263)</f>
        <v>280</v>
      </c>
      <c r="I261" s="47"/>
    </row>
    <row r="262" spans="1:9" s="22" customFormat="1" ht="18.75" customHeight="1">
      <c r="A262" s="204"/>
      <c r="B262" s="81"/>
      <c r="C262" s="82">
        <v>3240</v>
      </c>
      <c r="D262" s="82" t="s">
        <v>770</v>
      </c>
      <c r="E262" s="82"/>
      <c r="F262" s="82"/>
      <c r="G262" s="570">
        <v>840</v>
      </c>
      <c r="H262" s="466"/>
      <c r="I262" s="47"/>
    </row>
    <row r="263" spans="1:9" s="22" customFormat="1" ht="18.75" customHeight="1">
      <c r="A263" s="204"/>
      <c r="B263" s="81"/>
      <c r="C263" s="495">
        <v>3260</v>
      </c>
      <c r="D263" s="81" t="s">
        <v>771</v>
      </c>
      <c r="E263" s="81"/>
      <c r="F263" s="81"/>
      <c r="G263" s="588"/>
      <c r="H263" s="1052">
        <v>280</v>
      </c>
      <c r="I263" s="47"/>
    </row>
    <row r="264" spans="1:12" s="95" customFormat="1" ht="16.5" customHeight="1">
      <c r="A264" s="76"/>
      <c r="B264" s="77">
        <v>85495</v>
      </c>
      <c r="C264" s="77"/>
      <c r="D264" s="77" t="s">
        <v>553</v>
      </c>
      <c r="E264" s="77"/>
      <c r="F264" s="79"/>
      <c r="G264" s="79">
        <f>G265</f>
        <v>5400</v>
      </c>
      <c r="H264" s="79"/>
      <c r="I264" s="138"/>
      <c r="J264" s="138"/>
      <c r="L264" s="94"/>
    </row>
    <row r="265" spans="1:12" s="95" customFormat="1" ht="18.75" customHeight="1">
      <c r="A265" s="80"/>
      <c r="B265" s="474"/>
      <c r="C265" s="474"/>
      <c r="D265" s="474" t="s">
        <v>219</v>
      </c>
      <c r="E265" s="474"/>
      <c r="F265" s="589"/>
      <c r="G265" s="589">
        <f>G266</f>
        <v>5400</v>
      </c>
      <c r="H265" s="589"/>
      <c r="I265" s="138"/>
      <c r="J265" s="138"/>
      <c r="L265" s="94"/>
    </row>
    <row r="266" spans="1:12" s="95" customFormat="1" ht="18.75" customHeight="1">
      <c r="A266" s="80"/>
      <c r="B266" s="66"/>
      <c r="C266" s="66"/>
      <c r="D266" s="598" t="s">
        <v>574</v>
      </c>
      <c r="E266" s="598"/>
      <c r="F266" s="600"/>
      <c r="G266" s="600">
        <f>G267</f>
        <v>5400</v>
      </c>
      <c r="H266" s="600"/>
      <c r="I266" s="138"/>
      <c r="J266" s="138"/>
      <c r="L266" s="94"/>
    </row>
    <row r="267" spans="1:12" s="95" customFormat="1" ht="18.75" customHeight="1">
      <c r="A267" s="80"/>
      <c r="B267" s="66"/>
      <c r="C267" s="82">
        <v>4220</v>
      </c>
      <c r="D267" s="555" t="s">
        <v>670</v>
      </c>
      <c r="E267" s="555"/>
      <c r="F267" s="152"/>
      <c r="G267" s="152">
        <v>5400</v>
      </c>
      <c r="H267" s="152"/>
      <c r="I267" s="138"/>
      <c r="J267" s="138"/>
      <c r="L267" s="94"/>
    </row>
    <row r="268" spans="1:9" ht="18.75" customHeight="1" thickBot="1">
      <c r="A268" s="69"/>
      <c r="B268" s="69"/>
      <c r="C268" s="69"/>
      <c r="D268" s="70" t="s">
        <v>582</v>
      </c>
      <c r="E268" s="70"/>
      <c r="F268" s="71"/>
      <c r="G268" s="71">
        <f aca="true" t="shared" si="0" ref="G268:H270">G269</f>
        <v>10000</v>
      </c>
      <c r="H268" s="71">
        <f t="shared" si="0"/>
        <v>10000</v>
      </c>
      <c r="I268" s="47"/>
    </row>
    <row r="269" spans="1:9" s="22" customFormat="1" ht="18.75" customHeight="1" thickTop="1">
      <c r="A269" s="72">
        <v>801</v>
      </c>
      <c r="B269" s="89"/>
      <c r="C269" s="73"/>
      <c r="D269" s="92" t="s">
        <v>554</v>
      </c>
      <c r="E269" s="92"/>
      <c r="F269" s="87"/>
      <c r="G269" s="87">
        <f t="shared" si="0"/>
        <v>10000</v>
      </c>
      <c r="H269" s="87">
        <f t="shared" si="0"/>
        <v>10000</v>
      </c>
      <c r="I269" s="47"/>
    </row>
    <row r="270" spans="1:9" s="22" customFormat="1" ht="18" customHeight="1">
      <c r="A270" s="76"/>
      <c r="B270" s="77">
        <v>80104</v>
      </c>
      <c r="C270" s="77"/>
      <c r="D270" s="77" t="s">
        <v>601</v>
      </c>
      <c r="E270" s="77"/>
      <c r="F270" s="79"/>
      <c r="G270" s="79">
        <f t="shared" si="0"/>
        <v>10000</v>
      </c>
      <c r="H270" s="79">
        <f t="shared" si="0"/>
        <v>10000</v>
      </c>
      <c r="I270" s="47"/>
    </row>
    <row r="271" spans="1:12" s="585" customFormat="1" ht="18" customHeight="1">
      <c r="A271" s="204"/>
      <c r="B271" s="81"/>
      <c r="C271" s="550"/>
      <c r="D271" s="592" t="s">
        <v>334</v>
      </c>
      <c r="E271" s="587"/>
      <c r="F271" s="588"/>
      <c r="G271" s="835">
        <f>G281+G283</f>
        <v>10000</v>
      </c>
      <c r="H271" s="835">
        <f>H281+H283</f>
        <v>10000</v>
      </c>
      <c r="I271" s="157"/>
      <c r="J271" s="157"/>
      <c r="L271" s="586"/>
    </row>
    <row r="272" spans="1:12" s="585" customFormat="1" ht="25.5">
      <c r="A272" s="561"/>
      <c r="B272" s="82"/>
      <c r="C272" s="82"/>
      <c r="D272" s="549" t="s">
        <v>462</v>
      </c>
      <c r="E272" s="590"/>
      <c r="F272" s="591"/>
      <c r="G272" s="591"/>
      <c r="H272" s="591">
        <v>500</v>
      </c>
      <c r="I272" s="157"/>
      <c r="J272" s="157"/>
      <c r="L272" s="586"/>
    </row>
    <row r="273" spans="1:12" s="585" customFormat="1" ht="27.75" customHeight="1">
      <c r="A273" s="204"/>
      <c r="B273" s="81"/>
      <c r="C273" s="81"/>
      <c r="D273" s="1061" t="s">
        <v>709</v>
      </c>
      <c r="E273" s="1015"/>
      <c r="F273" s="1016"/>
      <c r="G273" s="1016"/>
      <c r="H273" s="1016">
        <v>1000</v>
      </c>
      <c r="I273" s="157"/>
      <c r="J273" s="157"/>
      <c r="L273" s="586"/>
    </row>
    <row r="274" spans="1:12" s="585" customFormat="1" ht="27.75" customHeight="1">
      <c r="A274" s="204"/>
      <c r="B274" s="81"/>
      <c r="C274" s="81"/>
      <c r="D274" s="1017" t="s">
        <v>710</v>
      </c>
      <c r="E274" s="1015"/>
      <c r="F274" s="1016"/>
      <c r="G274" s="1016"/>
      <c r="H274" s="1016">
        <v>1000</v>
      </c>
      <c r="I274" s="157"/>
      <c r="J274" s="157"/>
      <c r="L274" s="586"/>
    </row>
    <row r="275" spans="1:12" s="585" customFormat="1" ht="27.75" customHeight="1">
      <c r="A275" s="204"/>
      <c r="B275" s="81"/>
      <c r="C275" s="81"/>
      <c r="D275" s="571" t="s">
        <v>711</v>
      </c>
      <c r="E275" s="1015"/>
      <c r="F275" s="1016"/>
      <c r="G275" s="1016">
        <v>1000</v>
      </c>
      <c r="H275" s="1016"/>
      <c r="I275" s="157"/>
      <c r="J275" s="157"/>
      <c r="L275" s="586"/>
    </row>
    <row r="276" spans="1:12" s="585" customFormat="1" ht="27.75" customHeight="1">
      <c r="A276" s="204"/>
      <c r="B276" s="81"/>
      <c r="C276" s="81"/>
      <c r="D276" s="1014" t="s">
        <v>479</v>
      </c>
      <c r="E276" s="1015"/>
      <c r="F276" s="1016"/>
      <c r="G276" s="1016">
        <v>1500</v>
      </c>
      <c r="H276" s="1016"/>
      <c r="I276" s="157"/>
      <c r="J276" s="157"/>
      <c r="L276" s="586"/>
    </row>
    <row r="277" spans="1:12" s="585" customFormat="1" ht="40.5" customHeight="1">
      <c r="A277" s="204"/>
      <c r="B277" s="81"/>
      <c r="C277" s="81"/>
      <c r="D277" s="1017" t="s">
        <v>712</v>
      </c>
      <c r="E277" s="1015"/>
      <c r="F277" s="1016"/>
      <c r="G277" s="1016">
        <v>500</v>
      </c>
      <c r="H277" s="1016"/>
      <c r="I277" s="157"/>
      <c r="J277" s="157"/>
      <c r="L277" s="586"/>
    </row>
    <row r="278" spans="1:12" s="585" customFormat="1" ht="17.25" customHeight="1">
      <c r="A278" s="204"/>
      <c r="B278" s="81"/>
      <c r="C278" s="81"/>
      <c r="D278" s="1017" t="s">
        <v>468</v>
      </c>
      <c r="E278" s="1015"/>
      <c r="F278" s="1016"/>
      <c r="G278" s="1016"/>
      <c r="H278" s="1016">
        <v>3000</v>
      </c>
      <c r="I278" s="157"/>
      <c r="J278" s="157"/>
      <c r="L278" s="586"/>
    </row>
    <row r="279" spans="1:12" s="585" customFormat="1" ht="25.5">
      <c r="A279" s="204"/>
      <c r="B279" s="81"/>
      <c r="C279" s="81"/>
      <c r="D279" s="571" t="s">
        <v>474</v>
      </c>
      <c r="E279" s="1015"/>
      <c r="F279" s="1016"/>
      <c r="G279" s="1016"/>
      <c r="H279" s="1016">
        <v>3500</v>
      </c>
      <c r="I279" s="157"/>
      <c r="J279" s="157"/>
      <c r="L279" s="586"/>
    </row>
    <row r="280" spans="1:12" s="585" customFormat="1" ht="27.75" customHeight="1">
      <c r="A280" s="204"/>
      <c r="B280" s="81"/>
      <c r="C280" s="81"/>
      <c r="D280" s="1021" t="s">
        <v>477</v>
      </c>
      <c r="E280" s="1015"/>
      <c r="F280" s="1016"/>
      <c r="G280" s="1016"/>
      <c r="H280" s="1016">
        <v>1000</v>
      </c>
      <c r="I280" s="157"/>
      <c r="J280" s="157"/>
      <c r="L280" s="586"/>
    </row>
    <row r="281" spans="1:12" s="585" customFormat="1" ht="18" customHeight="1">
      <c r="A281" s="204"/>
      <c r="B281" s="81"/>
      <c r="C281" s="82">
        <v>2540</v>
      </c>
      <c r="D281" s="549" t="s">
        <v>620</v>
      </c>
      <c r="E281" s="1018"/>
      <c r="F281" s="1019"/>
      <c r="G281" s="1019">
        <f>SUM(G272:G280)</f>
        <v>3000</v>
      </c>
      <c r="H281" s="1019">
        <f>SUM(H272:H280)</f>
        <v>10000</v>
      </c>
      <c r="I281" s="157"/>
      <c r="J281" s="157"/>
      <c r="L281" s="586"/>
    </row>
    <row r="282" spans="1:12" s="585" customFormat="1" ht="32.25" customHeight="1">
      <c r="A282" s="204"/>
      <c r="B282" s="81"/>
      <c r="C282" s="81"/>
      <c r="D282" s="571" t="s">
        <v>478</v>
      </c>
      <c r="E282" s="833"/>
      <c r="F282" s="834"/>
      <c r="G282" s="834">
        <v>7000</v>
      </c>
      <c r="H282" s="834"/>
      <c r="I282" s="157"/>
      <c r="J282" s="157"/>
      <c r="L282" s="586"/>
    </row>
    <row r="283" spans="1:12" s="585" customFormat="1" ht="38.25">
      <c r="A283" s="204"/>
      <c r="B283" s="81"/>
      <c r="C283" s="82">
        <v>2590</v>
      </c>
      <c r="D283" s="1013" t="s">
        <v>460</v>
      </c>
      <c r="E283" s="1018"/>
      <c r="F283" s="1019"/>
      <c r="G283" s="1019">
        <f>SUM(G282)</f>
        <v>7000</v>
      </c>
      <c r="H283" s="1019"/>
      <c r="I283" s="157"/>
      <c r="J283" s="157"/>
      <c r="L283" s="586"/>
    </row>
    <row r="284" spans="1:9" s="168" customFormat="1" ht="18.75" customHeight="1">
      <c r="A284" s="164"/>
      <c r="B284" s="139"/>
      <c r="C284" s="165"/>
      <c r="D284" s="166" t="s">
        <v>708</v>
      </c>
      <c r="E284" s="166"/>
      <c r="F284" s="167"/>
      <c r="G284" s="167">
        <f>G285</f>
        <v>552920</v>
      </c>
      <c r="H284" s="167">
        <f>H285</f>
        <v>203200</v>
      </c>
      <c r="I284" s="319"/>
    </row>
    <row r="285" spans="1:9" s="156" customFormat="1" ht="18.75" customHeight="1" thickBot="1">
      <c r="A285" s="321"/>
      <c r="B285" s="321"/>
      <c r="C285" s="321"/>
      <c r="D285" s="163" t="s">
        <v>547</v>
      </c>
      <c r="E285" s="163"/>
      <c r="F285" s="162"/>
      <c r="G285" s="193">
        <f>G286+G300+G311</f>
        <v>552920</v>
      </c>
      <c r="H285" s="193">
        <f>H286+H300+H311</f>
        <v>203200</v>
      </c>
      <c r="I285" s="155"/>
    </row>
    <row r="286" spans="1:9" s="148" customFormat="1" ht="19.5" customHeight="1" thickTop="1">
      <c r="A286" s="439">
        <v>851</v>
      </c>
      <c r="B286" s="73"/>
      <c r="C286" s="73"/>
      <c r="D286" s="92" t="s">
        <v>557</v>
      </c>
      <c r="E286" s="92"/>
      <c r="F286" s="96"/>
      <c r="G286" s="96">
        <f>G287+G291</f>
        <v>123000</v>
      </c>
      <c r="H286" s="96">
        <f>H287+H291</f>
        <v>125200</v>
      </c>
      <c r="I286" s="147"/>
    </row>
    <row r="287" spans="1:9" s="148" customFormat="1" ht="19.5" customHeight="1">
      <c r="A287" s="76"/>
      <c r="B287" s="77">
        <v>85121</v>
      </c>
      <c r="C287" s="77"/>
      <c r="D287" s="77" t="s">
        <v>335</v>
      </c>
      <c r="E287" s="78"/>
      <c r="F287" s="146"/>
      <c r="G287" s="146">
        <f>G288</f>
        <v>10000</v>
      </c>
      <c r="H287" s="146">
        <f>H288</f>
        <v>10000</v>
      </c>
      <c r="I287" s="147"/>
    </row>
    <row r="288" spans="1:9" s="22" customFormat="1" ht="19.5" customHeight="1">
      <c r="A288" s="80"/>
      <c r="B288" s="474"/>
      <c r="C288" s="474"/>
      <c r="D288" s="862" t="s">
        <v>336</v>
      </c>
      <c r="E288" s="558"/>
      <c r="F288" s="465"/>
      <c r="G288" s="465">
        <f>SUM(G289:G290)</f>
        <v>10000</v>
      </c>
      <c r="H288" s="465">
        <f>SUM(H289:H290)</f>
        <v>10000</v>
      </c>
      <c r="I288" s="47"/>
    </row>
    <row r="289" spans="1:9" s="194" customFormat="1" ht="19.5" customHeight="1">
      <c r="A289" s="205"/>
      <c r="B289" s="169"/>
      <c r="C289" s="321">
        <v>4170</v>
      </c>
      <c r="D289" s="468" t="s">
        <v>581</v>
      </c>
      <c r="E289" s="322"/>
      <c r="F289" s="1064"/>
      <c r="G289" s="1064"/>
      <c r="H289" s="941">
        <v>10000</v>
      </c>
      <c r="I289" s="195"/>
    </row>
    <row r="290" spans="1:9" s="22" customFormat="1" ht="19.5" customHeight="1">
      <c r="A290" s="204"/>
      <c r="B290" s="82"/>
      <c r="C290" s="82">
        <v>4280</v>
      </c>
      <c r="D290" s="82" t="s">
        <v>337</v>
      </c>
      <c r="E290" s="555"/>
      <c r="F290" s="466"/>
      <c r="G290" s="466">
        <v>10000</v>
      </c>
      <c r="H290" s="466"/>
      <c r="I290" s="47"/>
    </row>
    <row r="291" spans="1:9" s="148" customFormat="1" ht="19.5" customHeight="1">
      <c r="A291" s="76"/>
      <c r="B291" s="78">
        <v>85154</v>
      </c>
      <c r="C291" s="78"/>
      <c r="D291" s="78" t="s">
        <v>580</v>
      </c>
      <c r="E291" s="78"/>
      <c r="F291" s="146"/>
      <c r="G291" s="137">
        <f>G292</f>
        <v>113000</v>
      </c>
      <c r="H291" s="137">
        <f>H292</f>
        <v>115200</v>
      </c>
      <c r="I291" s="147"/>
    </row>
    <row r="292" spans="1:9" s="22" customFormat="1" ht="28.5" customHeight="1">
      <c r="A292" s="80"/>
      <c r="B292" s="474"/>
      <c r="C292" s="474"/>
      <c r="D292" s="559" t="s">
        <v>672</v>
      </c>
      <c r="E292" s="631"/>
      <c r="F292" s="632"/>
      <c r="G292" s="632">
        <f>G293+G295</f>
        <v>113000</v>
      </c>
      <c r="H292" s="632">
        <f>H293+H295</f>
        <v>115200</v>
      </c>
      <c r="I292" s="47"/>
    </row>
    <row r="293" spans="1:9" s="22" customFormat="1" ht="27" customHeight="1">
      <c r="A293" s="204"/>
      <c r="B293" s="81"/>
      <c r="C293" s="66"/>
      <c r="D293" s="553" t="s">
        <v>338</v>
      </c>
      <c r="E293" s="553"/>
      <c r="F293" s="554"/>
      <c r="G293" s="554">
        <f>SUM(G294)</f>
        <v>113000</v>
      </c>
      <c r="H293" s="554"/>
      <c r="I293" s="47"/>
    </row>
    <row r="294" spans="1:9" s="156" customFormat="1" ht="18.75" customHeight="1">
      <c r="A294" s="228"/>
      <c r="B294" s="321"/>
      <c r="C294" s="82">
        <v>4280</v>
      </c>
      <c r="D294" s="83" t="s">
        <v>657</v>
      </c>
      <c r="E294" s="83"/>
      <c r="F294" s="422"/>
      <c r="G294" s="422">
        <v>113000</v>
      </c>
      <c r="H294" s="422"/>
      <c r="I294" s="155"/>
    </row>
    <row r="295" spans="1:9" s="22" customFormat="1" ht="64.5" customHeight="1">
      <c r="A295" s="204"/>
      <c r="B295" s="81"/>
      <c r="C295" s="66"/>
      <c r="D295" s="819" t="s">
        <v>669</v>
      </c>
      <c r="E295" s="819"/>
      <c r="F295" s="944"/>
      <c r="G295" s="944"/>
      <c r="H295" s="944">
        <f>H296+H297+H299</f>
        <v>115200</v>
      </c>
      <c r="I295" s="47"/>
    </row>
    <row r="296" spans="1:9" s="194" customFormat="1" ht="17.25" customHeight="1">
      <c r="A296" s="205"/>
      <c r="B296" s="169"/>
      <c r="C296" s="321">
        <v>3000</v>
      </c>
      <c r="D296" s="468" t="s">
        <v>339</v>
      </c>
      <c r="E296" s="468"/>
      <c r="F296" s="422"/>
      <c r="G296" s="422"/>
      <c r="H296" s="160">
        <v>5700</v>
      </c>
      <c r="I296" s="195"/>
    </row>
    <row r="297" spans="1:9" s="156" customFormat="1" ht="18.75" customHeight="1">
      <c r="A297" s="205"/>
      <c r="B297" s="169"/>
      <c r="C297" s="82">
        <v>4300</v>
      </c>
      <c r="D297" s="83" t="s">
        <v>571</v>
      </c>
      <c r="E297" s="83"/>
      <c r="F297" s="422"/>
      <c r="G297" s="422"/>
      <c r="H297" s="422">
        <v>55200</v>
      </c>
      <c r="I297" s="155"/>
    </row>
    <row r="298" spans="1:9" s="156" customFormat="1" ht="18.75" customHeight="1">
      <c r="A298" s="205"/>
      <c r="B298" s="169"/>
      <c r="C298" s="109"/>
      <c r="D298" s="1124" t="s">
        <v>107</v>
      </c>
      <c r="E298" s="1124"/>
      <c r="F298" s="1110"/>
      <c r="G298" s="1110"/>
      <c r="H298" s="1110">
        <v>54300</v>
      </c>
      <c r="I298" s="155"/>
    </row>
    <row r="299" spans="1:9" s="156" customFormat="1" ht="26.25" customHeight="1">
      <c r="A299" s="205"/>
      <c r="B299" s="169"/>
      <c r="C299" s="109">
        <v>6170</v>
      </c>
      <c r="D299" s="1127" t="s">
        <v>148</v>
      </c>
      <c r="E299" s="1127"/>
      <c r="F299" s="1128"/>
      <c r="G299" s="1128"/>
      <c r="H299" s="1128">
        <f>H298</f>
        <v>54300</v>
      </c>
      <c r="I299" s="155"/>
    </row>
    <row r="300" spans="1:9" s="156" customFormat="1" ht="18.75" customHeight="1">
      <c r="A300" s="89">
        <v>921</v>
      </c>
      <c r="B300" s="89"/>
      <c r="C300" s="89"/>
      <c r="D300" s="73" t="s">
        <v>127</v>
      </c>
      <c r="E300" s="75"/>
      <c r="F300" s="75"/>
      <c r="G300" s="75">
        <f>G301</f>
        <v>53000</v>
      </c>
      <c r="H300" s="75">
        <f>H301</f>
        <v>53000</v>
      </c>
      <c r="I300" s="155"/>
    </row>
    <row r="301" spans="1:9" s="156" customFormat="1" ht="18.75" customHeight="1">
      <c r="A301" s="81"/>
      <c r="B301" s="78">
        <v>92105</v>
      </c>
      <c r="C301" s="78"/>
      <c r="D301" s="213" t="s">
        <v>328</v>
      </c>
      <c r="E301" s="137"/>
      <c r="F301" s="137"/>
      <c r="G301" s="137">
        <f>G302</f>
        <v>53000</v>
      </c>
      <c r="H301" s="137">
        <f>H302</f>
        <v>53000</v>
      </c>
      <c r="I301" s="155"/>
    </row>
    <row r="302" spans="1:9" s="230" customFormat="1" ht="18.75" customHeight="1">
      <c r="A302" s="206"/>
      <c r="B302" s="207"/>
      <c r="C302" s="416"/>
      <c r="D302" s="1055" t="s">
        <v>329</v>
      </c>
      <c r="E302" s="1059"/>
      <c r="F302" s="1059"/>
      <c r="G302" s="1059">
        <f>G303+G308</f>
        <v>53000</v>
      </c>
      <c r="H302" s="1059">
        <f>H303+H308</f>
        <v>53000</v>
      </c>
      <c r="I302" s="210"/>
    </row>
    <row r="303" spans="1:9" s="225" customFormat="1" ht="17.25" customHeight="1">
      <c r="A303" s="1056"/>
      <c r="B303" s="1056"/>
      <c r="C303" s="438"/>
      <c r="D303" s="1057" t="s">
        <v>330</v>
      </c>
      <c r="E303" s="1058"/>
      <c r="F303" s="1058"/>
      <c r="G303" s="1058">
        <f>G307</f>
        <v>45000</v>
      </c>
      <c r="H303" s="1058">
        <f>H307</f>
        <v>45000</v>
      </c>
      <c r="I303" s="224"/>
    </row>
    <row r="304" spans="1:9" s="156" customFormat="1" ht="17.25" customHeight="1">
      <c r="A304" s="85"/>
      <c r="B304" s="85"/>
      <c r="C304" s="587"/>
      <c r="D304" s="1061" t="s">
        <v>332</v>
      </c>
      <c r="E304" s="964"/>
      <c r="F304" s="964"/>
      <c r="G304" s="964"/>
      <c r="H304" s="964">
        <v>25000</v>
      </c>
      <c r="I304" s="155"/>
    </row>
    <row r="305" spans="1:9" s="156" customFormat="1" ht="16.5" customHeight="1">
      <c r="A305" s="85"/>
      <c r="B305" s="85"/>
      <c r="C305" s="587"/>
      <c r="D305" s="1063" t="s">
        <v>333</v>
      </c>
      <c r="E305" s="764"/>
      <c r="F305" s="764"/>
      <c r="G305" s="764"/>
      <c r="H305" s="764">
        <v>20000</v>
      </c>
      <c r="I305" s="155"/>
    </row>
    <row r="306" spans="1:9" s="156" customFormat="1" ht="16.5" customHeight="1">
      <c r="A306" s="85"/>
      <c r="B306" s="85"/>
      <c r="C306" s="587"/>
      <c r="D306" s="1063" t="s">
        <v>677</v>
      </c>
      <c r="E306" s="764"/>
      <c r="F306" s="764"/>
      <c r="G306" s="764">
        <v>45000</v>
      </c>
      <c r="H306" s="764"/>
      <c r="I306" s="155"/>
    </row>
    <row r="307" spans="1:9" s="156" customFormat="1" ht="25.5">
      <c r="A307" s="85"/>
      <c r="B307" s="85"/>
      <c r="C307" s="555">
        <v>2820</v>
      </c>
      <c r="D307" s="1060" t="s">
        <v>331</v>
      </c>
      <c r="E307" s="1062"/>
      <c r="F307" s="1062"/>
      <c r="G307" s="1062">
        <f>SUM(G304:G306)</f>
        <v>45000</v>
      </c>
      <c r="H307" s="1062">
        <f>SUM(H304:H306)</f>
        <v>45000</v>
      </c>
      <c r="I307" s="155"/>
    </row>
    <row r="308" spans="1:9" s="156" customFormat="1" ht="18.75" customHeight="1">
      <c r="A308" s="206"/>
      <c r="B308" s="215"/>
      <c r="C308" s="108"/>
      <c r="D308" s="870" t="s">
        <v>664</v>
      </c>
      <c r="E308" s="143"/>
      <c r="F308" s="143"/>
      <c r="G308" s="143">
        <f>SUM(G309:G310)</f>
        <v>8000</v>
      </c>
      <c r="H308" s="143">
        <f>SUM(H309:H310)</f>
        <v>8000</v>
      </c>
      <c r="I308" s="155"/>
    </row>
    <row r="309" spans="1:9" s="156" customFormat="1" ht="17.25" customHeight="1">
      <c r="A309" s="85"/>
      <c r="B309" s="85"/>
      <c r="C309" s="82">
        <v>3040</v>
      </c>
      <c r="D309" s="602" t="s">
        <v>665</v>
      </c>
      <c r="E309" s="964"/>
      <c r="F309" s="964"/>
      <c r="G309" s="964"/>
      <c r="H309" s="964">
        <v>8000</v>
      </c>
      <c r="I309" s="155"/>
    </row>
    <row r="310" spans="1:9" s="156" customFormat="1" ht="17.25" customHeight="1">
      <c r="A310" s="85"/>
      <c r="B310" s="85"/>
      <c r="C310" s="555">
        <v>4210</v>
      </c>
      <c r="D310" s="549" t="s">
        <v>570</v>
      </c>
      <c r="E310" s="965"/>
      <c r="F310" s="965"/>
      <c r="G310" s="965">
        <v>8000</v>
      </c>
      <c r="H310" s="965"/>
      <c r="I310" s="155"/>
    </row>
    <row r="311" spans="1:9" s="156" customFormat="1" ht="18.75" customHeight="1">
      <c r="A311" s="89">
        <v>926</v>
      </c>
      <c r="B311" s="89"/>
      <c r="C311" s="89"/>
      <c r="D311" s="89" t="s">
        <v>128</v>
      </c>
      <c r="E311" s="75"/>
      <c r="F311" s="75"/>
      <c r="G311" s="75">
        <f>G312</f>
        <v>376920</v>
      </c>
      <c r="H311" s="75">
        <f>H312</f>
        <v>25000</v>
      </c>
      <c r="I311" s="155"/>
    </row>
    <row r="312" spans="1:9" s="156" customFormat="1" ht="18.75" customHeight="1">
      <c r="A312" s="81"/>
      <c r="B312" s="78">
        <v>92605</v>
      </c>
      <c r="C312" s="78"/>
      <c r="D312" s="78" t="s">
        <v>181</v>
      </c>
      <c r="E312" s="137"/>
      <c r="F312" s="137"/>
      <c r="G312" s="137">
        <f>G313+G317</f>
        <v>376920</v>
      </c>
      <c r="H312" s="137">
        <f>H313+H317</f>
        <v>25000</v>
      </c>
      <c r="I312" s="155"/>
    </row>
    <row r="313" spans="1:9" s="156" customFormat="1" ht="18.75" customHeight="1">
      <c r="A313" s="206"/>
      <c r="B313" s="207"/>
      <c r="C313" s="108"/>
      <c r="D313" s="98" t="s">
        <v>285</v>
      </c>
      <c r="E313" s="143"/>
      <c r="F313" s="143"/>
      <c r="G313" s="143">
        <f>G316</f>
        <v>25000</v>
      </c>
      <c r="H313" s="143">
        <f>H316</f>
        <v>25000</v>
      </c>
      <c r="I313" s="155"/>
    </row>
    <row r="314" spans="1:9" s="156" customFormat="1" ht="17.25" customHeight="1">
      <c r="A314" s="85"/>
      <c r="B314" s="85"/>
      <c r="C314" s="81"/>
      <c r="D314" s="1061" t="s">
        <v>286</v>
      </c>
      <c r="E314" s="964"/>
      <c r="F314" s="964"/>
      <c r="G314" s="964">
        <v>25000</v>
      </c>
      <c r="H314" s="964"/>
      <c r="I314" s="155"/>
    </row>
    <row r="315" spans="1:9" s="156" customFormat="1" ht="17.25" customHeight="1">
      <c r="A315" s="85"/>
      <c r="B315" s="85"/>
      <c r="C315" s="587"/>
      <c r="D315" s="571" t="s">
        <v>677</v>
      </c>
      <c r="E315" s="764"/>
      <c r="F315" s="764"/>
      <c r="G315" s="764"/>
      <c r="H315" s="764">
        <v>25000</v>
      </c>
      <c r="I315" s="155"/>
    </row>
    <row r="316" spans="1:9" s="156" customFormat="1" ht="25.5">
      <c r="A316" s="85"/>
      <c r="B316" s="85"/>
      <c r="C316" s="555">
        <v>2820</v>
      </c>
      <c r="D316" s="549" t="s">
        <v>331</v>
      </c>
      <c r="E316" s="1062"/>
      <c r="F316" s="1062"/>
      <c r="G316" s="1062">
        <f>SUM(G314:G315)</f>
        <v>25000</v>
      </c>
      <c r="H316" s="1062">
        <f>SUM(H314:H315)</f>
        <v>25000</v>
      </c>
      <c r="I316" s="155"/>
    </row>
    <row r="317" spans="1:9" s="156" customFormat="1" ht="18.75" customHeight="1">
      <c r="A317" s="206"/>
      <c r="B317" s="215"/>
      <c r="C317" s="108"/>
      <c r="D317" s="98" t="s">
        <v>623</v>
      </c>
      <c r="E317" s="143"/>
      <c r="F317" s="143"/>
      <c r="G317" s="143">
        <f>SUM(G318:G321)</f>
        <v>351920</v>
      </c>
      <c r="H317" s="143"/>
      <c r="I317" s="155"/>
    </row>
    <row r="318" spans="1:9" s="156" customFormat="1" ht="17.25" customHeight="1">
      <c r="A318" s="85"/>
      <c r="B318" s="85"/>
      <c r="C318" s="82">
        <v>4110</v>
      </c>
      <c r="D318" s="549" t="s">
        <v>653</v>
      </c>
      <c r="E318" s="964"/>
      <c r="F318" s="964"/>
      <c r="G318" s="964">
        <v>40614</v>
      </c>
      <c r="H318" s="964"/>
      <c r="I318" s="155"/>
    </row>
    <row r="319" spans="1:9" s="156" customFormat="1" ht="17.25" customHeight="1">
      <c r="A319" s="85"/>
      <c r="B319" s="85"/>
      <c r="C319" s="555">
        <v>4120</v>
      </c>
      <c r="D319" s="549" t="s">
        <v>654</v>
      </c>
      <c r="E319" s="965"/>
      <c r="F319" s="965"/>
      <c r="G319" s="965">
        <v>8819</v>
      </c>
      <c r="H319" s="965"/>
      <c r="I319" s="155"/>
    </row>
    <row r="320" spans="1:9" s="156" customFormat="1" ht="16.5" customHeight="1">
      <c r="A320" s="85"/>
      <c r="B320" s="85"/>
      <c r="C320" s="496">
        <v>4170</v>
      </c>
      <c r="D320" s="496" t="s">
        <v>581</v>
      </c>
      <c r="E320" s="965"/>
      <c r="F320" s="965"/>
      <c r="G320" s="965">
        <v>252487</v>
      </c>
      <c r="H320" s="965"/>
      <c r="I320" s="155"/>
    </row>
    <row r="321" spans="1:9" s="156" customFormat="1" ht="18" customHeight="1">
      <c r="A321" s="86"/>
      <c r="B321" s="86"/>
      <c r="C321" s="496">
        <v>4300</v>
      </c>
      <c r="D321" s="496" t="s">
        <v>571</v>
      </c>
      <c r="E321" s="965"/>
      <c r="F321" s="965"/>
      <c r="G321" s="965">
        <v>50000</v>
      </c>
      <c r="H321" s="965"/>
      <c r="I321" s="155"/>
    </row>
    <row r="322" spans="1:9" s="156" customFormat="1" ht="18" customHeight="1">
      <c r="A322" s="1368"/>
      <c r="B322" s="1368"/>
      <c r="C322" s="1369"/>
      <c r="D322" s="1369"/>
      <c r="E322" s="1370"/>
      <c r="F322" s="1370"/>
      <c r="G322" s="1370"/>
      <c r="H322" s="1370"/>
      <c r="I322" s="155"/>
    </row>
    <row r="323" spans="1:9" s="168" customFormat="1" ht="18.75" customHeight="1">
      <c r="A323" s="164"/>
      <c r="B323" s="139"/>
      <c r="C323" s="165"/>
      <c r="D323" s="472" t="s">
        <v>707</v>
      </c>
      <c r="E323" s="472"/>
      <c r="F323" s="473"/>
      <c r="G323" s="473">
        <f>G324</f>
        <v>4113000</v>
      </c>
      <c r="H323" s="473">
        <f>H324</f>
        <v>4113000</v>
      </c>
      <c r="I323" s="319"/>
    </row>
    <row r="324" spans="1:9" s="156" customFormat="1" ht="18.75" customHeight="1" thickBot="1">
      <c r="A324" s="169"/>
      <c r="B324" s="169"/>
      <c r="C324" s="321"/>
      <c r="D324" s="163" t="s">
        <v>547</v>
      </c>
      <c r="E324" s="163"/>
      <c r="F324" s="162"/>
      <c r="G324" s="193">
        <f>G325+G339+G352</f>
        <v>4113000</v>
      </c>
      <c r="H324" s="193">
        <f>H325+H339+H352</f>
        <v>4113000</v>
      </c>
      <c r="I324" s="155"/>
    </row>
    <row r="325" spans="1:9" s="156" customFormat="1" ht="18.75" customHeight="1" thickTop="1">
      <c r="A325" s="89">
        <v>600</v>
      </c>
      <c r="B325" s="89"/>
      <c r="C325" s="89"/>
      <c r="D325" s="89" t="s">
        <v>551</v>
      </c>
      <c r="E325" s="75"/>
      <c r="F325" s="75"/>
      <c r="G325" s="75">
        <f>G326+G331+G336</f>
        <v>1788000</v>
      </c>
      <c r="H325" s="75">
        <f>H326+H331+H336</f>
        <v>1788000</v>
      </c>
      <c r="I325" s="155"/>
    </row>
    <row r="326" spans="1:9" s="156" customFormat="1" ht="18.75" customHeight="1">
      <c r="A326" s="81"/>
      <c r="B326" s="78">
        <v>60015</v>
      </c>
      <c r="C326" s="78"/>
      <c r="D326" s="768" t="s">
        <v>70</v>
      </c>
      <c r="E326" s="137"/>
      <c r="F326" s="137"/>
      <c r="G326" s="137">
        <f>G327</f>
        <v>1760000</v>
      </c>
      <c r="H326" s="137"/>
      <c r="I326" s="155"/>
    </row>
    <row r="327" spans="1:9" s="156" customFormat="1" ht="18.75" customHeight="1">
      <c r="A327" s="206"/>
      <c r="B327" s="207"/>
      <c r="C327" s="108"/>
      <c r="D327" s="775" t="s">
        <v>325</v>
      </c>
      <c r="E327" s="143"/>
      <c r="F327" s="143"/>
      <c r="G327" s="143">
        <f>G330</f>
        <v>1760000</v>
      </c>
      <c r="H327" s="143"/>
      <c r="I327" s="155"/>
    </row>
    <row r="328" spans="1:9" s="156" customFormat="1" ht="25.5">
      <c r="A328" s="85"/>
      <c r="B328" s="85"/>
      <c r="C328" s="85"/>
      <c r="D328" s="1188" t="s">
        <v>706</v>
      </c>
      <c r="E328" s="764"/>
      <c r="F328" s="764"/>
      <c r="G328" s="764">
        <v>1560000</v>
      </c>
      <c r="H328" s="764"/>
      <c r="I328" s="155"/>
    </row>
    <row r="329" spans="1:9" s="156" customFormat="1" ht="18.75" customHeight="1">
      <c r="A329" s="85"/>
      <c r="B329" s="85"/>
      <c r="C329" s="85"/>
      <c r="D329" s="1190" t="s">
        <v>248</v>
      </c>
      <c r="E329" s="764"/>
      <c r="F329" s="764"/>
      <c r="G329" s="764">
        <v>200000</v>
      </c>
      <c r="H329" s="764"/>
      <c r="I329" s="155"/>
    </row>
    <row r="330" spans="1:9" s="156" customFormat="1" ht="18.75" customHeight="1">
      <c r="A330" s="85"/>
      <c r="B330" s="86"/>
      <c r="C330" s="766">
        <v>6050</v>
      </c>
      <c r="D330" s="766" t="s">
        <v>762</v>
      </c>
      <c r="E330" s="761"/>
      <c r="F330" s="761"/>
      <c r="G330" s="761">
        <f>SUM(G328:G329)</f>
        <v>1760000</v>
      </c>
      <c r="H330" s="761"/>
      <c r="I330" s="155"/>
    </row>
    <row r="331" spans="1:9" s="156" customFormat="1" ht="18.75" customHeight="1">
      <c r="A331" s="81"/>
      <c r="B331" s="78">
        <v>60016</v>
      </c>
      <c r="C331" s="78"/>
      <c r="D331" s="90" t="s">
        <v>115</v>
      </c>
      <c r="E331" s="583"/>
      <c r="F331" s="583"/>
      <c r="G331" s="583"/>
      <c r="H331" s="583">
        <f>H332</f>
        <v>1788000</v>
      </c>
      <c r="I331" s="155"/>
    </row>
    <row r="332" spans="1:9" s="156" customFormat="1" ht="18.75" customHeight="1">
      <c r="A332" s="206"/>
      <c r="B332" s="207"/>
      <c r="C332" s="108"/>
      <c r="D332" s="775" t="s">
        <v>325</v>
      </c>
      <c r="E332" s="143"/>
      <c r="F332" s="143"/>
      <c r="G332" s="143"/>
      <c r="H332" s="143">
        <f>H335</f>
        <v>1788000</v>
      </c>
      <c r="I332" s="155"/>
    </row>
    <row r="333" spans="1:9" s="156" customFormat="1" ht="18.75" customHeight="1">
      <c r="A333" s="85"/>
      <c r="B333" s="85"/>
      <c r="C333" s="85"/>
      <c r="D333" s="1188" t="s">
        <v>249</v>
      </c>
      <c r="E333" s="764"/>
      <c r="F333" s="764"/>
      <c r="G333" s="764"/>
      <c r="H333" s="764">
        <v>1763000</v>
      </c>
      <c r="I333" s="155"/>
    </row>
    <row r="334" spans="1:9" s="156" customFormat="1" ht="18.75" customHeight="1">
      <c r="A334" s="85"/>
      <c r="B334" s="85"/>
      <c r="C334" s="85"/>
      <c r="D334" s="1189" t="s">
        <v>370</v>
      </c>
      <c r="E334" s="1184"/>
      <c r="F334" s="1184"/>
      <c r="G334" s="1184"/>
      <c r="H334" s="1184">
        <v>25000</v>
      </c>
      <c r="I334" s="155"/>
    </row>
    <row r="335" spans="1:9" s="156" customFormat="1" ht="18.75" customHeight="1">
      <c r="A335" s="85"/>
      <c r="B335" s="86"/>
      <c r="C335" s="766">
        <v>6050</v>
      </c>
      <c r="D335" s="1191" t="s">
        <v>762</v>
      </c>
      <c r="E335" s="761"/>
      <c r="F335" s="761"/>
      <c r="G335" s="761"/>
      <c r="H335" s="761">
        <f>SUM(H333:H334)</f>
        <v>1788000</v>
      </c>
      <c r="I335" s="155"/>
    </row>
    <row r="336" spans="1:9" s="156" customFormat="1" ht="18.75" customHeight="1">
      <c r="A336" s="81"/>
      <c r="B336" s="78">
        <v>60017</v>
      </c>
      <c r="C336" s="78"/>
      <c r="D336" s="146" t="s">
        <v>456</v>
      </c>
      <c r="E336" s="583"/>
      <c r="F336" s="583"/>
      <c r="G336" s="583">
        <f>G337</f>
        <v>28000</v>
      </c>
      <c r="H336" s="583"/>
      <c r="I336" s="155"/>
    </row>
    <row r="337" spans="1:9" s="156" customFormat="1" ht="18.75" customHeight="1">
      <c r="A337" s="206"/>
      <c r="B337" s="207"/>
      <c r="C337" s="108"/>
      <c r="D337" s="775" t="s">
        <v>369</v>
      </c>
      <c r="E337" s="143"/>
      <c r="F337" s="143"/>
      <c r="G337" s="143">
        <f>G338</f>
        <v>28000</v>
      </c>
      <c r="H337" s="143"/>
      <c r="I337" s="155"/>
    </row>
    <row r="338" spans="1:9" s="156" customFormat="1" ht="18.75" customHeight="1">
      <c r="A338" s="86"/>
      <c r="B338" s="86"/>
      <c r="C338" s="766">
        <v>6050</v>
      </c>
      <c r="D338" s="1009" t="s">
        <v>762</v>
      </c>
      <c r="E338" s="761"/>
      <c r="F338" s="761"/>
      <c r="G338" s="761">
        <v>28000</v>
      </c>
      <c r="H338" s="761"/>
      <c r="I338" s="155"/>
    </row>
    <row r="339" spans="1:9" s="156" customFormat="1" ht="18.75" customHeight="1">
      <c r="A339" s="741">
        <v>801</v>
      </c>
      <c r="B339" s="741"/>
      <c r="C339" s="741"/>
      <c r="D339" s="741" t="s">
        <v>554</v>
      </c>
      <c r="E339" s="92"/>
      <c r="F339" s="92"/>
      <c r="G339" s="75">
        <f>G340+G345+G348</f>
        <v>300000</v>
      </c>
      <c r="H339" s="75">
        <f>H340+H345+H348</f>
        <v>300000</v>
      </c>
      <c r="I339" s="155"/>
    </row>
    <row r="340" spans="1:9" s="156" customFormat="1" ht="18.75" customHeight="1">
      <c r="A340" s="76"/>
      <c r="B340" s="77">
        <v>80101</v>
      </c>
      <c r="C340" s="77"/>
      <c r="D340" s="77" t="s">
        <v>60</v>
      </c>
      <c r="E340" s="77"/>
      <c r="F340" s="77"/>
      <c r="G340" s="137">
        <f>G341</f>
        <v>142000</v>
      </c>
      <c r="H340" s="137"/>
      <c r="I340" s="155"/>
    </row>
    <row r="341" spans="1:9" s="156" customFormat="1" ht="18.75" customHeight="1">
      <c r="A341" s="80"/>
      <c r="B341" s="66"/>
      <c r="C341" s="66"/>
      <c r="D341" s="775" t="s">
        <v>325</v>
      </c>
      <c r="E341" s="143"/>
      <c r="F341" s="143"/>
      <c r="G341" s="143">
        <f>G344</f>
        <v>142000</v>
      </c>
      <c r="H341" s="143"/>
      <c r="I341" s="155"/>
    </row>
    <row r="342" spans="1:9" s="156" customFormat="1" ht="18.75" customHeight="1">
      <c r="A342" s="80"/>
      <c r="B342" s="66"/>
      <c r="C342" s="66"/>
      <c r="D342" s="774" t="s">
        <v>371</v>
      </c>
      <c r="E342" s="467"/>
      <c r="F342" s="467"/>
      <c r="G342" s="467">
        <v>62000</v>
      </c>
      <c r="H342" s="467"/>
      <c r="I342" s="155"/>
    </row>
    <row r="343" spans="1:9" s="156" customFormat="1" ht="19.5" customHeight="1">
      <c r="A343" s="80"/>
      <c r="B343" s="66"/>
      <c r="C343" s="66"/>
      <c r="D343" s="577" t="s">
        <v>372</v>
      </c>
      <c r="E343" s="469"/>
      <c r="F343" s="469"/>
      <c r="G343" s="469">
        <v>80000</v>
      </c>
      <c r="H343" s="469"/>
      <c r="I343" s="155"/>
    </row>
    <row r="344" spans="1:9" s="156" customFormat="1" ht="18.75" customHeight="1">
      <c r="A344" s="204"/>
      <c r="B344" s="82"/>
      <c r="C344" s="82">
        <v>6050</v>
      </c>
      <c r="D344" s="549" t="s">
        <v>762</v>
      </c>
      <c r="E344" s="765"/>
      <c r="F344" s="470"/>
      <c r="G344" s="778">
        <f>SUM(G342:G343)</f>
        <v>142000</v>
      </c>
      <c r="H344" s="778"/>
      <c r="I344" s="155"/>
    </row>
    <row r="345" spans="1:9" s="156" customFormat="1" ht="18.75" customHeight="1">
      <c r="A345" s="76"/>
      <c r="B345" s="77">
        <v>80110</v>
      </c>
      <c r="C345" s="77"/>
      <c r="D345" s="77" t="s">
        <v>61</v>
      </c>
      <c r="E345" s="77"/>
      <c r="F345" s="77"/>
      <c r="G345" s="137">
        <f>G346</f>
        <v>158000</v>
      </c>
      <c r="H345" s="137"/>
      <c r="I345" s="155"/>
    </row>
    <row r="346" spans="1:9" s="156" customFormat="1" ht="18.75" customHeight="1">
      <c r="A346" s="80"/>
      <c r="B346" s="66"/>
      <c r="C346" s="66"/>
      <c r="D346" s="775" t="s">
        <v>373</v>
      </c>
      <c r="E346" s="143"/>
      <c r="F346" s="143"/>
      <c r="G346" s="143">
        <f>G347</f>
        <v>158000</v>
      </c>
      <c r="H346" s="143"/>
      <c r="I346" s="155"/>
    </row>
    <row r="347" spans="1:9" s="156" customFormat="1" ht="18.75" customHeight="1">
      <c r="A347" s="204"/>
      <c r="B347" s="82"/>
      <c r="C347" s="82">
        <v>6050</v>
      </c>
      <c r="D347" s="837" t="s">
        <v>762</v>
      </c>
      <c r="E347" s="1185"/>
      <c r="F347" s="1186"/>
      <c r="G347" s="1187">
        <v>158000</v>
      </c>
      <c r="H347" s="1187"/>
      <c r="I347" s="155"/>
    </row>
    <row r="348" spans="1:9" s="156" customFormat="1" ht="18.75" customHeight="1">
      <c r="A348" s="76"/>
      <c r="B348" s="77">
        <v>80130</v>
      </c>
      <c r="C348" s="77"/>
      <c r="D348" s="77" t="s">
        <v>600</v>
      </c>
      <c r="E348" s="77"/>
      <c r="F348" s="77"/>
      <c r="G348" s="137"/>
      <c r="H348" s="137">
        <f>H349</f>
        <v>300000</v>
      </c>
      <c r="I348" s="155"/>
    </row>
    <row r="349" spans="1:9" s="156" customFormat="1" ht="18.75" customHeight="1">
      <c r="A349" s="80"/>
      <c r="B349" s="66"/>
      <c r="C349" s="66"/>
      <c r="D349" s="775" t="s">
        <v>705</v>
      </c>
      <c r="E349" s="144"/>
      <c r="F349" s="144"/>
      <c r="G349" s="144"/>
      <c r="H349" s="144">
        <f>H350</f>
        <v>300000</v>
      </c>
      <c r="I349" s="155"/>
    </row>
    <row r="350" spans="1:9" s="156" customFormat="1" ht="18.75" customHeight="1">
      <c r="A350" s="1027"/>
      <c r="B350" s="69"/>
      <c r="C350" s="82">
        <v>6050</v>
      </c>
      <c r="D350" s="837" t="s">
        <v>762</v>
      </c>
      <c r="E350" s="154"/>
      <c r="F350" s="154"/>
      <c r="G350" s="154"/>
      <c r="H350" s="154">
        <v>300000</v>
      </c>
      <c r="I350" s="155"/>
    </row>
    <row r="351" spans="1:9" s="156" customFormat="1" ht="26.25" customHeight="1">
      <c r="A351" s="1381"/>
      <c r="B351" s="1382"/>
      <c r="C351" s="1383"/>
      <c r="D351" s="1384"/>
      <c r="E351" s="1374"/>
      <c r="F351" s="1374"/>
      <c r="G351" s="1374"/>
      <c r="H351" s="1374"/>
      <c r="I351" s="155"/>
    </row>
    <row r="352" spans="1:9" s="156" customFormat="1" ht="18.75" customHeight="1">
      <c r="A352" s="741">
        <v>900</v>
      </c>
      <c r="B352" s="741"/>
      <c r="C352" s="741"/>
      <c r="D352" s="741" t="s">
        <v>228</v>
      </c>
      <c r="E352" s="92"/>
      <c r="F352" s="92"/>
      <c r="G352" s="75">
        <f>G353+G364+G368+G371</f>
        <v>2025000</v>
      </c>
      <c r="H352" s="75">
        <f>H353+H364+H368+H371</f>
        <v>2025000</v>
      </c>
      <c r="I352" s="155"/>
    </row>
    <row r="353" spans="1:9" s="156" customFormat="1" ht="18.75" customHeight="1">
      <c r="A353" s="76"/>
      <c r="B353" s="77">
        <v>90001</v>
      </c>
      <c r="C353" s="77"/>
      <c r="D353" s="77" t="s">
        <v>124</v>
      </c>
      <c r="E353" s="77"/>
      <c r="F353" s="77"/>
      <c r="G353" s="137">
        <f>G363</f>
        <v>1725000</v>
      </c>
      <c r="H353" s="137">
        <f>H363</f>
        <v>500000</v>
      </c>
      <c r="I353" s="155"/>
    </row>
    <row r="354" spans="1:9" s="156" customFormat="1" ht="18.75" customHeight="1">
      <c r="A354" s="80"/>
      <c r="B354" s="66"/>
      <c r="C354" s="66"/>
      <c r="D354" s="775" t="s">
        <v>325</v>
      </c>
      <c r="E354" s="143"/>
      <c r="F354" s="143"/>
      <c r="G354" s="143">
        <f>G363</f>
        <v>1725000</v>
      </c>
      <c r="H354" s="143">
        <f>H363</f>
        <v>500000</v>
      </c>
      <c r="I354" s="155"/>
    </row>
    <row r="355" spans="1:9" s="156" customFormat="1" ht="18" customHeight="1">
      <c r="A355" s="80"/>
      <c r="B355" s="66"/>
      <c r="C355" s="66"/>
      <c r="D355" s="774" t="s">
        <v>252</v>
      </c>
      <c r="E355" s="469"/>
      <c r="F355" s="469"/>
      <c r="G355" s="469"/>
      <c r="H355" s="469">
        <v>500000</v>
      </c>
      <c r="I355" s="155"/>
    </row>
    <row r="356" spans="1:9" s="156" customFormat="1" ht="18.75" customHeight="1">
      <c r="A356" s="80"/>
      <c r="B356" s="66"/>
      <c r="C356" s="66"/>
      <c r="D356" s="1190" t="s">
        <v>374</v>
      </c>
      <c r="E356" s="469"/>
      <c r="F356" s="469"/>
      <c r="G356" s="469">
        <v>300000</v>
      </c>
      <c r="H356" s="469"/>
      <c r="I356" s="155"/>
    </row>
    <row r="357" spans="1:9" s="156" customFormat="1" ht="18.75" customHeight="1">
      <c r="A357" s="80"/>
      <c r="B357" s="66"/>
      <c r="C357" s="66"/>
      <c r="D357" s="1190" t="s">
        <v>250</v>
      </c>
      <c r="E357" s="469"/>
      <c r="F357" s="469"/>
      <c r="G357" s="469">
        <v>40000</v>
      </c>
      <c r="H357" s="469"/>
      <c r="I357" s="155"/>
    </row>
    <row r="358" spans="1:9" s="156" customFormat="1" ht="18.75" customHeight="1">
      <c r="A358" s="80"/>
      <c r="B358" s="66"/>
      <c r="C358" s="66"/>
      <c r="D358" s="1190" t="s">
        <v>375</v>
      </c>
      <c r="E358" s="469"/>
      <c r="F358" s="469"/>
      <c r="G358" s="469">
        <v>300000</v>
      </c>
      <c r="H358" s="469"/>
      <c r="I358" s="155"/>
    </row>
    <row r="359" spans="1:9" s="156" customFormat="1" ht="25.5">
      <c r="A359" s="80"/>
      <c r="B359" s="66"/>
      <c r="C359" s="66"/>
      <c r="D359" s="1190" t="s">
        <v>376</v>
      </c>
      <c r="E359" s="469"/>
      <c r="F359" s="469"/>
      <c r="G359" s="469">
        <v>600000</v>
      </c>
      <c r="H359" s="469"/>
      <c r="I359" s="155"/>
    </row>
    <row r="360" spans="1:9" s="156" customFormat="1" ht="18.75" customHeight="1">
      <c r="A360" s="80"/>
      <c r="B360" s="66"/>
      <c r="C360" s="66"/>
      <c r="D360" s="1190" t="s">
        <v>377</v>
      </c>
      <c r="E360" s="469"/>
      <c r="F360" s="469"/>
      <c r="G360" s="469">
        <v>170000</v>
      </c>
      <c r="H360" s="469"/>
      <c r="I360" s="155"/>
    </row>
    <row r="361" spans="1:9" s="156" customFormat="1" ht="18.75" customHeight="1">
      <c r="A361" s="80"/>
      <c r="B361" s="66"/>
      <c r="C361" s="66"/>
      <c r="D361" s="1034" t="s">
        <v>251</v>
      </c>
      <c r="E361" s="469"/>
      <c r="F361" s="469"/>
      <c r="G361" s="469">
        <v>300000</v>
      </c>
      <c r="H361" s="469"/>
      <c r="I361" s="155"/>
    </row>
    <row r="362" spans="1:9" s="156" customFormat="1" ht="18.75" customHeight="1">
      <c r="A362" s="80"/>
      <c r="B362" s="66"/>
      <c r="C362" s="66"/>
      <c r="D362" s="1190" t="s">
        <v>378</v>
      </c>
      <c r="E362" s="469"/>
      <c r="F362" s="469"/>
      <c r="G362" s="469">
        <v>15000</v>
      </c>
      <c r="H362" s="469"/>
      <c r="I362" s="155"/>
    </row>
    <row r="363" spans="1:9" s="156" customFormat="1" ht="18.75" customHeight="1">
      <c r="A363" s="204"/>
      <c r="B363" s="82"/>
      <c r="C363" s="82">
        <v>6050</v>
      </c>
      <c r="D363" s="549" t="s">
        <v>762</v>
      </c>
      <c r="E363" s="765"/>
      <c r="F363" s="470"/>
      <c r="G363" s="778">
        <f>SUM(G355:G362)</f>
        <v>1725000</v>
      </c>
      <c r="H363" s="778">
        <f>SUM(H355:H362)</f>
        <v>500000</v>
      </c>
      <c r="I363" s="155"/>
    </row>
    <row r="364" spans="1:9" s="156" customFormat="1" ht="18.75" customHeight="1">
      <c r="A364" s="76"/>
      <c r="B364" s="77">
        <v>90002</v>
      </c>
      <c r="C364" s="77"/>
      <c r="D364" s="703" t="s">
        <v>125</v>
      </c>
      <c r="E364" s="137"/>
      <c r="F364" s="137"/>
      <c r="G364" s="137">
        <f>G365</f>
        <v>200000</v>
      </c>
      <c r="H364" s="137"/>
      <c r="I364" s="155"/>
    </row>
    <row r="365" spans="1:9" s="156" customFormat="1" ht="18.75" customHeight="1">
      <c r="A365" s="80"/>
      <c r="B365" s="66"/>
      <c r="C365" s="66"/>
      <c r="D365" s="66" t="s">
        <v>325</v>
      </c>
      <c r="E365" s="143"/>
      <c r="F365" s="143"/>
      <c r="G365" s="143">
        <f>G367</f>
        <v>200000</v>
      </c>
      <c r="H365" s="143"/>
      <c r="I365" s="155"/>
    </row>
    <row r="366" spans="1:9" s="156" customFormat="1" ht="18.75" customHeight="1">
      <c r="A366" s="80"/>
      <c r="B366" s="66"/>
      <c r="C366" s="66"/>
      <c r="D366" s="1188" t="s">
        <v>379</v>
      </c>
      <c r="E366" s="467"/>
      <c r="F366" s="467"/>
      <c r="G366" s="467">
        <v>200000</v>
      </c>
      <c r="H366" s="467"/>
      <c r="I366" s="155"/>
    </row>
    <row r="367" spans="1:9" s="156" customFormat="1" ht="18.75" customHeight="1">
      <c r="A367" s="80"/>
      <c r="B367" s="66"/>
      <c r="C367" s="82">
        <v>6050</v>
      </c>
      <c r="D367" s="549" t="s">
        <v>762</v>
      </c>
      <c r="E367" s="777"/>
      <c r="F367" s="777"/>
      <c r="G367" s="777">
        <f>G366</f>
        <v>200000</v>
      </c>
      <c r="H367" s="777"/>
      <c r="I367" s="155"/>
    </row>
    <row r="368" spans="1:9" s="156" customFormat="1" ht="18.75" customHeight="1">
      <c r="A368" s="76"/>
      <c r="B368" s="77">
        <v>90003</v>
      </c>
      <c r="C368" s="77"/>
      <c r="D368" s="77" t="s">
        <v>126</v>
      </c>
      <c r="E368" s="77"/>
      <c r="F368" s="77"/>
      <c r="G368" s="137">
        <f>G369</f>
        <v>100000</v>
      </c>
      <c r="H368" s="137"/>
      <c r="I368" s="155"/>
    </row>
    <row r="369" spans="1:9" s="156" customFormat="1" ht="18.75" customHeight="1">
      <c r="A369" s="80"/>
      <c r="B369" s="66"/>
      <c r="C369" s="66"/>
      <c r="D369" s="775" t="s">
        <v>380</v>
      </c>
      <c r="E369" s="143"/>
      <c r="F369" s="143"/>
      <c r="G369" s="143">
        <f>G370</f>
        <v>100000</v>
      </c>
      <c r="H369" s="143"/>
      <c r="I369" s="155"/>
    </row>
    <row r="370" spans="1:9" s="156" customFormat="1" ht="18.75" customHeight="1">
      <c r="A370" s="204"/>
      <c r="B370" s="82"/>
      <c r="C370" s="82">
        <v>6050</v>
      </c>
      <c r="D370" s="837" t="s">
        <v>762</v>
      </c>
      <c r="E370" s="1185"/>
      <c r="F370" s="1186"/>
      <c r="G370" s="1187">
        <v>100000</v>
      </c>
      <c r="H370" s="1187"/>
      <c r="I370" s="155"/>
    </row>
    <row r="371" spans="1:9" s="156" customFormat="1" ht="18.75" customHeight="1">
      <c r="A371" s="76"/>
      <c r="B371" s="77">
        <v>90095</v>
      </c>
      <c r="C371" s="77"/>
      <c r="D371" s="703" t="s">
        <v>553</v>
      </c>
      <c r="E371" s="137"/>
      <c r="F371" s="137"/>
      <c r="G371" s="137"/>
      <c r="H371" s="137">
        <f>H372</f>
        <v>1525000</v>
      </c>
      <c r="I371" s="155"/>
    </row>
    <row r="372" spans="1:9" s="156" customFormat="1" ht="18.75" customHeight="1">
      <c r="A372" s="80"/>
      <c r="B372" s="66"/>
      <c r="C372" s="66"/>
      <c r="D372" s="66" t="s">
        <v>325</v>
      </c>
      <c r="E372" s="143"/>
      <c r="F372" s="143"/>
      <c r="G372" s="143"/>
      <c r="H372" s="143">
        <f>H375</f>
        <v>1525000</v>
      </c>
      <c r="I372" s="155"/>
    </row>
    <row r="373" spans="1:9" s="156" customFormat="1" ht="18.75" customHeight="1">
      <c r="A373" s="80"/>
      <c r="B373" s="66"/>
      <c r="C373" s="66"/>
      <c r="D373" s="1188" t="s">
        <v>253</v>
      </c>
      <c r="E373" s="467"/>
      <c r="F373" s="467"/>
      <c r="G373" s="467"/>
      <c r="H373" s="467">
        <v>1000000</v>
      </c>
      <c r="I373" s="155"/>
    </row>
    <row r="374" spans="1:9" s="156" customFormat="1" ht="18.75" customHeight="1">
      <c r="A374" s="80"/>
      <c r="B374" s="66"/>
      <c r="C374" s="66"/>
      <c r="D374" s="1189" t="s">
        <v>381</v>
      </c>
      <c r="E374" s="848"/>
      <c r="F374" s="848"/>
      <c r="G374" s="848"/>
      <c r="H374" s="848">
        <v>525000</v>
      </c>
      <c r="I374" s="155"/>
    </row>
    <row r="375" spans="1:9" s="156" customFormat="1" ht="18.75" customHeight="1">
      <c r="A375" s="80"/>
      <c r="B375" s="66"/>
      <c r="C375" s="82">
        <v>6050</v>
      </c>
      <c r="D375" s="1013" t="s">
        <v>762</v>
      </c>
      <c r="E375" s="777"/>
      <c r="F375" s="777"/>
      <c r="G375" s="777"/>
      <c r="H375" s="777">
        <f>SUM(H373:H374)</f>
        <v>1525000</v>
      </c>
      <c r="I375" s="155"/>
    </row>
    <row r="376" spans="1:9" s="168" customFormat="1" ht="19.5" customHeight="1">
      <c r="A376" s="164"/>
      <c r="B376" s="139"/>
      <c r="C376" s="165"/>
      <c r="D376" s="844" t="s">
        <v>704</v>
      </c>
      <c r="E376" s="166"/>
      <c r="F376" s="167"/>
      <c r="G376" s="167">
        <f>G377</f>
        <v>6623</v>
      </c>
      <c r="H376" s="167">
        <f>H377</f>
        <v>412598</v>
      </c>
      <c r="I376" s="319"/>
    </row>
    <row r="377" spans="1:9" s="156" customFormat="1" ht="19.5" customHeight="1" thickBot="1">
      <c r="A377" s="321"/>
      <c r="B377" s="321"/>
      <c r="C377" s="321"/>
      <c r="D377" s="1031" t="s">
        <v>547</v>
      </c>
      <c r="E377" s="163"/>
      <c r="F377" s="162"/>
      <c r="G377" s="193">
        <f>G378+G392+G383</f>
        <v>6623</v>
      </c>
      <c r="H377" s="193">
        <f>H378+H392+H383</f>
        <v>412598</v>
      </c>
      <c r="I377" s="155"/>
    </row>
    <row r="378" spans="1:9" s="95" customFormat="1" ht="19.5" customHeight="1" thickTop="1">
      <c r="A378" s="89">
        <v>750</v>
      </c>
      <c r="B378" s="89"/>
      <c r="C378" s="89"/>
      <c r="D378" s="73" t="s">
        <v>558</v>
      </c>
      <c r="E378" s="92"/>
      <c r="F378" s="74"/>
      <c r="G378" s="74"/>
      <c r="H378" s="74">
        <f>H379</f>
        <v>400000</v>
      </c>
      <c r="I378" s="94"/>
    </row>
    <row r="379" spans="1:9" s="130" customFormat="1" ht="19.5" customHeight="1">
      <c r="A379" s="81"/>
      <c r="B379" s="77">
        <v>75075</v>
      </c>
      <c r="C379" s="77"/>
      <c r="D379" s="78" t="s">
        <v>390</v>
      </c>
      <c r="E379" s="314"/>
      <c r="F379" s="90"/>
      <c r="G379" s="90"/>
      <c r="H379" s="90">
        <f>H380</f>
        <v>400000</v>
      </c>
      <c r="I379" s="138"/>
    </row>
    <row r="380" spans="1:12" s="130" customFormat="1" ht="19.5" customHeight="1">
      <c r="A380" s="206"/>
      <c r="B380" s="93"/>
      <c r="C380" s="66"/>
      <c r="D380" s="1105" t="s">
        <v>391</v>
      </c>
      <c r="E380" s="144"/>
      <c r="F380" s="144"/>
      <c r="G380" s="144"/>
      <c r="H380" s="144">
        <f>SUM(H381:H382)</f>
        <v>400000</v>
      </c>
      <c r="I380" s="138"/>
      <c r="J380" s="138"/>
      <c r="L380" s="138"/>
    </row>
    <row r="381" spans="1:9" s="225" customFormat="1" ht="19.5" customHeight="1">
      <c r="A381" s="1371"/>
      <c r="B381" s="321"/>
      <c r="C381" s="318">
        <v>4210</v>
      </c>
      <c r="D381" s="1107" t="s">
        <v>570</v>
      </c>
      <c r="E381" s="1106"/>
      <c r="F381" s="1106"/>
      <c r="G381" s="154"/>
      <c r="H381" s="154">
        <v>50000</v>
      </c>
      <c r="I381" s="224"/>
    </row>
    <row r="382" spans="1:9" s="225" customFormat="1" ht="19.5" customHeight="1">
      <c r="A382" s="1030"/>
      <c r="B382" s="169"/>
      <c r="C382" s="318">
        <v>4300</v>
      </c>
      <c r="D382" s="320" t="s">
        <v>571</v>
      </c>
      <c r="E382" s="1089"/>
      <c r="F382" s="1089"/>
      <c r="G382" s="426"/>
      <c r="H382" s="426">
        <v>350000</v>
      </c>
      <c r="I382" s="224"/>
    </row>
    <row r="383" spans="1:9" s="95" customFormat="1" ht="19.5" customHeight="1">
      <c r="A383" s="89">
        <v>758</v>
      </c>
      <c r="B383" s="89"/>
      <c r="C383" s="89"/>
      <c r="D383" s="73" t="s">
        <v>703</v>
      </c>
      <c r="E383" s="92"/>
      <c r="F383" s="74"/>
      <c r="G383" s="74"/>
      <c r="H383" s="74">
        <f>H384</f>
        <v>5975</v>
      </c>
      <c r="I383" s="94"/>
    </row>
    <row r="384" spans="1:9" s="130" customFormat="1" ht="19.5" customHeight="1">
      <c r="A384" s="81"/>
      <c r="B384" s="77">
        <v>75860</v>
      </c>
      <c r="C384" s="77"/>
      <c r="D384" s="78" t="s">
        <v>205</v>
      </c>
      <c r="E384" s="314"/>
      <c r="F384" s="90"/>
      <c r="G384" s="90"/>
      <c r="H384" s="90">
        <f>H385</f>
        <v>5975</v>
      </c>
      <c r="I384" s="138"/>
    </row>
    <row r="385" spans="1:12" s="130" customFormat="1" ht="25.5">
      <c r="A385" s="206"/>
      <c r="B385" s="93"/>
      <c r="C385" s="66"/>
      <c r="D385" s="1221" t="s">
        <v>388</v>
      </c>
      <c r="E385" s="144"/>
      <c r="F385" s="144"/>
      <c r="G385" s="144"/>
      <c r="H385" s="144">
        <f>SUM(H386:H391)</f>
        <v>5975</v>
      </c>
      <c r="I385" s="138"/>
      <c r="J385" s="138"/>
      <c r="L385" s="138"/>
    </row>
    <row r="386" spans="1:9" s="225" customFormat="1" ht="19.5" customHeight="1">
      <c r="A386" s="1030"/>
      <c r="B386" s="169"/>
      <c r="C386" s="318">
        <v>4018</v>
      </c>
      <c r="D386" s="1107" t="s">
        <v>521</v>
      </c>
      <c r="E386" s="1106"/>
      <c r="F386" s="1106"/>
      <c r="G386" s="154"/>
      <c r="H386" s="154">
        <v>1410</v>
      </c>
      <c r="I386" s="224"/>
    </row>
    <row r="387" spans="1:9" s="225" customFormat="1" ht="19.5" customHeight="1">
      <c r="A387" s="1030"/>
      <c r="B387" s="169"/>
      <c r="C387" s="318">
        <v>4019</v>
      </c>
      <c r="D387" s="320" t="s">
        <v>521</v>
      </c>
      <c r="E387" s="1089"/>
      <c r="F387" s="1089"/>
      <c r="G387" s="426"/>
      <c r="H387" s="426">
        <v>470</v>
      </c>
      <c r="I387" s="224"/>
    </row>
    <row r="388" spans="1:9" s="225" customFormat="1" ht="19.5" customHeight="1">
      <c r="A388" s="1030"/>
      <c r="B388" s="169"/>
      <c r="C388" s="318">
        <v>4218</v>
      </c>
      <c r="D388" s="320" t="s">
        <v>570</v>
      </c>
      <c r="E388" s="1089"/>
      <c r="F388" s="1089"/>
      <c r="G388" s="426"/>
      <c r="H388" s="426">
        <v>2400</v>
      </c>
      <c r="I388" s="224"/>
    </row>
    <row r="389" spans="1:9" s="225" customFormat="1" ht="19.5" customHeight="1">
      <c r="A389" s="1030"/>
      <c r="B389" s="169"/>
      <c r="C389" s="318">
        <v>4219</v>
      </c>
      <c r="D389" s="320" t="s">
        <v>570</v>
      </c>
      <c r="E389" s="1089"/>
      <c r="F389" s="1089"/>
      <c r="G389" s="426"/>
      <c r="H389" s="426">
        <v>800</v>
      </c>
      <c r="I389" s="224"/>
    </row>
    <row r="390" spans="1:9" s="225" customFormat="1" ht="19.5" customHeight="1">
      <c r="A390" s="1030"/>
      <c r="B390" s="169"/>
      <c r="C390" s="318">
        <v>4428</v>
      </c>
      <c r="D390" s="320" t="s">
        <v>622</v>
      </c>
      <c r="E390" s="1089"/>
      <c r="F390" s="1089"/>
      <c r="G390" s="426"/>
      <c r="H390" s="426">
        <v>671</v>
      </c>
      <c r="I390" s="224"/>
    </row>
    <row r="391" spans="1:9" s="225" customFormat="1" ht="19.5" customHeight="1">
      <c r="A391" s="1030"/>
      <c r="B391" s="169"/>
      <c r="C391" s="1053">
        <v>4429</v>
      </c>
      <c r="D391" s="998" t="s">
        <v>622</v>
      </c>
      <c r="E391" s="1054"/>
      <c r="F391" s="1054"/>
      <c r="G391" s="822"/>
      <c r="H391" s="822">
        <v>224</v>
      </c>
      <c r="I391" s="224"/>
    </row>
    <row r="392" spans="1:9" s="95" customFormat="1" ht="19.5" customHeight="1">
      <c r="A392" s="89">
        <v>921</v>
      </c>
      <c r="B392" s="89"/>
      <c r="C392" s="89"/>
      <c r="D392" s="73" t="s">
        <v>127</v>
      </c>
      <c r="E392" s="92"/>
      <c r="F392" s="74"/>
      <c r="G392" s="74">
        <f>G393</f>
        <v>6623</v>
      </c>
      <c r="H392" s="74">
        <f>H393</f>
        <v>6623</v>
      </c>
      <c r="I392" s="94"/>
    </row>
    <row r="393" spans="1:9" s="130" customFormat="1" ht="19.5" customHeight="1">
      <c r="A393" s="81"/>
      <c r="B393" s="77">
        <v>92105</v>
      </c>
      <c r="C393" s="77"/>
      <c r="D393" s="78" t="s">
        <v>328</v>
      </c>
      <c r="E393" s="314"/>
      <c r="F393" s="90"/>
      <c r="G393" s="90">
        <f>G394</f>
        <v>6623</v>
      </c>
      <c r="H393" s="90">
        <f>H394</f>
        <v>6623</v>
      </c>
      <c r="I393" s="138"/>
    </row>
    <row r="394" spans="1:12" s="130" customFormat="1" ht="19.5" customHeight="1">
      <c r="A394" s="206"/>
      <c r="B394" s="93"/>
      <c r="C394" s="66"/>
      <c r="D394" s="954" t="s">
        <v>662</v>
      </c>
      <c r="E394" s="144"/>
      <c r="F394" s="144"/>
      <c r="G394" s="144">
        <f>SUM(G395:G397)</f>
        <v>6623</v>
      </c>
      <c r="H394" s="144">
        <f>SUM(H395:H397)</f>
        <v>6623</v>
      </c>
      <c r="I394" s="138"/>
      <c r="J394" s="138"/>
      <c r="L394" s="138"/>
    </row>
    <row r="395" spans="1:12" s="156" customFormat="1" ht="19.5" customHeight="1">
      <c r="A395" s="1030"/>
      <c r="B395" s="169"/>
      <c r="C395" s="321">
        <v>4307</v>
      </c>
      <c r="D395" s="1107" t="s">
        <v>571</v>
      </c>
      <c r="E395" s="154"/>
      <c r="F395" s="154"/>
      <c r="G395" s="154">
        <v>76</v>
      </c>
      <c r="H395" s="154"/>
      <c r="I395" s="155"/>
      <c r="J395" s="155"/>
      <c r="L395" s="155"/>
    </row>
    <row r="396" spans="1:9" s="225" customFormat="1" ht="19.5" customHeight="1">
      <c r="A396" s="1030"/>
      <c r="B396" s="169"/>
      <c r="C396" s="318">
        <v>4427</v>
      </c>
      <c r="D396" s="320" t="s">
        <v>622</v>
      </c>
      <c r="E396" s="1089"/>
      <c r="F396" s="1089"/>
      <c r="G396" s="426">
        <v>6547</v>
      </c>
      <c r="H396" s="426"/>
      <c r="I396" s="224"/>
    </row>
    <row r="397" spans="1:9" s="225" customFormat="1" ht="19.5" customHeight="1">
      <c r="A397" s="1030"/>
      <c r="B397" s="169"/>
      <c r="C397" s="1053">
        <v>8557</v>
      </c>
      <c r="D397" s="998" t="s">
        <v>663</v>
      </c>
      <c r="E397" s="1054"/>
      <c r="F397" s="1054"/>
      <c r="G397" s="822"/>
      <c r="H397" s="822">
        <f>6547+76</f>
        <v>6623</v>
      </c>
      <c r="I397" s="224"/>
    </row>
    <row r="398" spans="1:9" s="168" customFormat="1" ht="19.5" customHeight="1">
      <c r="A398" s="164"/>
      <c r="B398" s="139"/>
      <c r="C398" s="165"/>
      <c r="D398" s="844" t="s">
        <v>294</v>
      </c>
      <c r="E398" s="472"/>
      <c r="F398" s="473"/>
      <c r="G398" s="473">
        <f>G399</f>
        <v>190000</v>
      </c>
      <c r="H398" s="473"/>
      <c r="I398" s="319"/>
    </row>
    <row r="399" spans="1:9" s="156" customFormat="1" ht="19.5" customHeight="1" thickBot="1">
      <c r="A399" s="321"/>
      <c r="B399" s="321"/>
      <c r="C399" s="321"/>
      <c r="D399" s="163" t="s">
        <v>582</v>
      </c>
      <c r="E399" s="163"/>
      <c r="F399" s="162"/>
      <c r="G399" s="193">
        <f>G400</f>
        <v>190000</v>
      </c>
      <c r="H399" s="193"/>
      <c r="I399" s="155"/>
    </row>
    <row r="400" spans="1:9" s="95" customFormat="1" ht="19.5" customHeight="1" thickTop="1">
      <c r="A400" s="72">
        <v>852</v>
      </c>
      <c r="B400" s="89"/>
      <c r="C400" s="73"/>
      <c r="D400" s="92" t="s">
        <v>555</v>
      </c>
      <c r="E400" s="92"/>
      <c r="F400" s="74"/>
      <c r="G400" s="74">
        <f>G401</f>
        <v>190000</v>
      </c>
      <c r="H400" s="74"/>
      <c r="I400" s="94"/>
    </row>
    <row r="401" spans="1:9" s="130" customFormat="1" ht="19.5" customHeight="1">
      <c r="A401" s="76"/>
      <c r="B401" s="78">
        <v>85201</v>
      </c>
      <c r="C401" s="78"/>
      <c r="D401" s="437" t="s">
        <v>190</v>
      </c>
      <c r="E401" s="868"/>
      <c r="F401" s="90"/>
      <c r="G401" s="90">
        <f>G402+G404+G410</f>
        <v>190000</v>
      </c>
      <c r="H401" s="90"/>
      <c r="I401" s="138"/>
    </row>
    <row r="402" spans="1:12" s="130" customFormat="1" ht="19.5" customHeight="1">
      <c r="A402" s="80"/>
      <c r="B402" s="207"/>
      <c r="C402" s="207"/>
      <c r="D402" s="474" t="s">
        <v>765</v>
      </c>
      <c r="E402" s="144"/>
      <c r="F402" s="144"/>
      <c r="G402" s="144">
        <f>G403</f>
        <v>115000</v>
      </c>
      <c r="H402" s="144"/>
      <c r="I402" s="138"/>
      <c r="J402" s="138"/>
      <c r="L402" s="138"/>
    </row>
    <row r="403" spans="1:12" s="156" customFormat="1" ht="19.5" customHeight="1">
      <c r="A403" s="1030"/>
      <c r="B403" s="169"/>
      <c r="C403" s="321">
        <v>4010</v>
      </c>
      <c r="D403" s="984" t="s">
        <v>521</v>
      </c>
      <c r="E403" s="154"/>
      <c r="F403" s="154"/>
      <c r="G403" s="154">
        <v>115000</v>
      </c>
      <c r="H403" s="154"/>
      <c r="I403" s="155"/>
      <c r="J403" s="155"/>
      <c r="L403" s="155"/>
    </row>
    <row r="404" spans="1:12" s="130" customFormat="1" ht="19.5" customHeight="1">
      <c r="A404" s="1073"/>
      <c r="B404" s="215"/>
      <c r="C404" s="215"/>
      <c r="D404" s="66" t="s">
        <v>574</v>
      </c>
      <c r="E404" s="144"/>
      <c r="F404" s="144"/>
      <c r="G404" s="144">
        <f>SUM(G405:G408)</f>
        <v>53000</v>
      </c>
      <c r="H404" s="144"/>
      <c r="I404" s="138"/>
      <c r="J404" s="138"/>
      <c r="L404" s="138"/>
    </row>
    <row r="405" spans="1:12" s="156" customFormat="1" ht="19.5" customHeight="1">
      <c r="A405" s="1030"/>
      <c r="B405" s="169"/>
      <c r="C405" s="321">
        <v>4210</v>
      </c>
      <c r="D405" s="984" t="s">
        <v>570</v>
      </c>
      <c r="E405" s="154"/>
      <c r="F405" s="154"/>
      <c r="G405" s="154">
        <v>10000</v>
      </c>
      <c r="H405" s="154"/>
      <c r="I405" s="155"/>
      <c r="J405" s="155"/>
      <c r="L405" s="155"/>
    </row>
    <row r="406" spans="1:12" s="156" customFormat="1" ht="19.5" customHeight="1">
      <c r="A406" s="1030"/>
      <c r="B406" s="169"/>
      <c r="C406" s="321">
        <v>4220</v>
      </c>
      <c r="D406" s="321" t="s">
        <v>670</v>
      </c>
      <c r="E406" s="426"/>
      <c r="F406" s="426"/>
      <c r="G406" s="426">
        <v>15000</v>
      </c>
      <c r="H406" s="822"/>
      <c r="I406" s="155"/>
      <c r="J406" s="155"/>
      <c r="L406" s="155"/>
    </row>
    <row r="407" spans="1:12" s="156" customFormat="1" ht="19.5" customHeight="1">
      <c r="A407" s="1030"/>
      <c r="B407" s="169"/>
      <c r="C407" s="321">
        <v>4240</v>
      </c>
      <c r="D407" s="321" t="s">
        <v>69</v>
      </c>
      <c r="E407" s="426"/>
      <c r="F407" s="426"/>
      <c r="G407" s="426">
        <v>3000</v>
      </c>
      <c r="H407" s="848"/>
      <c r="I407" s="155"/>
      <c r="J407" s="155"/>
      <c r="L407" s="155"/>
    </row>
    <row r="408" spans="1:12" s="156" customFormat="1" ht="19.5" customHeight="1">
      <c r="A408" s="1371"/>
      <c r="B408" s="321"/>
      <c r="C408" s="321">
        <v>4300</v>
      </c>
      <c r="D408" s="321" t="s">
        <v>571</v>
      </c>
      <c r="E408" s="426"/>
      <c r="F408" s="822"/>
      <c r="G408" s="822">
        <v>25000</v>
      </c>
      <c r="H408" s="822"/>
      <c r="I408" s="155"/>
      <c r="J408" s="155"/>
      <c r="L408" s="155"/>
    </row>
    <row r="409" spans="1:12" s="156" customFormat="1" ht="12.75" customHeight="1">
      <c r="A409" s="1372"/>
      <c r="B409" s="1359"/>
      <c r="C409" s="1359"/>
      <c r="D409" s="1359"/>
      <c r="E409" s="1373"/>
      <c r="F409" s="1373"/>
      <c r="G409" s="1373"/>
      <c r="H409" s="1373"/>
      <c r="I409" s="155"/>
      <c r="J409" s="155"/>
      <c r="L409" s="155"/>
    </row>
    <row r="410" spans="1:12" s="130" customFormat="1" ht="19.5" customHeight="1">
      <c r="A410" s="1073"/>
      <c r="B410" s="215"/>
      <c r="C410" s="215"/>
      <c r="D410" s="66" t="s">
        <v>599</v>
      </c>
      <c r="E410" s="268"/>
      <c r="F410" s="268"/>
      <c r="G410" s="268">
        <f>SUM(G411:G412)</f>
        <v>22000</v>
      </c>
      <c r="H410" s="268"/>
      <c r="I410" s="138"/>
      <c r="J410" s="138"/>
      <c r="L410" s="138"/>
    </row>
    <row r="411" spans="1:12" s="156" customFormat="1" ht="19.5" customHeight="1">
      <c r="A411" s="1030"/>
      <c r="B411" s="169"/>
      <c r="C411" s="321">
        <v>4110</v>
      </c>
      <c r="D411" s="984" t="s">
        <v>653</v>
      </c>
      <c r="E411" s="154"/>
      <c r="F411" s="154"/>
      <c r="G411" s="154">
        <v>20000</v>
      </c>
      <c r="H411" s="154"/>
      <c r="I411" s="155"/>
      <c r="J411" s="155"/>
      <c r="L411" s="155"/>
    </row>
    <row r="412" spans="1:12" s="156" customFormat="1" ht="19.5" customHeight="1">
      <c r="A412" s="1030"/>
      <c r="B412" s="169"/>
      <c r="C412" s="161">
        <v>4120</v>
      </c>
      <c r="D412" s="169" t="s">
        <v>654</v>
      </c>
      <c r="E412" s="848"/>
      <c r="F412" s="848"/>
      <c r="G412" s="848">
        <v>2000</v>
      </c>
      <c r="H412" s="848"/>
      <c r="I412" s="155"/>
      <c r="J412" s="155"/>
      <c r="L412" s="155"/>
    </row>
    <row r="413" spans="1:9" s="168" customFormat="1" ht="24.75" customHeight="1">
      <c r="A413" s="164"/>
      <c r="B413" s="139"/>
      <c r="C413" s="165"/>
      <c r="D413" s="166" t="s">
        <v>295</v>
      </c>
      <c r="E413" s="166"/>
      <c r="F413" s="167"/>
      <c r="G413" s="167">
        <f>G414+G427</f>
        <v>100940</v>
      </c>
      <c r="H413" s="167">
        <f>H414+H427</f>
        <v>359000</v>
      </c>
      <c r="I413" s="319"/>
    </row>
    <row r="414" spans="1:9" s="156" customFormat="1" ht="21.75" customHeight="1" thickBot="1">
      <c r="A414" s="321"/>
      <c r="B414" s="321"/>
      <c r="C414" s="321"/>
      <c r="D414" s="163" t="s">
        <v>547</v>
      </c>
      <c r="E414" s="163"/>
      <c r="F414" s="162"/>
      <c r="G414" s="193">
        <f>G415</f>
        <v>86940</v>
      </c>
      <c r="H414" s="193">
        <f>H415</f>
        <v>345000</v>
      </c>
      <c r="I414" s="155"/>
    </row>
    <row r="415" spans="1:9" s="148" customFormat="1" ht="19.5" customHeight="1" thickTop="1">
      <c r="A415" s="72">
        <v>852</v>
      </c>
      <c r="B415" s="89"/>
      <c r="C415" s="73"/>
      <c r="D415" s="92" t="s">
        <v>555</v>
      </c>
      <c r="E415" s="92"/>
      <c r="F415" s="96"/>
      <c r="G415" s="96">
        <f>G422+G416</f>
        <v>86940</v>
      </c>
      <c r="H415" s="96">
        <f>H422+H416</f>
        <v>345000</v>
      </c>
      <c r="I415" s="147"/>
    </row>
    <row r="416" spans="1:9" s="130" customFormat="1" ht="22.5" customHeight="1">
      <c r="A416" s="81"/>
      <c r="B416" s="77">
        <v>85201</v>
      </c>
      <c r="C416" s="77"/>
      <c r="D416" s="324" t="s">
        <v>190</v>
      </c>
      <c r="E416" s="314"/>
      <c r="F416" s="90"/>
      <c r="G416" s="90"/>
      <c r="H416" s="90">
        <f>H417</f>
        <v>345000</v>
      </c>
      <c r="I416" s="138"/>
    </row>
    <row r="417" spans="1:12" s="130" customFormat="1" ht="19.5" customHeight="1">
      <c r="A417" s="80"/>
      <c r="B417" s="207"/>
      <c r="C417" s="207"/>
      <c r="D417" s="981" t="s">
        <v>325</v>
      </c>
      <c r="E417" s="144"/>
      <c r="F417" s="144"/>
      <c r="G417" s="144"/>
      <c r="H417" s="144">
        <f>H419+H421</f>
        <v>345000</v>
      </c>
      <c r="I417" s="138"/>
      <c r="J417" s="138"/>
      <c r="L417" s="138"/>
    </row>
    <row r="418" spans="1:12" s="156" customFormat="1" ht="19.5" customHeight="1">
      <c r="A418" s="205"/>
      <c r="B418" s="169"/>
      <c r="C418" s="169"/>
      <c r="D418" s="1069" t="s">
        <v>618</v>
      </c>
      <c r="E418" s="467"/>
      <c r="F418" s="467"/>
      <c r="G418" s="467"/>
      <c r="H418" s="467">
        <f>79440+215560</f>
        <v>295000</v>
      </c>
      <c r="I418" s="155"/>
      <c r="J418" s="155"/>
      <c r="L418" s="155"/>
    </row>
    <row r="419" spans="1:12" s="158" customFormat="1" ht="19.5" customHeight="1">
      <c r="A419" s="204"/>
      <c r="B419" s="169"/>
      <c r="C419" s="321">
        <v>6050</v>
      </c>
      <c r="D419" s="1264" t="s">
        <v>762</v>
      </c>
      <c r="E419" s="152"/>
      <c r="F419" s="152"/>
      <c r="G419" s="152"/>
      <c r="H419" s="152">
        <f>H418</f>
        <v>295000</v>
      </c>
      <c r="I419" s="157"/>
      <c r="J419" s="157"/>
      <c r="L419" s="157"/>
    </row>
    <row r="420" spans="1:12" s="156" customFormat="1" ht="19.5" customHeight="1">
      <c r="A420" s="205"/>
      <c r="B420" s="169"/>
      <c r="C420" s="169"/>
      <c r="D420" s="1271" t="s">
        <v>107</v>
      </c>
      <c r="E420" s="467"/>
      <c r="F420" s="467"/>
      <c r="G420" s="467"/>
      <c r="H420" s="467">
        <f>7500+42500</f>
        <v>50000</v>
      </c>
      <c r="I420" s="155"/>
      <c r="J420" s="155"/>
      <c r="L420" s="155"/>
    </row>
    <row r="421" spans="1:12" s="158" customFormat="1" ht="19.5" customHeight="1">
      <c r="A421" s="204"/>
      <c r="B421" s="321"/>
      <c r="C421" s="321">
        <v>6060</v>
      </c>
      <c r="D421" s="322" t="s">
        <v>607</v>
      </c>
      <c r="E421" s="152"/>
      <c r="F421" s="152"/>
      <c r="G421" s="152"/>
      <c r="H421" s="152">
        <f>H420</f>
        <v>50000</v>
      </c>
      <c r="I421" s="157"/>
      <c r="J421" s="157"/>
      <c r="L421" s="157"/>
    </row>
    <row r="422" spans="1:9" s="433" customFormat="1" ht="26.25" customHeight="1">
      <c r="A422" s="972"/>
      <c r="B422" s="973">
        <v>85220</v>
      </c>
      <c r="C422" s="974"/>
      <c r="D422" s="975" t="s">
        <v>443</v>
      </c>
      <c r="E422" s="976"/>
      <c r="F422" s="867"/>
      <c r="G422" s="977">
        <f>G423</f>
        <v>86940</v>
      </c>
      <c r="H422" s="977"/>
      <c r="I422" s="978"/>
    </row>
    <row r="423" spans="1:9" s="230" customFormat="1" ht="19.5" customHeight="1">
      <c r="A423" s="206"/>
      <c r="B423" s="215"/>
      <c r="C423" s="215"/>
      <c r="D423" s="971" t="s">
        <v>444</v>
      </c>
      <c r="E423" s="968"/>
      <c r="F423" s="970"/>
      <c r="G423" s="970">
        <f>G424</f>
        <v>86940</v>
      </c>
      <c r="H423" s="970"/>
      <c r="I423" s="210"/>
    </row>
    <row r="424" spans="1:9" s="230" customFormat="1" ht="19.5" customHeight="1">
      <c r="A424" s="206"/>
      <c r="B424" s="215"/>
      <c r="C424" s="215"/>
      <c r="D424" s="969" t="s">
        <v>574</v>
      </c>
      <c r="E424" s="979"/>
      <c r="F424" s="980"/>
      <c r="G424" s="980">
        <f>SUM(G425:G426)</f>
        <v>86940</v>
      </c>
      <c r="H424" s="980"/>
      <c r="I424" s="210"/>
    </row>
    <row r="425" spans="1:9" s="156" customFormat="1" ht="20.25" customHeight="1">
      <c r="A425" s="205"/>
      <c r="B425" s="169"/>
      <c r="C425" s="321">
        <v>4210</v>
      </c>
      <c r="D425" s="321" t="s">
        <v>570</v>
      </c>
      <c r="E425" s="322"/>
      <c r="F425" s="726"/>
      <c r="G425" s="726">
        <v>36940</v>
      </c>
      <c r="H425" s="726"/>
      <c r="I425" s="155"/>
    </row>
    <row r="426" spans="1:9" s="156" customFormat="1" ht="19.5" customHeight="1">
      <c r="A426" s="205"/>
      <c r="B426" s="169"/>
      <c r="C426" s="161">
        <v>4270</v>
      </c>
      <c r="D426" s="161" t="s">
        <v>445</v>
      </c>
      <c r="E426" s="322"/>
      <c r="F426" s="726"/>
      <c r="G426" s="726">
        <v>50000</v>
      </c>
      <c r="H426" s="726"/>
      <c r="I426" s="155"/>
    </row>
    <row r="427" spans="1:9" s="156" customFormat="1" ht="24.75" customHeight="1" thickBot="1">
      <c r="A427" s="321"/>
      <c r="B427" s="321"/>
      <c r="C427" s="321"/>
      <c r="D427" s="1228" t="s">
        <v>582</v>
      </c>
      <c r="E427" s="163"/>
      <c r="F427" s="162"/>
      <c r="G427" s="193">
        <f>G428</f>
        <v>14000</v>
      </c>
      <c r="H427" s="193">
        <f>H428</f>
        <v>14000</v>
      </c>
      <c r="I427" s="155"/>
    </row>
    <row r="428" spans="1:9" s="148" customFormat="1" ht="19.5" customHeight="1" thickTop="1">
      <c r="A428" s="72">
        <v>852</v>
      </c>
      <c r="B428" s="89"/>
      <c r="C428" s="73"/>
      <c r="D428" s="92" t="s">
        <v>555</v>
      </c>
      <c r="E428" s="92"/>
      <c r="F428" s="96"/>
      <c r="G428" s="96">
        <f>G429</f>
        <v>14000</v>
      </c>
      <c r="H428" s="96">
        <f>H429</f>
        <v>14000</v>
      </c>
      <c r="I428" s="147"/>
    </row>
    <row r="429" spans="1:9" s="130" customFormat="1" ht="19.5" customHeight="1">
      <c r="A429" s="81"/>
      <c r="B429" s="77">
        <v>85201</v>
      </c>
      <c r="C429" s="77"/>
      <c r="D429" s="77" t="s">
        <v>190</v>
      </c>
      <c r="E429" s="314"/>
      <c r="F429" s="90"/>
      <c r="G429" s="90">
        <f>G430+G432</f>
        <v>14000</v>
      </c>
      <c r="H429" s="90">
        <f>H430+H432</f>
        <v>14000</v>
      </c>
      <c r="I429" s="138"/>
    </row>
    <row r="430" spans="1:12" s="130" customFormat="1" ht="19.5" customHeight="1">
      <c r="A430" s="80"/>
      <c r="B430" s="207"/>
      <c r="C430" s="207"/>
      <c r="D430" s="474" t="s">
        <v>765</v>
      </c>
      <c r="E430" s="144"/>
      <c r="F430" s="144"/>
      <c r="G430" s="144"/>
      <c r="H430" s="144">
        <f>H431</f>
        <v>14000</v>
      </c>
      <c r="I430" s="138"/>
      <c r="J430" s="138"/>
      <c r="L430" s="138"/>
    </row>
    <row r="431" spans="1:12" s="156" customFormat="1" ht="19.5" customHeight="1">
      <c r="A431" s="1030"/>
      <c r="B431" s="169"/>
      <c r="C431" s="321">
        <v>4170</v>
      </c>
      <c r="D431" s="984" t="s">
        <v>581</v>
      </c>
      <c r="E431" s="154"/>
      <c r="F431" s="154"/>
      <c r="G431" s="154"/>
      <c r="H431" s="154">
        <v>14000</v>
      </c>
      <c r="I431" s="155"/>
      <c r="J431" s="155"/>
      <c r="L431" s="155"/>
    </row>
    <row r="432" spans="1:12" s="130" customFormat="1" ht="19.5" customHeight="1">
      <c r="A432" s="1073"/>
      <c r="B432" s="215"/>
      <c r="C432" s="215"/>
      <c r="D432" s="66" t="s">
        <v>599</v>
      </c>
      <c r="E432" s="268"/>
      <c r="F432" s="268"/>
      <c r="G432" s="268">
        <f>G433</f>
        <v>14000</v>
      </c>
      <c r="H432" s="144"/>
      <c r="I432" s="138"/>
      <c r="J432" s="138"/>
      <c r="L432" s="138"/>
    </row>
    <row r="433" spans="1:12" s="156" customFormat="1" ht="19.5" customHeight="1">
      <c r="A433" s="1371"/>
      <c r="B433" s="321"/>
      <c r="C433" s="321">
        <v>4110</v>
      </c>
      <c r="D433" s="984" t="s">
        <v>653</v>
      </c>
      <c r="E433" s="154"/>
      <c r="F433" s="154"/>
      <c r="G433" s="154">
        <v>14000</v>
      </c>
      <c r="H433" s="154"/>
      <c r="I433" s="155"/>
      <c r="J433" s="155"/>
      <c r="L433" s="155"/>
    </row>
    <row r="434" spans="1:12" s="156" customFormat="1" ht="57" customHeight="1">
      <c r="A434" s="1372"/>
      <c r="B434" s="1359"/>
      <c r="C434" s="1359"/>
      <c r="D434" s="1359"/>
      <c r="E434" s="1373"/>
      <c r="F434" s="1373"/>
      <c r="G434" s="1373"/>
      <c r="H434" s="1373"/>
      <c r="I434" s="155"/>
      <c r="J434" s="155"/>
      <c r="L434" s="155"/>
    </row>
    <row r="435" spans="1:9" s="168" customFormat="1" ht="19.5" customHeight="1">
      <c r="A435" s="164"/>
      <c r="B435" s="139"/>
      <c r="C435" s="165"/>
      <c r="D435" s="844" t="s">
        <v>296</v>
      </c>
      <c r="E435" s="472"/>
      <c r="F435" s="473"/>
      <c r="G435" s="473">
        <f aca="true" t="shared" si="1" ref="G435:H437">G436</f>
        <v>16165</v>
      </c>
      <c r="H435" s="473">
        <f t="shared" si="1"/>
        <v>61565</v>
      </c>
      <c r="I435" s="319"/>
    </row>
    <row r="436" spans="1:9" s="156" customFormat="1" ht="19.5" customHeight="1" thickBot="1">
      <c r="A436" s="321"/>
      <c r="B436" s="321"/>
      <c r="C436" s="321"/>
      <c r="D436" s="163" t="s">
        <v>547</v>
      </c>
      <c r="E436" s="163"/>
      <c r="F436" s="162"/>
      <c r="G436" s="193">
        <f t="shared" si="1"/>
        <v>16165</v>
      </c>
      <c r="H436" s="193">
        <f t="shared" si="1"/>
        <v>61565</v>
      </c>
      <c r="I436" s="155"/>
    </row>
    <row r="437" spans="1:9" s="95" customFormat="1" ht="19.5" customHeight="1" thickTop="1">
      <c r="A437" s="439">
        <v>852</v>
      </c>
      <c r="B437" s="73"/>
      <c r="C437" s="73"/>
      <c r="D437" s="92" t="s">
        <v>555</v>
      </c>
      <c r="E437" s="92"/>
      <c r="F437" s="74"/>
      <c r="G437" s="74">
        <f t="shared" si="1"/>
        <v>16165</v>
      </c>
      <c r="H437" s="74">
        <f t="shared" si="1"/>
        <v>61565</v>
      </c>
      <c r="I437" s="94"/>
    </row>
    <row r="438" spans="1:9" s="130" customFormat="1" ht="19.5" customHeight="1">
      <c r="A438" s="81"/>
      <c r="B438" s="77">
        <v>85201</v>
      </c>
      <c r="C438" s="77"/>
      <c r="D438" s="324" t="s">
        <v>190</v>
      </c>
      <c r="E438" s="314"/>
      <c r="F438" s="90"/>
      <c r="G438" s="90">
        <f>G439+G441+G449</f>
        <v>16165</v>
      </c>
      <c r="H438" s="90">
        <f>H439+H441+H449</f>
        <v>61565</v>
      </c>
      <c r="I438" s="138"/>
    </row>
    <row r="439" spans="1:12" s="230" customFormat="1" ht="19.5" customHeight="1">
      <c r="A439" s="206"/>
      <c r="B439" s="207"/>
      <c r="C439" s="207"/>
      <c r="D439" s="981" t="s">
        <v>278</v>
      </c>
      <c r="E439" s="424"/>
      <c r="F439" s="424"/>
      <c r="G439" s="424"/>
      <c r="H439" s="424">
        <f>H440</f>
        <v>2665</v>
      </c>
      <c r="I439" s="210"/>
      <c r="J439" s="210"/>
      <c r="L439" s="210"/>
    </row>
    <row r="440" spans="1:12" s="156" customFormat="1" ht="19.5" customHeight="1">
      <c r="A440" s="205"/>
      <c r="B440" s="169"/>
      <c r="C440" s="321">
        <v>4170</v>
      </c>
      <c r="D440" s="988" t="s">
        <v>581</v>
      </c>
      <c r="E440" s="154"/>
      <c r="F440" s="154"/>
      <c r="G440" s="154"/>
      <c r="H440" s="154">
        <v>2665</v>
      </c>
      <c r="I440" s="155"/>
      <c r="J440" s="155"/>
      <c r="L440" s="155"/>
    </row>
    <row r="441" spans="1:12" s="230" customFormat="1" ht="19.5" customHeight="1">
      <c r="A441" s="206"/>
      <c r="B441" s="215"/>
      <c r="C441" s="207"/>
      <c r="D441" s="981" t="s">
        <v>574</v>
      </c>
      <c r="E441" s="424"/>
      <c r="F441" s="424"/>
      <c r="G441" s="424">
        <f>SUM(G442:G448)</f>
        <v>16165</v>
      </c>
      <c r="H441" s="424">
        <f>SUM(H442:H448)</f>
        <v>5000</v>
      </c>
      <c r="I441" s="210"/>
      <c r="J441" s="210"/>
      <c r="L441" s="210"/>
    </row>
    <row r="442" spans="1:12" s="156" customFormat="1" ht="19.5" customHeight="1">
      <c r="A442" s="205"/>
      <c r="B442" s="169"/>
      <c r="C442" s="169">
        <v>3020</v>
      </c>
      <c r="D442" s="842" t="s">
        <v>96</v>
      </c>
      <c r="E442" s="154"/>
      <c r="F442" s="154"/>
      <c r="G442" s="154">
        <v>795</v>
      </c>
      <c r="H442" s="154"/>
      <c r="I442" s="155"/>
      <c r="J442" s="155"/>
      <c r="L442" s="155"/>
    </row>
    <row r="443" spans="1:12" s="156" customFormat="1" ht="19.5" customHeight="1">
      <c r="A443" s="205"/>
      <c r="B443" s="169"/>
      <c r="C443" s="161">
        <v>4210</v>
      </c>
      <c r="D443" s="997" t="s">
        <v>570</v>
      </c>
      <c r="E443" s="822"/>
      <c r="F443" s="822"/>
      <c r="G443" s="822">
        <v>5000</v>
      </c>
      <c r="H443" s="822"/>
      <c r="I443" s="155"/>
      <c r="J443" s="155"/>
      <c r="L443" s="155"/>
    </row>
    <row r="444" spans="1:12" s="156" customFormat="1" ht="19.5" customHeight="1">
      <c r="A444" s="205"/>
      <c r="B444" s="169"/>
      <c r="C444" s="1435">
        <v>4210</v>
      </c>
      <c r="D444" s="1436" t="s">
        <v>695</v>
      </c>
      <c r="E444" s="822"/>
      <c r="F444" s="822"/>
      <c r="G444" s="822"/>
      <c r="H444" s="822">
        <v>5000</v>
      </c>
      <c r="I444" s="1434"/>
      <c r="J444" s="155"/>
      <c r="L444" s="155"/>
    </row>
    <row r="445" spans="1:12" s="156" customFormat="1" ht="19.5" customHeight="1">
      <c r="A445" s="205"/>
      <c r="B445" s="169"/>
      <c r="C445" s="161">
        <v>4230</v>
      </c>
      <c r="D445" s="495" t="s">
        <v>464</v>
      </c>
      <c r="E445" s="822"/>
      <c r="F445" s="822"/>
      <c r="G445" s="822">
        <v>500</v>
      </c>
      <c r="H445" s="822"/>
      <c r="I445" s="155"/>
      <c r="J445" s="155"/>
      <c r="L445" s="155"/>
    </row>
    <row r="446" spans="1:12" s="156" customFormat="1" ht="19.5" customHeight="1">
      <c r="A446" s="205"/>
      <c r="B446" s="169"/>
      <c r="C446" s="161">
        <v>4240</v>
      </c>
      <c r="D446" s="82" t="s">
        <v>69</v>
      </c>
      <c r="E446" s="822"/>
      <c r="F446" s="822"/>
      <c r="G446" s="822">
        <v>370</v>
      </c>
      <c r="H446" s="822"/>
      <c r="I446" s="155"/>
      <c r="J446" s="155"/>
      <c r="L446" s="155"/>
    </row>
    <row r="447" spans="1:12" s="156" customFormat="1" ht="19.5" customHeight="1">
      <c r="A447" s="205"/>
      <c r="B447" s="169"/>
      <c r="C447" s="161">
        <v>4260</v>
      </c>
      <c r="D447" s="495" t="s">
        <v>656</v>
      </c>
      <c r="E447" s="822"/>
      <c r="F447" s="822"/>
      <c r="G447" s="822">
        <v>1000</v>
      </c>
      <c r="H447" s="822"/>
      <c r="I447" s="155"/>
      <c r="J447" s="155"/>
      <c r="L447" s="155"/>
    </row>
    <row r="448" spans="1:12" s="156" customFormat="1" ht="19.5" customHeight="1">
      <c r="A448" s="205"/>
      <c r="B448" s="169"/>
      <c r="C448" s="161">
        <v>4270</v>
      </c>
      <c r="D448" s="989" t="s">
        <v>447</v>
      </c>
      <c r="E448" s="822"/>
      <c r="F448" s="822"/>
      <c r="G448" s="822">
        <v>8500</v>
      </c>
      <c r="H448" s="822"/>
      <c r="I448" s="1434"/>
      <c r="J448" s="155"/>
      <c r="L448" s="155"/>
    </row>
    <row r="449" spans="1:12" s="230" customFormat="1" ht="19.5" customHeight="1">
      <c r="A449" s="206"/>
      <c r="B449" s="215"/>
      <c r="C449" s="215"/>
      <c r="D449" s="981" t="s">
        <v>325</v>
      </c>
      <c r="E449" s="424"/>
      <c r="F449" s="424"/>
      <c r="G449" s="424"/>
      <c r="H449" s="424">
        <f>H451+H453</f>
        <v>53900</v>
      </c>
      <c r="I449" s="210"/>
      <c r="J449" s="210"/>
      <c r="L449" s="210"/>
    </row>
    <row r="450" spans="1:12" s="156" customFormat="1" ht="19.5" customHeight="1">
      <c r="A450" s="205"/>
      <c r="B450" s="169"/>
      <c r="C450" s="169"/>
      <c r="D450" s="1271" t="s">
        <v>618</v>
      </c>
      <c r="E450" s="467"/>
      <c r="F450" s="467"/>
      <c r="G450" s="467"/>
      <c r="H450" s="467">
        <f>8100+23900</f>
        <v>32000</v>
      </c>
      <c r="I450" s="155"/>
      <c r="J450" s="155"/>
      <c r="L450" s="155"/>
    </row>
    <row r="451" spans="1:12" s="158" customFormat="1" ht="19.5" customHeight="1">
      <c r="A451" s="204"/>
      <c r="B451" s="169"/>
      <c r="C451" s="321">
        <v>6050</v>
      </c>
      <c r="D451" s="1264" t="s">
        <v>762</v>
      </c>
      <c r="E451" s="152"/>
      <c r="F451" s="152"/>
      <c r="G451" s="152"/>
      <c r="H451" s="152">
        <f>H450</f>
        <v>32000</v>
      </c>
      <c r="I451" s="157"/>
      <c r="J451" s="157"/>
      <c r="L451" s="157"/>
    </row>
    <row r="452" spans="1:12" s="156" customFormat="1" ht="19.5" customHeight="1">
      <c r="A452" s="205"/>
      <c r="B452" s="169"/>
      <c r="C452" s="169"/>
      <c r="D452" s="1271" t="s">
        <v>107</v>
      </c>
      <c r="E452" s="467"/>
      <c r="F452" s="467"/>
      <c r="G452" s="467"/>
      <c r="H452" s="467">
        <f>5500+16400</f>
        <v>21900</v>
      </c>
      <c r="I452" s="155"/>
      <c r="J452" s="155"/>
      <c r="L452" s="155"/>
    </row>
    <row r="453" spans="1:12" s="158" customFormat="1" ht="19.5" customHeight="1">
      <c r="A453" s="204"/>
      <c r="B453" s="169"/>
      <c r="C453" s="321">
        <v>6060</v>
      </c>
      <c r="D453" s="322" t="s">
        <v>607</v>
      </c>
      <c r="E453" s="152"/>
      <c r="F453" s="152"/>
      <c r="G453" s="152"/>
      <c r="H453" s="152">
        <f>H452</f>
        <v>21900</v>
      </c>
      <c r="I453" s="157"/>
      <c r="J453" s="157"/>
      <c r="L453" s="157"/>
    </row>
    <row r="454" spans="1:9" s="168" customFormat="1" ht="19.5" customHeight="1">
      <c r="A454" s="164"/>
      <c r="B454" s="139"/>
      <c r="C454" s="165"/>
      <c r="D454" s="844" t="s">
        <v>297</v>
      </c>
      <c r="E454" s="472"/>
      <c r="F454" s="473"/>
      <c r="G454" s="473">
        <f>G455+G466</f>
        <v>57001</v>
      </c>
      <c r="H454" s="473">
        <f>H455+H466</f>
        <v>508823</v>
      </c>
      <c r="I454" s="319"/>
    </row>
    <row r="455" spans="1:9" s="156" customFormat="1" ht="19.5" customHeight="1" thickBot="1">
      <c r="A455" s="321"/>
      <c r="B455" s="321"/>
      <c r="C455" s="321"/>
      <c r="D455" s="163" t="s">
        <v>547</v>
      </c>
      <c r="E455" s="163"/>
      <c r="F455" s="162"/>
      <c r="G455" s="193">
        <f>G456</f>
        <v>57001</v>
      </c>
      <c r="H455" s="193">
        <f>H456</f>
        <v>318823</v>
      </c>
      <c r="I455" s="155"/>
    </row>
    <row r="456" spans="1:9" s="95" customFormat="1" ht="19.5" customHeight="1" thickTop="1">
      <c r="A456" s="439">
        <v>852</v>
      </c>
      <c r="B456" s="73"/>
      <c r="C456" s="73"/>
      <c r="D456" s="92" t="s">
        <v>555</v>
      </c>
      <c r="E456" s="92"/>
      <c r="F456" s="74"/>
      <c r="G456" s="74">
        <f>G457</f>
        <v>57001</v>
      </c>
      <c r="H456" s="74">
        <f>H457</f>
        <v>318823</v>
      </c>
      <c r="I456" s="94"/>
    </row>
    <row r="457" spans="1:9" s="130" customFormat="1" ht="19.5" customHeight="1">
      <c r="A457" s="81"/>
      <c r="B457" s="77">
        <v>85201</v>
      </c>
      <c r="C457" s="77"/>
      <c r="D457" s="324" t="s">
        <v>190</v>
      </c>
      <c r="E457" s="314"/>
      <c r="F457" s="90"/>
      <c r="G457" s="90">
        <f>G458+G460+G463</f>
        <v>57001</v>
      </c>
      <c r="H457" s="90">
        <f>H458+H460+H463</f>
        <v>318823</v>
      </c>
      <c r="I457" s="138"/>
    </row>
    <row r="458" spans="1:12" s="130" customFormat="1" ht="19.5" customHeight="1">
      <c r="A458" s="80"/>
      <c r="B458" s="207"/>
      <c r="C458" s="207"/>
      <c r="D458" s="208" t="s">
        <v>278</v>
      </c>
      <c r="E458" s="144"/>
      <c r="F458" s="144"/>
      <c r="G458" s="144">
        <f>SUM(G459)</f>
        <v>4500</v>
      </c>
      <c r="H458" s="144"/>
      <c r="I458" s="138"/>
      <c r="J458" s="138"/>
      <c r="L458" s="138"/>
    </row>
    <row r="459" spans="1:12" s="158" customFormat="1" ht="19.5" customHeight="1">
      <c r="A459" s="204"/>
      <c r="B459" s="169"/>
      <c r="C459" s="321">
        <v>4010</v>
      </c>
      <c r="D459" s="842" t="s">
        <v>521</v>
      </c>
      <c r="E459" s="145"/>
      <c r="F459" s="145"/>
      <c r="G459" s="145">
        <v>4500</v>
      </c>
      <c r="H459" s="145"/>
      <c r="I459" s="157"/>
      <c r="J459" s="157"/>
      <c r="L459" s="157"/>
    </row>
    <row r="460" spans="1:12" s="130" customFormat="1" ht="19.5" customHeight="1">
      <c r="A460" s="80"/>
      <c r="B460" s="215"/>
      <c r="C460" s="207"/>
      <c r="D460" s="981" t="s">
        <v>574</v>
      </c>
      <c r="E460" s="144"/>
      <c r="F460" s="144"/>
      <c r="G460" s="144">
        <f>SUM(G461:G462)</f>
        <v>52501</v>
      </c>
      <c r="H460" s="144">
        <f>SUM(H461:H462)</f>
        <v>4500</v>
      </c>
      <c r="I460" s="138"/>
      <c r="J460" s="138"/>
      <c r="L460" s="138"/>
    </row>
    <row r="461" spans="1:12" s="156" customFormat="1" ht="19.5" customHeight="1">
      <c r="A461" s="205"/>
      <c r="B461" s="169"/>
      <c r="C461" s="321">
        <v>4210</v>
      </c>
      <c r="D461" s="842" t="s">
        <v>570</v>
      </c>
      <c r="E461" s="154"/>
      <c r="F461" s="154"/>
      <c r="G461" s="154"/>
      <c r="H461" s="154">
        <v>4500</v>
      </c>
      <c r="I461" s="155"/>
      <c r="J461" s="155"/>
      <c r="L461" s="155"/>
    </row>
    <row r="462" spans="1:12" s="158" customFormat="1" ht="19.5" customHeight="1">
      <c r="A462" s="561"/>
      <c r="B462" s="321"/>
      <c r="C462" s="321">
        <v>4270</v>
      </c>
      <c r="D462" s="322" t="s">
        <v>447</v>
      </c>
      <c r="E462" s="152"/>
      <c r="F462" s="152"/>
      <c r="G462" s="152">
        <v>52501</v>
      </c>
      <c r="H462" s="152"/>
      <c r="I462" s="157"/>
      <c r="J462" s="157"/>
      <c r="L462" s="157"/>
    </row>
    <row r="463" spans="1:12" s="230" customFormat="1" ht="19.5" customHeight="1">
      <c r="A463" s="206"/>
      <c r="B463" s="215"/>
      <c r="C463" s="215"/>
      <c r="D463" s="968" t="s">
        <v>325</v>
      </c>
      <c r="E463" s="871"/>
      <c r="F463" s="871"/>
      <c r="G463" s="871"/>
      <c r="H463" s="871">
        <f>H465</f>
        <v>314323</v>
      </c>
      <c r="I463" s="210"/>
      <c r="J463" s="210"/>
      <c r="L463" s="210"/>
    </row>
    <row r="464" spans="1:12" s="158" customFormat="1" ht="19.5" customHeight="1">
      <c r="A464" s="204"/>
      <c r="B464" s="169"/>
      <c r="C464" s="169"/>
      <c r="D464" s="1270" t="s">
        <v>702</v>
      </c>
      <c r="E464" s="940"/>
      <c r="F464" s="940"/>
      <c r="G464" s="940"/>
      <c r="H464" s="940">
        <v>314323</v>
      </c>
      <c r="I464" s="157"/>
      <c r="J464" s="157"/>
      <c r="L464" s="157"/>
    </row>
    <row r="465" spans="1:12" s="158" customFormat="1" ht="19.5" customHeight="1">
      <c r="A465" s="204"/>
      <c r="B465" s="169"/>
      <c r="C465" s="321">
        <v>6050</v>
      </c>
      <c r="D465" s="986" t="s">
        <v>762</v>
      </c>
      <c r="E465" s="987"/>
      <c r="F465" s="987"/>
      <c r="G465" s="987"/>
      <c r="H465" s="987">
        <f>H464</f>
        <v>314323</v>
      </c>
      <c r="I465" s="157"/>
      <c r="J465" s="157"/>
      <c r="L465" s="157"/>
    </row>
    <row r="466" spans="1:9" s="156" customFormat="1" ht="18.75" customHeight="1" thickBot="1">
      <c r="A466" s="321"/>
      <c r="B466" s="321"/>
      <c r="C466" s="321"/>
      <c r="D466" s="163" t="s">
        <v>582</v>
      </c>
      <c r="E466" s="163"/>
      <c r="F466" s="162"/>
      <c r="G466" s="193"/>
      <c r="H466" s="193">
        <f>H467</f>
        <v>190000</v>
      </c>
      <c r="I466" s="155"/>
    </row>
    <row r="467" spans="1:9" s="95" customFormat="1" ht="19.5" customHeight="1" thickTop="1">
      <c r="A467" s="439">
        <v>852</v>
      </c>
      <c r="B467" s="73"/>
      <c r="C467" s="73"/>
      <c r="D467" s="92" t="s">
        <v>555</v>
      </c>
      <c r="E467" s="92"/>
      <c r="F467" s="74"/>
      <c r="G467" s="74"/>
      <c r="H467" s="74">
        <f>H468</f>
        <v>190000</v>
      </c>
      <c r="I467" s="94"/>
    </row>
    <row r="468" spans="1:9" s="130" customFormat="1" ht="18" customHeight="1">
      <c r="A468" s="81"/>
      <c r="B468" s="77">
        <v>85201</v>
      </c>
      <c r="C468" s="77"/>
      <c r="D468" s="324" t="s">
        <v>190</v>
      </c>
      <c r="E468" s="314"/>
      <c r="F468" s="90"/>
      <c r="G468" s="90"/>
      <c r="H468" s="90">
        <f>H469+H471+H476</f>
        <v>190000</v>
      </c>
      <c r="I468" s="138"/>
    </row>
    <row r="469" spans="1:12" s="130" customFormat="1" ht="19.5" customHeight="1">
      <c r="A469" s="80"/>
      <c r="B469" s="207"/>
      <c r="C469" s="207"/>
      <c r="D469" s="208" t="s">
        <v>278</v>
      </c>
      <c r="E469" s="144"/>
      <c r="F469" s="144"/>
      <c r="G469" s="144"/>
      <c r="H469" s="144">
        <f>H470</f>
        <v>152590</v>
      </c>
      <c r="I469" s="138"/>
      <c r="J469" s="138"/>
      <c r="L469" s="138"/>
    </row>
    <row r="470" spans="1:12" s="158" customFormat="1" ht="17.25" customHeight="1">
      <c r="A470" s="204"/>
      <c r="B470" s="169"/>
      <c r="C470" s="321">
        <v>4010</v>
      </c>
      <c r="D470" s="842" t="s">
        <v>521</v>
      </c>
      <c r="E470" s="145"/>
      <c r="F470" s="145"/>
      <c r="G470" s="145"/>
      <c r="H470" s="145">
        <v>152590</v>
      </c>
      <c r="I470" s="157"/>
      <c r="J470" s="157"/>
      <c r="L470" s="157"/>
    </row>
    <row r="471" spans="1:12" s="130" customFormat="1" ht="17.25" customHeight="1">
      <c r="A471" s="1073"/>
      <c r="B471" s="215"/>
      <c r="C471" s="215"/>
      <c r="D471" s="66" t="s">
        <v>574</v>
      </c>
      <c r="E471" s="144"/>
      <c r="F471" s="144"/>
      <c r="G471" s="144"/>
      <c r="H471" s="144">
        <f>SUM(H472:H475)</f>
        <v>24610</v>
      </c>
      <c r="I471" s="138"/>
      <c r="J471" s="138"/>
      <c r="L471" s="138"/>
    </row>
    <row r="472" spans="1:12" s="156" customFormat="1" ht="19.5" customHeight="1">
      <c r="A472" s="1030"/>
      <c r="B472" s="169"/>
      <c r="C472" s="321">
        <v>4210</v>
      </c>
      <c r="D472" s="984" t="s">
        <v>570</v>
      </c>
      <c r="E472" s="154"/>
      <c r="F472" s="154"/>
      <c r="G472" s="154"/>
      <c r="H472" s="154">
        <v>3110</v>
      </c>
      <c r="I472" s="155"/>
      <c r="J472" s="155"/>
      <c r="L472" s="155"/>
    </row>
    <row r="473" spans="1:12" s="156" customFormat="1" ht="19.5" customHeight="1">
      <c r="A473" s="1030"/>
      <c r="B473" s="169"/>
      <c r="C473" s="321">
        <v>4220</v>
      </c>
      <c r="D473" s="321" t="s">
        <v>670</v>
      </c>
      <c r="E473" s="426"/>
      <c r="F473" s="426"/>
      <c r="G473" s="426"/>
      <c r="H473" s="822">
        <v>10000</v>
      </c>
      <c r="I473" s="155"/>
      <c r="J473" s="155"/>
      <c r="L473" s="155"/>
    </row>
    <row r="474" spans="1:12" s="156" customFormat="1" ht="19.5" customHeight="1">
      <c r="A474" s="1030"/>
      <c r="B474" s="169"/>
      <c r="C474" s="321">
        <v>4230</v>
      </c>
      <c r="D474" s="321" t="s">
        <v>464</v>
      </c>
      <c r="E474" s="426"/>
      <c r="F474" s="426"/>
      <c r="G474" s="426"/>
      <c r="H474" s="822">
        <v>1500</v>
      </c>
      <c r="I474" s="155"/>
      <c r="J474" s="155"/>
      <c r="L474" s="155"/>
    </row>
    <row r="475" spans="1:12" s="156" customFormat="1" ht="19.5" customHeight="1">
      <c r="A475" s="1030"/>
      <c r="B475" s="169"/>
      <c r="C475" s="321">
        <v>4260</v>
      </c>
      <c r="D475" s="321" t="s">
        <v>656</v>
      </c>
      <c r="E475" s="426"/>
      <c r="F475" s="426"/>
      <c r="G475" s="426"/>
      <c r="H475" s="848">
        <v>10000</v>
      </c>
      <c r="I475" s="155"/>
      <c r="J475" s="155"/>
      <c r="L475" s="155"/>
    </row>
    <row r="476" spans="1:12" s="130" customFormat="1" ht="16.5" customHeight="1">
      <c r="A476" s="1073"/>
      <c r="B476" s="215"/>
      <c r="C476" s="215"/>
      <c r="D476" s="66" t="s">
        <v>599</v>
      </c>
      <c r="E476" s="268"/>
      <c r="F476" s="268"/>
      <c r="G476" s="268"/>
      <c r="H476" s="144">
        <f>SUM(H477:H478)</f>
        <v>12800</v>
      </c>
      <c r="I476" s="138"/>
      <c r="J476" s="138"/>
      <c r="L476" s="138"/>
    </row>
    <row r="477" spans="1:12" s="156" customFormat="1" ht="19.5" customHeight="1">
      <c r="A477" s="1030"/>
      <c r="B477" s="169"/>
      <c r="C477" s="321">
        <v>4110</v>
      </c>
      <c r="D477" s="984" t="s">
        <v>653</v>
      </c>
      <c r="E477" s="154"/>
      <c r="F477" s="154"/>
      <c r="G477" s="154"/>
      <c r="H477" s="154">
        <v>10400</v>
      </c>
      <c r="I477" s="155"/>
      <c r="J477" s="155"/>
      <c r="L477" s="155"/>
    </row>
    <row r="478" spans="1:12" s="156" customFormat="1" ht="19.5" customHeight="1">
      <c r="A478" s="1030"/>
      <c r="B478" s="169"/>
      <c r="C478" s="161">
        <v>4120</v>
      </c>
      <c r="D478" s="169" t="s">
        <v>654</v>
      </c>
      <c r="E478" s="848"/>
      <c r="F478" s="848"/>
      <c r="G478" s="848"/>
      <c r="H478" s="848">
        <v>2400</v>
      </c>
      <c r="I478" s="155"/>
      <c r="J478" s="155"/>
      <c r="L478" s="155"/>
    </row>
    <row r="479" spans="1:9" s="168" customFormat="1" ht="17.25" customHeight="1">
      <c r="A479" s="164"/>
      <c r="B479" s="139"/>
      <c r="C479" s="165"/>
      <c r="D479" s="166" t="s">
        <v>298</v>
      </c>
      <c r="E479" s="166"/>
      <c r="F479" s="167"/>
      <c r="G479" s="167"/>
      <c r="H479" s="167">
        <f>H480</f>
        <v>32000</v>
      </c>
      <c r="I479" s="319"/>
    </row>
    <row r="480" spans="1:9" s="156" customFormat="1" ht="19.5" customHeight="1" thickBot="1">
      <c r="A480" s="321"/>
      <c r="B480" s="321"/>
      <c r="C480" s="321"/>
      <c r="D480" s="163" t="s">
        <v>547</v>
      </c>
      <c r="E480" s="163"/>
      <c r="F480" s="162"/>
      <c r="G480" s="193"/>
      <c r="H480" s="193">
        <f>H481</f>
        <v>32000</v>
      </c>
      <c r="I480" s="155"/>
    </row>
    <row r="481" spans="1:9" s="95" customFormat="1" ht="19.5" customHeight="1" thickTop="1">
      <c r="A481" s="439">
        <v>852</v>
      </c>
      <c r="B481" s="73"/>
      <c r="C481" s="73"/>
      <c r="D481" s="92" t="s">
        <v>555</v>
      </c>
      <c r="E481" s="92"/>
      <c r="F481" s="74"/>
      <c r="G481" s="74"/>
      <c r="H481" s="74">
        <f>H482</f>
        <v>32000</v>
      </c>
      <c r="I481" s="94"/>
    </row>
    <row r="482" spans="1:9" s="130" customFormat="1" ht="19.5" customHeight="1">
      <c r="A482" s="81"/>
      <c r="B482" s="77">
        <v>85202</v>
      </c>
      <c r="C482" s="77"/>
      <c r="D482" s="324" t="s">
        <v>82</v>
      </c>
      <c r="E482" s="868"/>
      <c r="F482" s="90"/>
      <c r="G482" s="90"/>
      <c r="H482" s="90">
        <f>H483</f>
        <v>32000</v>
      </c>
      <c r="I482" s="138"/>
    </row>
    <row r="483" spans="1:12" s="158" customFormat="1" ht="19.5" customHeight="1">
      <c r="A483" s="204"/>
      <c r="B483" s="215"/>
      <c r="C483" s="66"/>
      <c r="D483" s="474" t="s">
        <v>325</v>
      </c>
      <c r="E483" s="576"/>
      <c r="F483" s="576"/>
      <c r="G483" s="576"/>
      <c r="H483" s="871">
        <f>H485</f>
        <v>32000</v>
      </c>
      <c r="I483" s="157"/>
      <c r="J483" s="157"/>
      <c r="L483" s="157"/>
    </row>
    <row r="484" spans="1:12" s="158" customFormat="1" ht="19.5" customHeight="1">
      <c r="A484" s="204"/>
      <c r="B484" s="169"/>
      <c r="C484" s="81"/>
      <c r="D484" s="636" t="s">
        <v>167</v>
      </c>
      <c r="E484" s="469"/>
      <c r="F484" s="469"/>
      <c r="G484" s="469"/>
      <c r="H484" s="469">
        <v>32000</v>
      </c>
      <c r="I484" s="157"/>
      <c r="J484" s="157"/>
      <c r="L484" s="157"/>
    </row>
    <row r="485" spans="1:12" s="158" customFormat="1" ht="19.5" customHeight="1">
      <c r="A485" s="204"/>
      <c r="B485" s="169"/>
      <c r="C485" s="82">
        <v>6050</v>
      </c>
      <c r="D485" s="83" t="s">
        <v>762</v>
      </c>
      <c r="E485" s="777"/>
      <c r="F485" s="777"/>
      <c r="G485" s="777"/>
      <c r="H485" s="777">
        <f>H484</f>
        <v>32000</v>
      </c>
      <c r="I485" s="157"/>
      <c r="J485" s="157"/>
      <c r="L485" s="157"/>
    </row>
    <row r="486" spans="1:9" s="168" customFormat="1" ht="16.5" customHeight="1">
      <c r="A486" s="164"/>
      <c r="B486" s="139"/>
      <c r="C486" s="165"/>
      <c r="D486" s="166" t="s">
        <v>450</v>
      </c>
      <c r="E486" s="166"/>
      <c r="F486" s="167"/>
      <c r="G486" s="167"/>
      <c r="H486" s="167">
        <f>H487</f>
        <v>200000</v>
      </c>
      <c r="I486" s="319"/>
    </row>
    <row r="487" spans="1:9" s="156" customFormat="1" ht="18" customHeight="1" thickBot="1">
      <c r="A487" s="321"/>
      <c r="B487" s="321"/>
      <c r="C487" s="321"/>
      <c r="D487" s="163" t="s">
        <v>547</v>
      </c>
      <c r="E487" s="163"/>
      <c r="F487" s="162"/>
      <c r="G487" s="193"/>
      <c r="H487" s="193">
        <f>H488</f>
        <v>200000</v>
      </c>
      <c r="I487" s="155"/>
    </row>
    <row r="488" spans="1:9" s="95" customFormat="1" ht="16.5" customHeight="1" thickTop="1">
      <c r="A488" s="439">
        <v>852</v>
      </c>
      <c r="B488" s="73"/>
      <c r="C488" s="73"/>
      <c r="D488" s="92" t="s">
        <v>555</v>
      </c>
      <c r="E488" s="92"/>
      <c r="F488" s="74"/>
      <c r="G488" s="74"/>
      <c r="H488" s="74">
        <f>H489</f>
        <v>200000</v>
      </c>
      <c r="I488" s="94"/>
    </row>
    <row r="489" spans="1:9" s="130" customFormat="1" ht="17.25" customHeight="1">
      <c r="A489" s="81"/>
      <c r="B489" s="77">
        <v>85202</v>
      </c>
      <c r="C489" s="77"/>
      <c r="D489" s="324" t="s">
        <v>82</v>
      </c>
      <c r="E489" s="314"/>
      <c r="F489" s="90"/>
      <c r="G489" s="90"/>
      <c r="H489" s="90">
        <f>H490</f>
        <v>200000</v>
      </c>
      <c r="I489" s="138"/>
    </row>
    <row r="490" spans="1:12" s="230" customFormat="1" ht="19.5" customHeight="1">
      <c r="A490" s="206"/>
      <c r="B490" s="207"/>
      <c r="C490" s="207"/>
      <c r="D490" s="968" t="s">
        <v>325</v>
      </c>
      <c r="E490" s="424"/>
      <c r="F490" s="424"/>
      <c r="G490" s="424"/>
      <c r="H490" s="424">
        <f>H492+H494</f>
        <v>200000</v>
      </c>
      <c r="I490" s="210"/>
      <c r="J490" s="210"/>
      <c r="L490" s="210"/>
    </row>
    <row r="491" spans="1:12" s="156" customFormat="1" ht="21" customHeight="1">
      <c r="A491" s="205"/>
      <c r="B491" s="169"/>
      <c r="C491" s="169"/>
      <c r="D491" s="1270" t="s">
        <v>233</v>
      </c>
      <c r="E491" s="467"/>
      <c r="F491" s="467"/>
      <c r="G491" s="467"/>
      <c r="H491" s="467">
        <f>47600+97400</f>
        <v>145000</v>
      </c>
      <c r="I491" s="155"/>
      <c r="J491" s="155"/>
      <c r="L491" s="155"/>
    </row>
    <row r="492" spans="1:12" s="158" customFormat="1" ht="19.5" customHeight="1">
      <c r="A492" s="561"/>
      <c r="B492" s="321"/>
      <c r="C492" s="321">
        <v>6050</v>
      </c>
      <c r="D492" s="986" t="s">
        <v>762</v>
      </c>
      <c r="E492" s="152"/>
      <c r="F492" s="152"/>
      <c r="G492" s="152"/>
      <c r="H492" s="152">
        <f>H491</f>
        <v>145000</v>
      </c>
      <c r="I492" s="157"/>
      <c r="J492" s="157"/>
      <c r="L492" s="157"/>
    </row>
    <row r="493" spans="1:12" s="156" customFormat="1" ht="19.5" customHeight="1">
      <c r="A493" s="205"/>
      <c r="B493" s="169"/>
      <c r="C493" s="169"/>
      <c r="D493" s="1376" t="s">
        <v>107</v>
      </c>
      <c r="E493" s="1194"/>
      <c r="F493" s="1194"/>
      <c r="G493" s="1194"/>
      <c r="H493" s="1194">
        <f>18100+36900</f>
        <v>55000</v>
      </c>
      <c r="I493" s="155"/>
      <c r="J493" s="155"/>
      <c r="L493" s="155"/>
    </row>
    <row r="494" spans="1:12" s="158" customFormat="1" ht="19.5" customHeight="1">
      <c r="A494" s="204"/>
      <c r="B494" s="169"/>
      <c r="C494" s="321">
        <v>6060</v>
      </c>
      <c r="D494" s="986" t="s">
        <v>607</v>
      </c>
      <c r="E494" s="152"/>
      <c r="F494" s="152"/>
      <c r="G494" s="152"/>
      <c r="H494" s="152">
        <f>H493</f>
        <v>55000</v>
      </c>
      <c r="I494" s="157"/>
      <c r="J494" s="157"/>
      <c r="L494" s="157"/>
    </row>
    <row r="495" spans="1:9" s="168" customFormat="1" ht="19.5" customHeight="1">
      <c r="A495" s="164"/>
      <c r="B495" s="139"/>
      <c r="C495" s="165"/>
      <c r="D495" s="166" t="s">
        <v>701</v>
      </c>
      <c r="E495" s="166"/>
      <c r="F495" s="167"/>
      <c r="G495" s="167"/>
      <c r="H495" s="167">
        <f>H496</f>
        <v>220800</v>
      </c>
      <c r="I495" s="319"/>
    </row>
    <row r="496" spans="1:9" s="156" customFormat="1" ht="19.5" customHeight="1" thickBot="1">
      <c r="A496" s="321"/>
      <c r="B496" s="321"/>
      <c r="C496" s="321"/>
      <c r="D496" s="163" t="s">
        <v>547</v>
      </c>
      <c r="E496" s="163"/>
      <c r="F496" s="162"/>
      <c r="G496" s="193"/>
      <c r="H496" s="193">
        <f>H497</f>
        <v>220800</v>
      </c>
      <c r="I496" s="155"/>
    </row>
    <row r="497" spans="1:9" s="95" customFormat="1" ht="19.5" customHeight="1" thickTop="1">
      <c r="A497" s="439">
        <v>852</v>
      </c>
      <c r="B497" s="73"/>
      <c r="C497" s="73"/>
      <c r="D497" s="92" t="s">
        <v>555</v>
      </c>
      <c r="E497" s="92"/>
      <c r="F497" s="74"/>
      <c r="G497" s="74"/>
      <c r="H497" s="74">
        <f>H498</f>
        <v>220800</v>
      </c>
      <c r="I497" s="94"/>
    </row>
    <row r="498" spans="1:9" s="130" customFormat="1" ht="19.5" customHeight="1">
      <c r="A498" s="81"/>
      <c r="B498" s="77">
        <v>85202</v>
      </c>
      <c r="C498" s="77"/>
      <c r="D498" s="324" t="s">
        <v>82</v>
      </c>
      <c r="E498" s="868"/>
      <c r="F498" s="90"/>
      <c r="G498" s="90"/>
      <c r="H498" s="90">
        <f>H499</f>
        <v>220800</v>
      </c>
      <c r="I498" s="138"/>
    </row>
    <row r="499" spans="1:12" s="158" customFormat="1" ht="19.5" customHeight="1">
      <c r="A499" s="204"/>
      <c r="B499" s="215"/>
      <c r="C499" s="66"/>
      <c r="D499" s="66" t="s">
        <v>768</v>
      </c>
      <c r="E499" s="268"/>
      <c r="F499" s="268"/>
      <c r="G499" s="268"/>
      <c r="H499" s="268">
        <f>H501</f>
        <v>220800</v>
      </c>
      <c r="I499" s="157"/>
      <c r="J499" s="157"/>
      <c r="L499" s="157"/>
    </row>
    <row r="500" spans="1:12" s="158" customFormat="1" ht="19.5" customHeight="1">
      <c r="A500" s="204"/>
      <c r="B500" s="169"/>
      <c r="C500" s="81"/>
      <c r="D500" s="1268" t="s">
        <v>107</v>
      </c>
      <c r="E500" s="467"/>
      <c r="F500" s="467"/>
      <c r="G500" s="467"/>
      <c r="H500" s="467">
        <f>72540+148260</f>
        <v>220800</v>
      </c>
      <c r="I500" s="157"/>
      <c r="J500" s="157"/>
      <c r="L500" s="157"/>
    </row>
    <row r="501" spans="1:12" s="158" customFormat="1" ht="19.5" customHeight="1">
      <c r="A501" s="204"/>
      <c r="B501" s="169"/>
      <c r="C501" s="82">
        <v>6060</v>
      </c>
      <c r="D501" s="555" t="s">
        <v>607</v>
      </c>
      <c r="E501" s="426"/>
      <c r="F501" s="426"/>
      <c r="G501" s="426"/>
      <c r="H501" s="426">
        <f>H500</f>
        <v>220800</v>
      </c>
      <c r="I501" s="157"/>
      <c r="J501" s="157"/>
      <c r="L501" s="157"/>
    </row>
    <row r="502" spans="1:9" ht="21.75" customHeight="1">
      <c r="A502" s="93"/>
      <c r="B502" s="66"/>
      <c r="C502" s="99"/>
      <c r="D502" s="97" t="s">
        <v>700</v>
      </c>
      <c r="E502" s="97"/>
      <c r="F502" s="100"/>
      <c r="G502" s="100">
        <f>G527+G503</f>
        <v>1588964</v>
      </c>
      <c r="H502" s="100">
        <f>H527+H503</f>
        <v>951813</v>
      </c>
      <c r="I502" s="52"/>
    </row>
    <row r="503" spans="1:9" s="194" customFormat="1" ht="19.5" customHeight="1" thickBot="1">
      <c r="A503" s="321"/>
      <c r="B503" s="321"/>
      <c r="C503" s="462"/>
      <c r="D503" s="162" t="s">
        <v>547</v>
      </c>
      <c r="E503" s="163"/>
      <c r="F503" s="463"/>
      <c r="G503" s="464">
        <f>G504</f>
        <v>949664</v>
      </c>
      <c r="H503" s="464">
        <f>H504</f>
        <v>949664</v>
      </c>
      <c r="I503" s="195"/>
    </row>
    <row r="504" spans="1:9" s="95" customFormat="1" ht="18.75" customHeight="1" thickTop="1">
      <c r="A504" s="72">
        <v>852</v>
      </c>
      <c r="B504" s="72"/>
      <c r="C504" s="256"/>
      <c r="D504" s="233" t="s">
        <v>555</v>
      </c>
      <c r="E504" s="92"/>
      <c r="F504" s="74"/>
      <c r="G504" s="74">
        <f>G505+G508+G511+G524</f>
        <v>949664</v>
      </c>
      <c r="H504" s="74">
        <f>H505+H508+H511+H524</f>
        <v>949664</v>
      </c>
      <c r="I504" s="94"/>
    </row>
    <row r="505" spans="1:9" s="130" customFormat="1" ht="18.75" customHeight="1">
      <c r="A505" s="81"/>
      <c r="B505" s="227">
        <v>85204</v>
      </c>
      <c r="C505" s="259"/>
      <c r="D505" s="232" t="s">
        <v>440</v>
      </c>
      <c r="E505" s="314"/>
      <c r="F505" s="90"/>
      <c r="G505" s="90"/>
      <c r="H505" s="90">
        <f>H506</f>
        <v>129000</v>
      </c>
      <c r="I505" s="138"/>
    </row>
    <row r="506" spans="1:12" s="130" customFormat="1" ht="18.75" customHeight="1">
      <c r="A506" s="80"/>
      <c r="B506" s="169"/>
      <c r="C506" s="747"/>
      <c r="D506" s="748" t="s">
        <v>469</v>
      </c>
      <c r="E506" s="144"/>
      <c r="F506" s="144"/>
      <c r="G506" s="144"/>
      <c r="H506" s="144">
        <f>H507</f>
        <v>129000</v>
      </c>
      <c r="I506" s="138"/>
      <c r="J506" s="138"/>
      <c r="L506" s="138"/>
    </row>
    <row r="507" spans="1:12" s="158" customFormat="1" ht="18.75" customHeight="1">
      <c r="A507" s="204"/>
      <c r="B507" s="318"/>
      <c r="C507" s="321">
        <v>3110</v>
      </c>
      <c r="D507" s="320" t="s">
        <v>225</v>
      </c>
      <c r="E507" s="145"/>
      <c r="F507" s="145"/>
      <c r="G507" s="145"/>
      <c r="H507" s="145">
        <v>129000</v>
      </c>
      <c r="I507" s="157"/>
      <c r="J507" s="157"/>
      <c r="L507" s="157"/>
    </row>
    <row r="508" spans="1:9" s="130" customFormat="1" ht="16.5" customHeight="1">
      <c r="A508" s="81"/>
      <c r="B508" s="227">
        <v>85214</v>
      </c>
      <c r="C508" s="259"/>
      <c r="D508" s="1172" t="s">
        <v>699</v>
      </c>
      <c r="E508" s="314"/>
      <c r="F508" s="90"/>
      <c r="G508" s="90"/>
      <c r="H508" s="90">
        <f>H509</f>
        <v>500000</v>
      </c>
      <c r="I508" s="138"/>
    </row>
    <row r="509" spans="1:12" s="130" customFormat="1" ht="18.75" customHeight="1">
      <c r="A509" s="80"/>
      <c r="B509" s="169"/>
      <c r="C509" s="747"/>
      <c r="D509" s="211" t="s">
        <v>469</v>
      </c>
      <c r="E509" s="144"/>
      <c r="F509" s="144"/>
      <c r="G509" s="144"/>
      <c r="H509" s="144">
        <f>H510</f>
        <v>500000</v>
      </c>
      <c r="I509" s="138"/>
      <c r="J509" s="138"/>
      <c r="L509" s="138"/>
    </row>
    <row r="510" spans="1:12" s="158" customFormat="1" ht="18.75" customHeight="1">
      <c r="A510" s="204"/>
      <c r="B510" s="318"/>
      <c r="C510" s="321">
        <v>3110</v>
      </c>
      <c r="D510" s="82" t="s">
        <v>225</v>
      </c>
      <c r="E510" s="145"/>
      <c r="F510" s="145"/>
      <c r="G510" s="145"/>
      <c r="H510" s="145">
        <v>500000</v>
      </c>
      <c r="I510" s="157"/>
      <c r="J510" s="157"/>
      <c r="L510" s="157"/>
    </row>
    <row r="511" spans="1:9" s="130" customFormat="1" ht="18.75" customHeight="1">
      <c r="A511" s="81"/>
      <c r="B511" s="227">
        <v>85219</v>
      </c>
      <c r="C511" s="259"/>
      <c r="D511" s="1174" t="s">
        <v>133</v>
      </c>
      <c r="E511" s="314"/>
      <c r="F511" s="90"/>
      <c r="G511" s="90">
        <f>G512+G515+G521</f>
        <v>35000</v>
      </c>
      <c r="H511" s="90">
        <f>H512+H515+H521</f>
        <v>320664</v>
      </c>
      <c r="I511" s="138"/>
    </row>
    <row r="512" spans="1:12" s="130" customFormat="1" ht="18.75" customHeight="1">
      <c r="A512" s="80"/>
      <c r="B512" s="169"/>
      <c r="C512" s="747"/>
      <c r="D512" s="1173" t="s">
        <v>278</v>
      </c>
      <c r="E512" s="144"/>
      <c r="F512" s="144"/>
      <c r="G512" s="144"/>
      <c r="H512" s="144">
        <f>SUM(H513:H514)</f>
        <v>174276</v>
      </c>
      <c r="I512" s="138"/>
      <c r="J512" s="138"/>
      <c r="L512" s="138"/>
    </row>
    <row r="513" spans="1:12" s="158" customFormat="1" ht="18.75" customHeight="1">
      <c r="A513" s="204"/>
      <c r="B513" s="153"/>
      <c r="C513" s="321">
        <v>4010</v>
      </c>
      <c r="D513" s="320" t="s">
        <v>521</v>
      </c>
      <c r="E513" s="145"/>
      <c r="F513" s="145"/>
      <c r="G513" s="145"/>
      <c r="H513" s="145">
        <v>150000</v>
      </c>
      <c r="I513" s="157"/>
      <c r="J513" s="157"/>
      <c r="L513" s="157"/>
    </row>
    <row r="514" spans="1:12" s="158" customFormat="1" ht="18.75" customHeight="1">
      <c r="A514" s="204"/>
      <c r="B514" s="153"/>
      <c r="C514" s="321">
        <v>4170</v>
      </c>
      <c r="D514" s="320" t="s">
        <v>581</v>
      </c>
      <c r="E514" s="152"/>
      <c r="F514" s="152"/>
      <c r="G514" s="152"/>
      <c r="H514" s="152">
        <v>24276</v>
      </c>
      <c r="I514" s="157"/>
      <c r="J514" s="157"/>
      <c r="L514" s="157"/>
    </row>
    <row r="515" spans="1:12" s="130" customFormat="1" ht="18.75" customHeight="1">
      <c r="A515" s="80"/>
      <c r="B515" s="169"/>
      <c r="C515" s="747"/>
      <c r="D515" s="1173" t="s">
        <v>574</v>
      </c>
      <c r="E515" s="144"/>
      <c r="F515" s="144"/>
      <c r="G515" s="144">
        <f>SUM(G516:G519)</f>
        <v>35000</v>
      </c>
      <c r="H515" s="144">
        <f>SUM(H516:H519)</f>
        <v>116343</v>
      </c>
      <c r="I515" s="138"/>
      <c r="J515" s="138"/>
      <c r="L515" s="138"/>
    </row>
    <row r="516" spans="1:9" s="158" customFormat="1" ht="18.75" customHeight="1">
      <c r="A516" s="109"/>
      <c r="B516" s="438"/>
      <c r="C516" s="321">
        <v>4210</v>
      </c>
      <c r="D516" s="320" t="s">
        <v>570</v>
      </c>
      <c r="E516" s="590"/>
      <c r="F516" s="591"/>
      <c r="G516" s="591"/>
      <c r="H516" s="591">
        <v>77198</v>
      </c>
      <c r="I516" s="157"/>
    </row>
    <row r="517" spans="1:9" s="158" customFormat="1" ht="25.5">
      <c r="A517" s="109"/>
      <c r="B517" s="438"/>
      <c r="C517" s="321">
        <v>4270</v>
      </c>
      <c r="D517" s="320" t="s">
        <v>470</v>
      </c>
      <c r="E517" s="555"/>
      <c r="F517" s="570"/>
      <c r="G517" s="570">
        <v>35000</v>
      </c>
      <c r="H517" s="570"/>
      <c r="I517" s="157"/>
    </row>
    <row r="518" spans="1:9" s="158" customFormat="1" ht="18.75" customHeight="1">
      <c r="A518" s="109"/>
      <c r="B518" s="438"/>
      <c r="C518" s="321">
        <v>4300</v>
      </c>
      <c r="D518" s="320" t="s">
        <v>571</v>
      </c>
      <c r="E518" s="555"/>
      <c r="F518" s="570"/>
      <c r="G518" s="570"/>
      <c r="H518" s="570">
        <v>36345</v>
      </c>
      <c r="I518" s="157"/>
    </row>
    <row r="519" spans="1:9" s="158" customFormat="1" ht="18.75" customHeight="1">
      <c r="A519" s="140"/>
      <c r="B519" s="738"/>
      <c r="C519" s="321">
        <v>4420</v>
      </c>
      <c r="D519" s="468" t="s">
        <v>622</v>
      </c>
      <c r="E519" s="83"/>
      <c r="F519" s="84"/>
      <c r="G519" s="84"/>
      <c r="H519" s="84">
        <v>2800</v>
      </c>
      <c r="I519" s="157"/>
    </row>
    <row r="520" spans="1:9" s="158" customFormat="1" ht="30.75" customHeight="1">
      <c r="A520" s="1366"/>
      <c r="B520" s="1378"/>
      <c r="C520" s="1359"/>
      <c r="D520" s="1379"/>
      <c r="E520" s="1361"/>
      <c r="F520" s="1362"/>
      <c r="G520" s="1362"/>
      <c r="H520" s="1362"/>
      <c r="I520" s="157"/>
    </row>
    <row r="521" spans="1:12" s="130" customFormat="1" ht="18.75" customHeight="1">
      <c r="A521" s="80"/>
      <c r="B521" s="169"/>
      <c r="C521" s="1377"/>
      <c r="D521" s="1177" t="s">
        <v>599</v>
      </c>
      <c r="E521" s="268"/>
      <c r="F521" s="268"/>
      <c r="G521" s="268"/>
      <c r="H521" s="268">
        <f>SUM(H522:H523)</f>
        <v>30045</v>
      </c>
      <c r="I521" s="138"/>
      <c r="J521" s="138"/>
      <c r="L521" s="138"/>
    </row>
    <row r="522" spans="1:9" s="158" customFormat="1" ht="18.75" customHeight="1">
      <c r="A522" s="109"/>
      <c r="B522" s="438"/>
      <c r="C522" s="321">
        <v>4110</v>
      </c>
      <c r="D522" s="320" t="s">
        <v>653</v>
      </c>
      <c r="E522" s="590"/>
      <c r="F522" s="591"/>
      <c r="G522" s="591"/>
      <c r="H522" s="591">
        <v>26370</v>
      </c>
      <c r="I522" s="157"/>
    </row>
    <row r="523" spans="1:9" s="158" customFormat="1" ht="18.75" customHeight="1">
      <c r="A523" s="109"/>
      <c r="B523" s="738"/>
      <c r="C523" s="321">
        <v>4120</v>
      </c>
      <c r="D523" s="468" t="s">
        <v>654</v>
      </c>
      <c r="E523" s="83"/>
      <c r="F523" s="84"/>
      <c r="G523" s="84"/>
      <c r="H523" s="84">
        <v>3675</v>
      </c>
      <c r="I523" s="157"/>
    </row>
    <row r="524" spans="1:9" s="130" customFormat="1" ht="18.75" customHeight="1">
      <c r="A524" s="81"/>
      <c r="B524" s="227">
        <v>85228</v>
      </c>
      <c r="C524" s="259"/>
      <c r="D524" s="1174" t="s">
        <v>142</v>
      </c>
      <c r="E524" s="314"/>
      <c r="F524" s="90"/>
      <c r="G524" s="90">
        <f>G525</f>
        <v>914664</v>
      </c>
      <c r="H524" s="90"/>
      <c r="I524" s="138"/>
    </row>
    <row r="525" spans="1:12" s="130" customFormat="1" ht="18.75" customHeight="1">
      <c r="A525" s="80"/>
      <c r="B525" s="169"/>
      <c r="C525" s="747"/>
      <c r="D525" s="748" t="s">
        <v>471</v>
      </c>
      <c r="E525" s="144"/>
      <c r="F525" s="144"/>
      <c r="G525" s="144">
        <f>G526</f>
        <v>914664</v>
      </c>
      <c r="H525" s="144"/>
      <c r="I525" s="138"/>
      <c r="J525" s="138"/>
      <c r="L525" s="138"/>
    </row>
    <row r="526" spans="1:12" s="158" customFormat="1" ht="18.75" customHeight="1">
      <c r="A526" s="204"/>
      <c r="B526" s="153"/>
      <c r="C526" s="321">
        <v>4300</v>
      </c>
      <c r="D526" s="320" t="s">
        <v>571</v>
      </c>
      <c r="E526" s="145"/>
      <c r="F526" s="145"/>
      <c r="G526" s="145">
        <v>914664</v>
      </c>
      <c r="H526" s="145"/>
      <c r="I526" s="157"/>
      <c r="J526" s="157"/>
      <c r="L526" s="157"/>
    </row>
    <row r="527" spans="1:9" s="194" customFormat="1" ht="19.5" customHeight="1" thickBot="1">
      <c r="A527" s="321"/>
      <c r="B527" s="321"/>
      <c r="C527" s="462"/>
      <c r="D527" s="750" t="s">
        <v>584</v>
      </c>
      <c r="E527" s="163"/>
      <c r="F527" s="463"/>
      <c r="G527" s="464">
        <f>G528+G534</f>
        <v>639300</v>
      </c>
      <c r="H527" s="464">
        <f>H528+H534</f>
        <v>2149</v>
      </c>
      <c r="I527" s="195"/>
    </row>
    <row r="528" spans="1:9" s="95" customFormat="1" ht="18.75" customHeight="1" thickTop="1">
      <c r="A528" s="72">
        <v>851</v>
      </c>
      <c r="B528" s="72"/>
      <c r="C528" s="256"/>
      <c r="D528" s="233" t="s">
        <v>557</v>
      </c>
      <c r="E528" s="92"/>
      <c r="F528" s="74"/>
      <c r="G528" s="74"/>
      <c r="H528" s="74">
        <f>H529</f>
        <v>2149</v>
      </c>
      <c r="I528" s="94"/>
    </row>
    <row r="529" spans="1:9" s="130" customFormat="1" ht="18.75" customHeight="1">
      <c r="A529" s="81"/>
      <c r="B529" s="227">
        <v>85195</v>
      </c>
      <c r="C529" s="259"/>
      <c r="D529" s="232" t="s">
        <v>553</v>
      </c>
      <c r="E529" s="314"/>
      <c r="F529" s="90"/>
      <c r="G529" s="90"/>
      <c r="H529" s="90">
        <f>H530</f>
        <v>2149</v>
      </c>
      <c r="I529" s="138"/>
    </row>
    <row r="530" spans="1:12" s="130" customFormat="1" ht="18.75" customHeight="1">
      <c r="A530" s="80"/>
      <c r="B530" s="169"/>
      <c r="C530" s="747"/>
      <c r="D530" s="748" t="s">
        <v>326</v>
      </c>
      <c r="E530" s="144"/>
      <c r="F530" s="144"/>
      <c r="G530" s="144"/>
      <c r="H530" s="144">
        <f>SUM(H531:H533)</f>
        <v>2149</v>
      </c>
      <c r="I530" s="138"/>
      <c r="J530" s="138"/>
      <c r="L530" s="138"/>
    </row>
    <row r="531" spans="1:12" s="158" customFormat="1" ht="18.75" customHeight="1">
      <c r="A531" s="204"/>
      <c r="B531" s="153"/>
      <c r="C531" s="321">
        <v>4010</v>
      </c>
      <c r="D531" s="320" t="s">
        <v>521</v>
      </c>
      <c r="E531" s="145"/>
      <c r="F531" s="145"/>
      <c r="G531" s="145"/>
      <c r="H531" s="145">
        <v>1792</v>
      </c>
      <c r="I531" s="157"/>
      <c r="J531" s="157"/>
      <c r="L531" s="157"/>
    </row>
    <row r="532" spans="1:9" s="158" customFormat="1" ht="18.75" customHeight="1">
      <c r="A532" s="109"/>
      <c r="B532" s="438"/>
      <c r="C532" s="321">
        <v>4110</v>
      </c>
      <c r="D532" s="320" t="s">
        <v>653</v>
      </c>
      <c r="E532" s="555"/>
      <c r="F532" s="570"/>
      <c r="G532" s="570"/>
      <c r="H532" s="570">
        <v>314</v>
      </c>
      <c r="I532" s="157"/>
    </row>
    <row r="533" spans="1:9" s="158" customFormat="1" ht="18.75" customHeight="1">
      <c r="A533" s="109"/>
      <c r="B533" s="438"/>
      <c r="C533" s="321">
        <v>4120</v>
      </c>
      <c r="D533" s="468" t="s">
        <v>654</v>
      </c>
      <c r="E533" s="83"/>
      <c r="F533" s="84"/>
      <c r="G533" s="84"/>
      <c r="H533" s="84">
        <v>43</v>
      </c>
      <c r="I533" s="157"/>
    </row>
    <row r="534" spans="1:9" s="158" customFormat="1" ht="18.75" customHeight="1">
      <c r="A534" s="184">
        <v>852</v>
      </c>
      <c r="B534" s="72"/>
      <c r="C534" s="256"/>
      <c r="D534" s="233" t="s">
        <v>555</v>
      </c>
      <c r="E534" s="623"/>
      <c r="F534" s="623"/>
      <c r="G534" s="623">
        <f>G535+G538</f>
        <v>639300</v>
      </c>
      <c r="H534" s="623"/>
      <c r="I534" s="157"/>
    </row>
    <row r="535" spans="1:9" s="158" customFormat="1" ht="30.75" customHeight="1">
      <c r="A535" s="258"/>
      <c r="B535" s="227">
        <v>85212</v>
      </c>
      <c r="C535" s="259"/>
      <c r="D535" s="232" t="s">
        <v>144</v>
      </c>
      <c r="E535" s="316"/>
      <c r="F535" s="316"/>
      <c r="G535" s="316">
        <f>G536</f>
        <v>600000</v>
      </c>
      <c r="H535" s="316"/>
      <c r="I535" s="157"/>
    </row>
    <row r="536" spans="1:9" s="158" customFormat="1" ht="18.75" customHeight="1">
      <c r="A536" s="169"/>
      <c r="B536" s="169"/>
      <c r="C536" s="542"/>
      <c r="D536" s="592" t="s">
        <v>146</v>
      </c>
      <c r="E536" s="540"/>
      <c r="F536" s="540"/>
      <c r="G536" s="540">
        <f>G537</f>
        <v>600000</v>
      </c>
      <c r="H536" s="540"/>
      <c r="I536" s="157"/>
    </row>
    <row r="537" spans="1:9" s="158" customFormat="1" ht="18.75" customHeight="1">
      <c r="A537" s="153"/>
      <c r="B537" s="318"/>
      <c r="C537" s="321">
        <v>3110</v>
      </c>
      <c r="D537" s="1123" t="s">
        <v>225</v>
      </c>
      <c r="E537" s="425"/>
      <c r="F537" s="425"/>
      <c r="G537" s="425">
        <v>600000</v>
      </c>
      <c r="H537" s="425"/>
      <c r="I537" s="157"/>
    </row>
    <row r="538" spans="1:9" s="158" customFormat="1" ht="18.75" customHeight="1">
      <c r="A538" s="185"/>
      <c r="B538" s="227">
        <v>85228</v>
      </c>
      <c r="C538" s="259"/>
      <c r="D538" s="232" t="s">
        <v>142</v>
      </c>
      <c r="E538" s="316"/>
      <c r="F538" s="316"/>
      <c r="G538" s="316">
        <f>G539</f>
        <v>39300</v>
      </c>
      <c r="H538" s="316"/>
      <c r="I538" s="157"/>
    </row>
    <row r="539" spans="1:9" s="158" customFormat="1" ht="18.75" customHeight="1">
      <c r="A539" s="169"/>
      <c r="B539" s="169"/>
      <c r="C539" s="542"/>
      <c r="D539" s="541" t="s">
        <v>147</v>
      </c>
      <c r="E539" s="540"/>
      <c r="F539" s="540"/>
      <c r="G539" s="540">
        <f>G540</f>
        <v>39300</v>
      </c>
      <c r="H539" s="540"/>
      <c r="I539" s="157"/>
    </row>
    <row r="540" spans="1:9" s="158" customFormat="1" ht="18.75" customHeight="1">
      <c r="A540" s="153"/>
      <c r="B540" s="153"/>
      <c r="C540" s="321">
        <v>4300</v>
      </c>
      <c r="D540" s="817" t="s">
        <v>571</v>
      </c>
      <c r="E540" s="425"/>
      <c r="F540" s="425"/>
      <c r="G540" s="425">
        <v>39300</v>
      </c>
      <c r="H540" s="425"/>
      <c r="I540" s="157"/>
    </row>
    <row r="541" spans="1:9" ht="21.75" customHeight="1">
      <c r="A541" s="93"/>
      <c r="B541" s="66"/>
      <c r="C541" s="99"/>
      <c r="D541" s="97" t="s">
        <v>697</v>
      </c>
      <c r="E541" s="97"/>
      <c r="F541" s="100"/>
      <c r="G541" s="100"/>
      <c r="H541" s="100">
        <f>H542</f>
        <v>48000</v>
      </c>
      <c r="I541" s="52"/>
    </row>
    <row r="542" spans="1:9" s="194" customFormat="1" ht="20.25" customHeight="1" thickBot="1">
      <c r="A542" s="321"/>
      <c r="B542" s="321"/>
      <c r="C542" s="462"/>
      <c r="D542" s="163" t="s">
        <v>547</v>
      </c>
      <c r="E542" s="163"/>
      <c r="F542" s="463"/>
      <c r="G542" s="464"/>
      <c r="H542" s="464">
        <f>H543</f>
        <v>48000</v>
      </c>
      <c r="I542" s="195"/>
    </row>
    <row r="543" spans="1:9" s="95" customFormat="1" ht="18" customHeight="1" thickTop="1">
      <c r="A543" s="72">
        <v>853</v>
      </c>
      <c r="B543" s="89"/>
      <c r="C543" s="73"/>
      <c r="D543" s="92" t="s">
        <v>598</v>
      </c>
      <c r="E543" s="92"/>
      <c r="F543" s="74"/>
      <c r="G543" s="74"/>
      <c r="H543" s="74">
        <f>H544</f>
        <v>48000</v>
      </c>
      <c r="I543" s="94"/>
    </row>
    <row r="544" spans="1:9" s="130" customFormat="1" ht="18" customHeight="1">
      <c r="A544" s="81"/>
      <c r="B544" s="78">
        <v>85305</v>
      </c>
      <c r="C544" s="78"/>
      <c r="D544" s="78" t="s">
        <v>436</v>
      </c>
      <c r="E544" s="78"/>
      <c r="F544" s="90"/>
      <c r="G544" s="90"/>
      <c r="H544" s="90">
        <f>H545+H547</f>
        <v>48000</v>
      </c>
      <c r="I544" s="138"/>
    </row>
    <row r="545" spans="1:9" s="230" customFormat="1" ht="19.5" customHeight="1">
      <c r="A545" s="416"/>
      <c r="B545" s="207"/>
      <c r="C545" s="207"/>
      <c r="D545" s="992" t="s">
        <v>574</v>
      </c>
      <c r="E545" s="993"/>
      <c r="F545" s="994"/>
      <c r="G545" s="994"/>
      <c r="H545" s="994">
        <f>H546</f>
        <v>40000</v>
      </c>
      <c r="I545" s="210"/>
    </row>
    <row r="546" spans="1:9" s="156" customFormat="1" ht="18" customHeight="1">
      <c r="A546" s="153"/>
      <c r="B546" s="169"/>
      <c r="C546" s="169">
        <v>4260</v>
      </c>
      <c r="D546" s="990" t="s">
        <v>656</v>
      </c>
      <c r="E546" s="995"/>
      <c r="F546" s="996"/>
      <c r="G546" s="996"/>
      <c r="H546" s="996">
        <v>40000</v>
      </c>
      <c r="I546" s="155"/>
    </row>
    <row r="547" spans="1:9" s="230" customFormat="1" ht="18" customHeight="1">
      <c r="A547" s="416"/>
      <c r="B547" s="215"/>
      <c r="C547" s="207"/>
      <c r="D547" s="981" t="s">
        <v>698</v>
      </c>
      <c r="E547" s="981"/>
      <c r="F547" s="1046"/>
      <c r="G547" s="1046"/>
      <c r="H547" s="1046">
        <f>H548</f>
        <v>8000</v>
      </c>
      <c r="I547" s="210"/>
    </row>
    <row r="548" spans="1:9" s="156" customFormat="1" ht="18" customHeight="1">
      <c r="A548" s="318"/>
      <c r="B548" s="321"/>
      <c r="C548" s="321">
        <v>6060</v>
      </c>
      <c r="D548" s="842" t="s">
        <v>607</v>
      </c>
      <c r="E548" s="842"/>
      <c r="F548" s="671"/>
      <c r="G548" s="671"/>
      <c r="H548" s="671">
        <v>8000</v>
      </c>
      <c r="I548" s="155"/>
    </row>
    <row r="549" spans="1:9" s="156" customFormat="1" ht="16.5" customHeight="1">
      <c r="A549" s="1358"/>
      <c r="B549" s="1359"/>
      <c r="C549" s="1359"/>
      <c r="D549" s="1375"/>
      <c r="E549" s="1375"/>
      <c r="F549" s="1380"/>
      <c r="G549" s="1380"/>
      <c r="H549" s="1380"/>
      <c r="I549" s="155"/>
    </row>
    <row r="550" spans="1:9" ht="21.75" customHeight="1">
      <c r="A550" s="93"/>
      <c r="B550" s="66"/>
      <c r="C550" s="99"/>
      <c r="D550" s="97" t="s">
        <v>340</v>
      </c>
      <c r="E550" s="97"/>
      <c r="F550" s="100"/>
      <c r="G550" s="100">
        <f aca="true" t="shared" si="2" ref="G550:H552">G551</f>
        <v>3300</v>
      </c>
      <c r="H550" s="100">
        <f t="shared" si="2"/>
        <v>3300</v>
      </c>
      <c r="I550" s="52"/>
    </row>
    <row r="551" spans="1:9" s="194" customFormat="1" ht="18.75" customHeight="1" thickBot="1">
      <c r="A551" s="321"/>
      <c r="B551" s="321"/>
      <c r="C551" s="462"/>
      <c r="D551" s="163" t="s">
        <v>547</v>
      </c>
      <c r="E551" s="163"/>
      <c r="F551" s="463"/>
      <c r="G551" s="464">
        <f t="shared" si="2"/>
        <v>3300</v>
      </c>
      <c r="H551" s="464">
        <f t="shared" si="2"/>
        <v>3300</v>
      </c>
      <c r="I551" s="195"/>
    </row>
    <row r="552" spans="1:9" s="95" customFormat="1" ht="18" customHeight="1" thickTop="1">
      <c r="A552" s="72">
        <v>853</v>
      </c>
      <c r="B552" s="89"/>
      <c r="C552" s="73"/>
      <c r="D552" s="92" t="s">
        <v>598</v>
      </c>
      <c r="E552" s="92"/>
      <c r="F552" s="74"/>
      <c r="G552" s="74">
        <f t="shared" si="2"/>
        <v>3300</v>
      </c>
      <c r="H552" s="74">
        <f t="shared" si="2"/>
        <v>3300</v>
      </c>
      <c r="I552" s="94"/>
    </row>
    <row r="553" spans="1:9" s="130" customFormat="1" ht="18" customHeight="1">
      <c r="A553" s="81"/>
      <c r="B553" s="78">
        <v>85333</v>
      </c>
      <c r="C553" s="78"/>
      <c r="D553" s="78" t="s">
        <v>517</v>
      </c>
      <c r="E553" s="78"/>
      <c r="F553" s="90"/>
      <c r="G553" s="90">
        <f>G554+G556</f>
        <v>3300</v>
      </c>
      <c r="H553" s="90">
        <f>H554+H556</f>
        <v>3300</v>
      </c>
      <c r="I553" s="138"/>
    </row>
    <row r="554" spans="1:9" s="230" customFormat="1" ht="15.75" customHeight="1">
      <c r="A554" s="416"/>
      <c r="B554" s="207"/>
      <c r="C554" s="207"/>
      <c r="D554" s="211" t="s">
        <v>765</v>
      </c>
      <c r="E554" s="993"/>
      <c r="F554" s="994"/>
      <c r="G554" s="994"/>
      <c r="H554" s="994">
        <f>H555</f>
        <v>3300</v>
      </c>
      <c r="I554" s="210"/>
    </row>
    <row r="555" spans="1:9" s="156" customFormat="1" ht="18" customHeight="1">
      <c r="A555" s="153"/>
      <c r="B555" s="169"/>
      <c r="C555" s="169">
        <v>4170</v>
      </c>
      <c r="D555" s="990" t="s">
        <v>581</v>
      </c>
      <c r="E555" s="995"/>
      <c r="F555" s="996"/>
      <c r="G555" s="996"/>
      <c r="H555" s="996">
        <v>3300</v>
      </c>
      <c r="I555" s="155"/>
    </row>
    <row r="556" spans="1:9" s="230" customFormat="1" ht="15.75" customHeight="1">
      <c r="A556" s="416"/>
      <c r="B556" s="215"/>
      <c r="C556" s="207"/>
      <c r="D556" s="981" t="s">
        <v>574</v>
      </c>
      <c r="E556" s="981"/>
      <c r="F556" s="1046"/>
      <c r="G556" s="1046">
        <f>G557</f>
        <v>3300</v>
      </c>
      <c r="H556" s="1046"/>
      <c r="I556" s="210"/>
    </row>
    <row r="557" spans="1:9" s="156" customFormat="1" ht="18" customHeight="1">
      <c r="A557" s="153"/>
      <c r="B557" s="169"/>
      <c r="C557" s="321">
        <v>4300</v>
      </c>
      <c r="D557" s="842" t="s">
        <v>571</v>
      </c>
      <c r="E557" s="842"/>
      <c r="F557" s="671"/>
      <c r="G557" s="671">
        <v>3300</v>
      </c>
      <c r="H557" s="671"/>
      <c r="I557" s="155"/>
    </row>
    <row r="558" spans="1:9" ht="18" customHeight="1">
      <c r="A558" s="93"/>
      <c r="B558" s="66"/>
      <c r="C558" s="99"/>
      <c r="D558" s="97" t="s">
        <v>696</v>
      </c>
      <c r="E558" s="97"/>
      <c r="F558" s="100"/>
      <c r="G558" s="100"/>
      <c r="H558" s="100">
        <f>H559+H564</f>
        <v>127000</v>
      </c>
      <c r="I558" s="52"/>
    </row>
    <row r="559" spans="1:9" s="194" customFormat="1" ht="18.75" customHeight="1" thickBot="1">
      <c r="A559" s="321"/>
      <c r="B559" s="321"/>
      <c r="C559" s="462"/>
      <c r="D559" s="163" t="s">
        <v>582</v>
      </c>
      <c r="E559" s="163"/>
      <c r="F559" s="463"/>
      <c r="G559" s="464"/>
      <c r="H559" s="464">
        <f>H560</f>
        <v>7000</v>
      </c>
      <c r="I559" s="195"/>
    </row>
    <row r="560" spans="1:9" s="95" customFormat="1" ht="18" customHeight="1" thickTop="1">
      <c r="A560" s="72">
        <v>754</v>
      </c>
      <c r="B560" s="89"/>
      <c r="C560" s="73"/>
      <c r="D560" s="73" t="s">
        <v>548</v>
      </c>
      <c r="E560" s="92"/>
      <c r="F560" s="74"/>
      <c r="G560" s="74"/>
      <c r="H560" s="74">
        <f>H561</f>
        <v>7000</v>
      </c>
      <c r="I560" s="94"/>
    </row>
    <row r="561" spans="1:9" s="130" customFormat="1" ht="18" customHeight="1">
      <c r="A561" s="81"/>
      <c r="B561" s="78">
        <v>75411</v>
      </c>
      <c r="C561" s="78"/>
      <c r="D561" s="991" t="s">
        <v>284</v>
      </c>
      <c r="E561" s="78"/>
      <c r="F561" s="90"/>
      <c r="G561" s="90"/>
      <c r="H561" s="90">
        <f>H562</f>
        <v>7000</v>
      </c>
      <c r="I561" s="138"/>
    </row>
    <row r="562" spans="1:9" s="230" customFormat="1" ht="19.5" customHeight="1">
      <c r="A562" s="416"/>
      <c r="B562" s="207"/>
      <c r="C562" s="207"/>
      <c r="D562" s="1088" t="s">
        <v>574</v>
      </c>
      <c r="E562" s="993"/>
      <c r="F562" s="994"/>
      <c r="G562" s="994"/>
      <c r="H562" s="994">
        <f>H563</f>
        <v>7000</v>
      </c>
      <c r="I562" s="210"/>
    </row>
    <row r="563" spans="1:9" s="156" customFormat="1" ht="26.25" customHeight="1">
      <c r="A563" s="153"/>
      <c r="B563" s="169"/>
      <c r="C563" s="321">
        <v>4270</v>
      </c>
      <c r="D563" s="1106" t="s">
        <v>619</v>
      </c>
      <c r="E563" s="1267"/>
      <c r="F563" s="985"/>
      <c r="G563" s="985"/>
      <c r="H563" s="985">
        <v>7000</v>
      </c>
      <c r="I563" s="155"/>
    </row>
    <row r="564" spans="1:9" s="194" customFormat="1" ht="26.25" thickBot="1">
      <c r="A564" s="321"/>
      <c r="B564" s="321"/>
      <c r="C564" s="462"/>
      <c r="D564" s="163" t="s">
        <v>585</v>
      </c>
      <c r="E564" s="163"/>
      <c r="F564" s="463"/>
      <c r="G564" s="464"/>
      <c r="H564" s="464">
        <f>H565</f>
        <v>120000</v>
      </c>
      <c r="I564" s="195"/>
    </row>
    <row r="565" spans="1:9" s="95" customFormat="1" ht="18" customHeight="1" thickTop="1">
      <c r="A565" s="72">
        <v>851</v>
      </c>
      <c r="B565" s="89"/>
      <c r="C565" s="73"/>
      <c r="D565" s="73" t="s">
        <v>557</v>
      </c>
      <c r="E565" s="92"/>
      <c r="F565" s="74"/>
      <c r="G565" s="74"/>
      <c r="H565" s="74">
        <f>H566</f>
        <v>120000</v>
      </c>
      <c r="I565" s="94"/>
    </row>
    <row r="566" spans="1:9" s="130" customFormat="1" ht="18" customHeight="1">
      <c r="A566" s="81"/>
      <c r="B566" s="78">
        <v>85141</v>
      </c>
      <c r="C566" s="78"/>
      <c r="D566" s="991" t="s">
        <v>451</v>
      </c>
      <c r="E566" s="78"/>
      <c r="F566" s="90"/>
      <c r="G566" s="90"/>
      <c r="H566" s="90">
        <f>H567</f>
        <v>120000</v>
      </c>
      <c r="I566" s="138"/>
    </row>
    <row r="567" spans="1:9" s="230" customFormat="1" ht="19.5" customHeight="1">
      <c r="A567" s="416"/>
      <c r="B567" s="207"/>
      <c r="C567" s="207"/>
      <c r="D567" s="992" t="s">
        <v>694</v>
      </c>
      <c r="E567" s="993"/>
      <c r="F567" s="994"/>
      <c r="G567" s="994"/>
      <c r="H567" s="994">
        <f>SUM(H568:H573)</f>
        <v>120000</v>
      </c>
      <c r="I567" s="210"/>
    </row>
    <row r="568" spans="1:9" s="156" customFormat="1" ht="18" customHeight="1">
      <c r="A568" s="153"/>
      <c r="B568" s="169"/>
      <c r="C568" s="321">
        <v>4210</v>
      </c>
      <c r="D568" s="229" t="s">
        <v>570</v>
      </c>
      <c r="E568" s="1267"/>
      <c r="F568" s="985"/>
      <c r="G568" s="985"/>
      <c r="H568" s="985">
        <f>13472-7800</f>
        <v>5672</v>
      </c>
      <c r="I568" s="155"/>
    </row>
    <row r="569" spans="1:9" s="156" customFormat="1" ht="18" customHeight="1">
      <c r="A569" s="153"/>
      <c r="B569" s="169"/>
      <c r="C569" s="169">
        <v>4210</v>
      </c>
      <c r="D569" s="990" t="s">
        <v>695</v>
      </c>
      <c r="E569" s="1109"/>
      <c r="F569" s="1357"/>
      <c r="G569" s="1357"/>
      <c r="H569" s="1357">
        <v>7800</v>
      </c>
      <c r="I569" s="155"/>
    </row>
    <row r="570" spans="1:9" s="156" customFormat="1" ht="18" customHeight="1">
      <c r="A570" s="153"/>
      <c r="B570" s="169"/>
      <c r="C570" s="161">
        <v>4250</v>
      </c>
      <c r="D570" s="997" t="s">
        <v>452</v>
      </c>
      <c r="E570" s="997"/>
      <c r="F570" s="823"/>
      <c r="G570" s="823"/>
      <c r="H570" s="823">
        <v>47273</v>
      </c>
      <c r="I570" s="155"/>
    </row>
    <row r="571" spans="1:9" s="156" customFormat="1" ht="18" customHeight="1">
      <c r="A571" s="153"/>
      <c r="B571" s="169"/>
      <c r="C571" s="161">
        <v>4260</v>
      </c>
      <c r="D571" s="997" t="s">
        <v>656</v>
      </c>
      <c r="E571" s="997"/>
      <c r="F571" s="823"/>
      <c r="G571" s="823"/>
      <c r="H571" s="823">
        <v>21100</v>
      </c>
      <c r="I571" s="155"/>
    </row>
    <row r="572" spans="1:9" s="156" customFormat="1" ht="18" customHeight="1">
      <c r="A572" s="153"/>
      <c r="B572" s="169"/>
      <c r="C572" s="161">
        <v>4270</v>
      </c>
      <c r="D572" s="997" t="s">
        <v>447</v>
      </c>
      <c r="E572" s="997"/>
      <c r="F572" s="823"/>
      <c r="G572" s="823"/>
      <c r="H572" s="823">
        <v>12093</v>
      </c>
      <c r="I572" s="155"/>
    </row>
    <row r="573" spans="1:9" s="156" customFormat="1" ht="18" customHeight="1">
      <c r="A573" s="153"/>
      <c r="B573" s="470"/>
      <c r="C573" s="161">
        <v>4300</v>
      </c>
      <c r="D573" s="998" t="s">
        <v>571</v>
      </c>
      <c r="E573" s="998"/>
      <c r="F573" s="999"/>
      <c r="G573" s="999"/>
      <c r="H573" s="999">
        <v>26062</v>
      </c>
      <c r="I573" s="155"/>
    </row>
    <row r="574" spans="1:9" ht="18" customHeight="1">
      <c r="A574" s="68"/>
      <c r="B574" s="67"/>
      <c r="C574" s="68"/>
      <c r="D574" s="102" t="s">
        <v>693</v>
      </c>
      <c r="E574" s="102"/>
      <c r="F574" s="103"/>
      <c r="G574" s="104">
        <f>G575</f>
        <v>2200</v>
      </c>
      <c r="H574" s="104">
        <f>H575</f>
        <v>1473928</v>
      </c>
      <c r="I574" s="52"/>
    </row>
    <row r="575" spans="1:10" ht="15" customHeight="1" thickBot="1">
      <c r="A575" s="68"/>
      <c r="B575" s="67"/>
      <c r="C575" s="105"/>
      <c r="D575" s="91" t="s">
        <v>547</v>
      </c>
      <c r="E575" s="91"/>
      <c r="F575" s="106"/>
      <c r="G575" s="106">
        <f>SUM(G576:G579)</f>
        <v>2200</v>
      </c>
      <c r="H575" s="106">
        <f>SUM(H576:H579)</f>
        <v>1473928</v>
      </c>
      <c r="J575" s="52"/>
    </row>
    <row r="576" spans="1:10" ht="19.5" customHeight="1" thickTop="1">
      <c r="A576" s="72">
        <v>801</v>
      </c>
      <c r="B576" s="89"/>
      <c r="C576" s="73"/>
      <c r="D576" s="92" t="s">
        <v>554</v>
      </c>
      <c r="E576" s="92"/>
      <c r="F576" s="87"/>
      <c r="G576" s="87"/>
      <c r="H576" s="87">
        <f>szkoly!U14</f>
        <v>967067</v>
      </c>
      <c r="J576" s="52"/>
    </row>
    <row r="577" spans="1:8" ht="19.5" customHeight="1">
      <c r="A577" s="72">
        <v>851</v>
      </c>
      <c r="B577" s="89"/>
      <c r="C577" s="73"/>
      <c r="D577" s="92" t="s">
        <v>557</v>
      </c>
      <c r="E577" s="92"/>
      <c r="F577" s="87"/>
      <c r="G577" s="87">
        <v>2200</v>
      </c>
      <c r="H577" s="87"/>
    </row>
    <row r="578" spans="1:8" ht="19.5" customHeight="1">
      <c r="A578" s="72">
        <v>854</v>
      </c>
      <c r="B578" s="89"/>
      <c r="C578" s="73"/>
      <c r="D578" s="860" t="s">
        <v>556</v>
      </c>
      <c r="E578" s="860"/>
      <c r="F578" s="396"/>
      <c r="G578" s="396"/>
      <c r="H578" s="396">
        <f>szkoly!U104</f>
        <v>154941</v>
      </c>
    </row>
    <row r="579" spans="1:8" ht="20.25" customHeight="1">
      <c r="A579" s="72">
        <v>926</v>
      </c>
      <c r="B579" s="89"/>
      <c r="C579" s="73"/>
      <c r="D579" s="860" t="s">
        <v>128</v>
      </c>
      <c r="E579" s="860"/>
      <c r="F579" s="396"/>
      <c r="G579" s="396"/>
      <c r="H579" s="396">
        <f>szkoly!U173</f>
        <v>351920</v>
      </c>
    </row>
    <row r="580" ht="12.75">
      <c r="A580" s="49"/>
    </row>
    <row r="581" ht="12.75">
      <c r="A581" s="49"/>
    </row>
    <row r="582" ht="12.75">
      <c r="A582" s="49"/>
    </row>
    <row r="583" ht="12.75">
      <c r="A583" s="49"/>
    </row>
    <row r="584" ht="12.75">
      <c r="A584" s="49"/>
    </row>
    <row r="585" spans="1:5" ht="14.25">
      <c r="A585" s="49"/>
      <c r="D585" s="1475"/>
      <c r="E585" s="1478"/>
    </row>
    <row r="586" spans="1:5" ht="14.25">
      <c r="A586" s="49"/>
      <c r="D586" s="1475"/>
      <c r="E586" s="1477"/>
    </row>
    <row r="587" spans="1:5" ht="14.25">
      <c r="A587" s="49"/>
      <c r="D587" s="1476"/>
      <c r="E587" s="1477"/>
    </row>
    <row r="588" ht="12.75">
      <c r="A588" s="49"/>
    </row>
    <row r="589" ht="12.75">
      <c r="A589" s="49"/>
    </row>
    <row r="590" ht="12.75">
      <c r="A590" s="49"/>
    </row>
    <row r="591" ht="12.75">
      <c r="A591" s="49"/>
    </row>
    <row r="592" ht="12.75">
      <c r="A592" s="49"/>
    </row>
    <row r="593" ht="12.75">
      <c r="A593" s="49"/>
    </row>
    <row r="594" ht="12.75">
      <c r="A594" s="49"/>
    </row>
    <row r="595" ht="12.75">
      <c r="A595" s="49"/>
    </row>
    <row r="596" ht="12.75">
      <c r="A596" s="49"/>
    </row>
    <row r="597" ht="12.75">
      <c r="A597" s="49"/>
    </row>
    <row r="598" ht="12.75">
      <c r="A598" s="49"/>
    </row>
    <row r="599" ht="12.75">
      <c r="A599" s="49"/>
    </row>
    <row r="600" ht="12.75">
      <c r="A600" s="49"/>
    </row>
    <row r="601" ht="12.75">
      <c r="A601" s="49"/>
    </row>
    <row r="602" ht="12.75">
      <c r="A602" s="49"/>
    </row>
    <row r="603" ht="12.75">
      <c r="A603" s="49"/>
    </row>
    <row r="604" ht="12.75">
      <c r="A604" s="49"/>
    </row>
    <row r="605" ht="12.75">
      <c r="A605" s="49"/>
    </row>
    <row r="606" ht="12.75">
      <c r="A606" s="49"/>
    </row>
    <row r="607" ht="12.75">
      <c r="A607" s="49"/>
    </row>
    <row r="608" ht="12.75">
      <c r="A608" s="49"/>
    </row>
    <row r="609" ht="12.75">
      <c r="A609" s="49"/>
    </row>
    <row r="610" ht="12.75">
      <c r="A610" s="49"/>
    </row>
    <row r="611" ht="12.75">
      <c r="A611" s="49"/>
    </row>
    <row r="612" ht="12.75">
      <c r="A612" s="49"/>
    </row>
    <row r="613" ht="12.75">
      <c r="A613" s="49"/>
    </row>
    <row r="614" ht="12.75">
      <c r="A614" s="49"/>
    </row>
    <row r="615" ht="12.75">
      <c r="A615" s="49"/>
    </row>
    <row r="616" ht="12.75">
      <c r="A616" s="49"/>
    </row>
    <row r="617" ht="12.75">
      <c r="A617" s="49"/>
    </row>
    <row r="618" ht="12.75">
      <c r="A618" s="49"/>
    </row>
    <row r="619" ht="12.75">
      <c r="A619" s="49"/>
    </row>
    <row r="620" ht="12.75">
      <c r="A620" s="49"/>
    </row>
    <row r="621" ht="12.75">
      <c r="A621" s="49"/>
    </row>
    <row r="622" ht="12.75">
      <c r="A622" s="49"/>
    </row>
    <row r="623" ht="12.75">
      <c r="A623" s="49"/>
    </row>
    <row r="624" ht="12.75">
      <c r="A624" s="49"/>
    </row>
    <row r="625" ht="12.75">
      <c r="A625" s="49"/>
    </row>
    <row r="626" ht="12.75">
      <c r="A626" s="49"/>
    </row>
    <row r="627" ht="12.75">
      <c r="A627" s="49"/>
    </row>
    <row r="628" ht="12.75">
      <c r="A628" s="49"/>
    </row>
    <row r="629" ht="12.75">
      <c r="A629" s="49"/>
    </row>
    <row r="630" ht="12.75">
      <c r="A630" s="49"/>
    </row>
    <row r="631" ht="12.75">
      <c r="A631" s="49"/>
    </row>
    <row r="632" ht="12.75">
      <c r="A632" s="49"/>
    </row>
    <row r="633" ht="12.75">
      <c r="A633" s="49"/>
    </row>
    <row r="634" ht="12.75">
      <c r="A634" s="49"/>
    </row>
    <row r="635" ht="12.75">
      <c r="A635" s="49"/>
    </row>
    <row r="636" ht="12.75">
      <c r="A636" s="49"/>
    </row>
    <row r="637" ht="12.75">
      <c r="A637" s="49"/>
    </row>
    <row r="638" ht="12.75">
      <c r="A638" s="49"/>
    </row>
    <row r="639" ht="12.75">
      <c r="A639" s="49"/>
    </row>
    <row r="640" ht="12.75">
      <c r="A640" s="49"/>
    </row>
    <row r="641" ht="12.75">
      <c r="A641" s="49"/>
    </row>
    <row r="642" ht="12.75">
      <c r="A642" s="49"/>
    </row>
    <row r="643" ht="12.75">
      <c r="A643" s="49"/>
    </row>
    <row r="644" ht="12.75">
      <c r="A644" s="49"/>
    </row>
    <row r="645" ht="12.75">
      <c r="A645" s="49"/>
    </row>
    <row r="646" ht="12.75">
      <c r="A646" s="49"/>
    </row>
    <row r="647" ht="12.75">
      <c r="A647" s="49"/>
    </row>
    <row r="648" ht="12.75">
      <c r="A648" s="49"/>
    </row>
    <row r="649" ht="12.75">
      <c r="A649" s="49"/>
    </row>
    <row r="650" ht="12.75">
      <c r="A650" s="49"/>
    </row>
    <row r="651" ht="12.75">
      <c r="A651" s="49"/>
    </row>
    <row r="652" ht="12.75">
      <c r="A652" s="49"/>
    </row>
    <row r="653" ht="12.75">
      <c r="A653" s="49"/>
    </row>
    <row r="654" ht="12.75">
      <c r="A654" s="49"/>
    </row>
    <row r="655" ht="12.75">
      <c r="A655" s="49"/>
    </row>
    <row r="656" ht="12.75">
      <c r="A656" s="49"/>
    </row>
    <row r="657" ht="12.75">
      <c r="A657" s="49"/>
    </row>
    <row r="658" ht="12.75">
      <c r="A658" s="49"/>
    </row>
    <row r="659" ht="12.75">
      <c r="A659" s="49"/>
    </row>
    <row r="660" ht="12.75">
      <c r="A660" s="49"/>
    </row>
    <row r="661" ht="12.75">
      <c r="A661" s="49"/>
    </row>
    <row r="662" ht="12.75">
      <c r="A662" s="49"/>
    </row>
    <row r="663" ht="12.75">
      <c r="A663" s="49"/>
    </row>
    <row r="664" ht="12.75">
      <c r="A664" s="49"/>
    </row>
    <row r="665" ht="12.75">
      <c r="A665" s="49"/>
    </row>
    <row r="666" ht="12.75">
      <c r="A666" s="49"/>
    </row>
    <row r="667" ht="12.75">
      <c r="A667" s="49"/>
    </row>
    <row r="668" ht="12.75">
      <c r="A668" s="49"/>
    </row>
    <row r="669" ht="12.75">
      <c r="A669" s="49"/>
    </row>
    <row r="670" ht="12.75">
      <c r="A670" s="49"/>
    </row>
    <row r="671" ht="12.75">
      <c r="A671" s="49"/>
    </row>
    <row r="672" ht="12.75">
      <c r="A672" s="49"/>
    </row>
    <row r="673" ht="12.75">
      <c r="A673" s="49"/>
    </row>
    <row r="674" ht="12.75">
      <c r="A674" s="49"/>
    </row>
    <row r="675" ht="12.75">
      <c r="A675" s="49"/>
    </row>
  </sheetData>
  <mergeCells count="6">
    <mergeCell ref="G7:H7"/>
    <mergeCell ref="D7:D8"/>
    <mergeCell ref="A7:A8"/>
    <mergeCell ref="B7:B8"/>
    <mergeCell ref="C7:C8"/>
    <mergeCell ref="E7:F7"/>
  </mergeCells>
  <printOptions horizontalCentered="1"/>
  <pageMargins left="0.5905511811023623" right="0.5905511811023623" top="0.5905511811023623" bottom="0.4724409448818898" header="0.5118110236220472" footer="0.31496062992125984"/>
  <pageSetup firstPageNumber="40" useFirstPageNumber="1" horizontalDpi="300" verticalDpi="3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</cp:lastModifiedBy>
  <cp:lastPrinted>2006-10-16T08:49:07Z</cp:lastPrinted>
  <dcterms:created xsi:type="dcterms:W3CDTF">1997-02-26T13:46:56Z</dcterms:created>
  <dcterms:modified xsi:type="dcterms:W3CDTF">2006-10-16T09:26:05Z</dcterms:modified>
  <cp:category/>
  <cp:version/>
  <cp:contentType/>
  <cp:contentStatus/>
</cp:coreProperties>
</file>